
<file path=[Content_Types].xml><?xml version="1.0" encoding="utf-8"?>
<Types xmlns="http://schemas.openxmlformats.org/package/2006/content-types">
  <Default Extension="rels" ContentType="application/vnd.openxmlformats-package.relationships+xml"/>
  <Default Extension="jpg" ContentType="image/jpeg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  <Override PartName="/xl/worksheets/sheet21.xml" ContentType="application/vnd.openxmlformats-officedocument.spreadsheetml.worksheet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ionato" sheetId="1" state="visible" r:id="rId1"/>
    <sheet xmlns:r="http://schemas.openxmlformats.org/officeDocument/2006/relationships" name="Calendario A" sheetId="2" state="visible" r:id="rId2"/>
    <sheet xmlns:r="http://schemas.openxmlformats.org/officeDocument/2006/relationships" name="Calendario B" sheetId="3" state="visible" r:id="rId3"/>
    <sheet xmlns:r="http://schemas.openxmlformats.org/officeDocument/2006/relationships" name="Calendario C" sheetId="4" state="visible" r:id="rId4"/>
    <sheet xmlns:r="http://schemas.openxmlformats.org/officeDocument/2006/relationships" name="Calendario D" sheetId="5" state="visible" r:id="rId5"/>
    <sheet xmlns:r="http://schemas.openxmlformats.org/officeDocument/2006/relationships" name="Calendario E" sheetId="6" state="visible" r:id="rId6"/>
    <sheet xmlns:r="http://schemas.openxmlformats.org/officeDocument/2006/relationships" name="Calendario F" sheetId="7" state="visible" r:id="rId7"/>
    <sheet xmlns:r="http://schemas.openxmlformats.org/officeDocument/2006/relationships" name="Calendario G" sheetId="8" state="visible" r:id="rId8"/>
    <sheet xmlns:r="http://schemas.openxmlformats.org/officeDocument/2006/relationships" name="Calendario H" sheetId="9" state="visible" r:id="rId9"/>
    <sheet xmlns:r="http://schemas.openxmlformats.org/officeDocument/2006/relationships" name="Calendario I" sheetId="10" state="visible" r:id="rId10"/>
    <sheet xmlns:r="http://schemas.openxmlformats.org/officeDocument/2006/relationships" name="Calendario J" sheetId="11" state="visible" r:id="rId11"/>
    <sheet xmlns:r="http://schemas.openxmlformats.org/officeDocument/2006/relationships" name="Playoff" sheetId="12" state="visible" r:id="rId12"/>
    <sheet xmlns:r="http://schemas.openxmlformats.org/officeDocument/2006/relationships" name="Classifica" sheetId="13" state="visible" r:id="rId13"/>
    <sheet xmlns:r="http://schemas.openxmlformats.org/officeDocument/2006/relationships" name="Classifica Finale" sheetId="14" state="visible" r:id="rId14"/>
    <sheet xmlns:r="http://schemas.openxmlformats.org/officeDocument/2006/relationships" name="DESIGNAZIONI" sheetId="15" state="visible" r:id="rId15"/>
    <sheet xmlns:r="http://schemas.openxmlformats.org/officeDocument/2006/relationships" name="Arbitri" sheetId="16" state="visible" r:id="rId16"/>
    <sheet xmlns:r="http://schemas.openxmlformats.org/officeDocument/2006/relationships" name="UdC" sheetId="17" state="visible" r:id="rId17"/>
    <sheet xmlns:r="http://schemas.openxmlformats.org/officeDocument/2006/relationships" name="MEMO" sheetId="18" state="visible" r:id="rId18"/>
    <sheet xmlns:r="http://schemas.openxmlformats.org/officeDocument/2006/relationships" name="Calendario.ics" sheetId="19" state="visible" r:id="rId19"/>
    <sheet xmlns:r="http://schemas.openxmlformats.org/officeDocument/2006/relationships" name="Dati" sheetId="20" state="hidden" r:id="rId20"/>
    <sheet xmlns:r="http://schemas.openxmlformats.org/officeDocument/2006/relationships" name="REGOLAMENTO" sheetId="21" r:id="rId900"/>
  </sheets>
  <definedNames>
    <definedName name="constNomeCampionato">Campionato!$D$2</definedName>
    <definedName name="constGironi">Campionato!$D$5</definedName>
    <definedName name="constNomiGironi">Campionato!$D$11</definedName>
    <definedName name="constLogo1">Campionato!$D$3</definedName>
    <definedName name="constLogo2">Campionato!$D$4</definedName>
    <definedName name="constSezioneCampionato">Campionato!$D$5</definedName>
    <definedName name="constStagionaCampionato">Campionato!$D$6</definedName>
    <definedName name="constPuntiVittoria">Campionato!$D$7</definedName>
    <definedName name="constPuntiSconfitta">Campionato!$D$8</definedName>
    <definedName name="constPuntiForfait">Campionato!$D$9</definedName>
    <definedName name="constPunteggioForfait">Campionato!$D$10</definedName>
    <definedName name="areaNomiSquadre">Campionato!$B$14:$C$113</definedName>
    <definedName name="areaNomiBreviSquadre">Campionato!$B$14:$H$113</definedName>
    <definedName name="areaCoefficienteSquadre">Campionato!$I$14:$I$113</definedName>
    <definedName name="areaCercaPuntiClassificaSquadra">Campionato!$H$14:$J$113</definedName>
    <definedName name="areaCercaDatiPerPosizioneSquadre">Campionato!$G$14:$W$113</definedName>
    <definedName name="areaCampiSquadre">Campionato!$B$117:$D$225</definedName>
    <definedName name="ARBITRI">Arbitri!$D$5:$D$104</definedName>
    <definedName name="UDC">UdC!$D$5:$D$104</definedName>
    <definedName name="_xlnm.Print_Area" localSheetId="0">'Campionato'!$A$1:$E$228</definedName>
    <definedName name="areaSquadraACalendario" localSheetId="1">'Calendario A'!$M$8:$M$165</definedName>
    <definedName name="areaVintaACalendario" localSheetId="1">'Calendario A'!$N$8:$N$165</definedName>
    <definedName name="areaForfaitACalendario" localSheetId="1">'Calendario A'!$O$8:$O$165</definedName>
    <definedName name="areaPersaACalendario" localSheetId="1">'Calendario A'!$P$8:$P$165</definedName>
    <definedName name="areaPuntiFattiACalendario" localSheetId="1">'Calendario A'!$Q$8:$Q$165</definedName>
    <definedName name="areaPuntiSubitiACalendario" localSheetId="1">'Calendario A'!$R$8:$R$165</definedName>
    <definedName name="areaDifferenzaPuntiACalendario" localSheetId="1">'Calendario A'!$S$8:$S$165</definedName>
    <definedName name="areaSquadraBCalendario" localSheetId="1">'Calendario A'!$T$8:$T$165</definedName>
    <definedName name="areaVintaBCalendario" localSheetId="1">'Calendario A'!$U$8:$U$165</definedName>
    <definedName name="areaForfaitBCalendario" localSheetId="1">'Calendario A'!$V$8:$V$165</definedName>
    <definedName name="areaPersaBCalendario" localSheetId="1">'Calendario A'!$W$8:$W$165</definedName>
    <definedName name="areaPuntiFattiBCalendario" localSheetId="1">'Calendario A'!$X$8:$X$165</definedName>
    <definedName name="areaPuntiSubitiBCalendario" localSheetId="1">'Calendario A'!$Y$8:$Y$165</definedName>
    <definedName name="areaDifferenzaPuntiBCalendario" localSheetId="1">'Calendario A'!$Z$8:$Z$165</definedName>
    <definedName name="_xlnm.Print_Titles" localSheetId="1">'Calendario A'!$1:$3</definedName>
    <definedName name="_xlnm.Print_Area" localSheetId="1">'Calendario A'!$A$1:$L$162</definedName>
    <definedName name="areaSquadraACalendario" localSheetId="2">'Calendario B'!$M$8:$M$165</definedName>
    <definedName name="areaVintaACalendario" localSheetId="2">'Calendario B'!$N$8:$N$165</definedName>
    <definedName name="areaForfaitACalendario" localSheetId="2">'Calendario B'!$O$8:$O$165</definedName>
    <definedName name="areaPersaACalendario" localSheetId="2">'Calendario B'!$P$8:$P$165</definedName>
    <definedName name="areaPuntiFattiACalendario" localSheetId="2">'Calendario B'!$Q$8:$Q$165</definedName>
    <definedName name="areaPuntiSubitiACalendario" localSheetId="2">'Calendario B'!$R$8:$R$165</definedName>
    <definedName name="areaDifferenzaPuntiACalendario" localSheetId="2">'Calendario B'!$S$8:$S$165</definedName>
    <definedName name="areaSquadraBCalendario" localSheetId="2">'Calendario B'!$T$8:$T$165</definedName>
    <definedName name="areaVintaBCalendario" localSheetId="2">'Calendario B'!$U$8:$U$165</definedName>
    <definedName name="areaForfaitBCalendario" localSheetId="2">'Calendario B'!$V$8:$V$165</definedName>
    <definedName name="areaPersaBCalendario" localSheetId="2">'Calendario B'!$W$8:$W$165</definedName>
    <definedName name="areaPuntiFattiBCalendario" localSheetId="2">'Calendario B'!$X$8:$X$165</definedName>
    <definedName name="areaPuntiSubitiBCalendario" localSheetId="2">'Calendario B'!$Y$8:$Y$165</definedName>
    <definedName name="areaDifferenzaPuntiBCalendario" localSheetId="2">'Calendario B'!$Z$8:$Z$165</definedName>
    <definedName name="_xlnm.Print_Titles" localSheetId="2">'Calendario B'!$1:$3</definedName>
    <definedName name="_xlnm.Print_Area" localSheetId="2">'Calendario B'!$A$1:$L$162</definedName>
    <definedName name="areaSquadraACalendario" localSheetId="3">'Calendario C'!$M$8:$M$165</definedName>
    <definedName name="areaVintaACalendario" localSheetId="3">'Calendario C'!$N$8:$N$165</definedName>
    <definedName name="areaForfaitACalendario" localSheetId="3">'Calendario C'!$O$8:$O$165</definedName>
    <definedName name="areaPersaACalendario" localSheetId="3">'Calendario C'!$P$8:$P$165</definedName>
    <definedName name="areaPuntiFattiACalendario" localSheetId="3">'Calendario C'!$Q$8:$Q$165</definedName>
    <definedName name="areaPuntiSubitiACalendario" localSheetId="3">'Calendario C'!$R$8:$R$165</definedName>
    <definedName name="areaDifferenzaPuntiACalendario" localSheetId="3">'Calendario C'!$S$8:$S$165</definedName>
    <definedName name="areaSquadraBCalendario" localSheetId="3">'Calendario C'!$T$8:$T$165</definedName>
    <definedName name="areaVintaBCalendario" localSheetId="3">'Calendario C'!$U$8:$U$165</definedName>
    <definedName name="areaForfaitBCalendario" localSheetId="3">'Calendario C'!$V$8:$V$165</definedName>
    <definedName name="areaPersaBCalendario" localSheetId="3">'Calendario C'!$W$8:$W$165</definedName>
    <definedName name="areaPuntiFattiBCalendario" localSheetId="3">'Calendario C'!$X$8:$X$165</definedName>
    <definedName name="areaPuntiSubitiBCalendario" localSheetId="3">'Calendario C'!$Y$8:$Y$165</definedName>
    <definedName name="areaDifferenzaPuntiBCalendario" localSheetId="3">'Calendario C'!$Z$8:$Z$165</definedName>
    <definedName name="_xlnm.Print_Titles" localSheetId="3">'Calendario C'!$1:$3</definedName>
    <definedName name="_xlnm.Print_Area" localSheetId="3">'Calendario C'!$A$1:$L$162</definedName>
    <definedName name="areaSquadraACalendario" localSheetId="4">'Calendario D'!$M$8:$M$165</definedName>
    <definedName name="areaVintaACalendario" localSheetId="4">'Calendario D'!$N$8:$N$165</definedName>
    <definedName name="areaForfaitACalendario" localSheetId="4">'Calendario D'!$O$8:$O$165</definedName>
    <definedName name="areaPersaACalendario" localSheetId="4">'Calendario D'!$P$8:$P$165</definedName>
    <definedName name="areaPuntiFattiACalendario" localSheetId="4">'Calendario D'!$Q$8:$Q$165</definedName>
    <definedName name="areaPuntiSubitiACalendario" localSheetId="4">'Calendario D'!$R$8:$R$165</definedName>
    <definedName name="areaDifferenzaPuntiACalendario" localSheetId="4">'Calendario D'!$S$8:$S$165</definedName>
    <definedName name="areaSquadraBCalendario" localSheetId="4">'Calendario D'!$T$8:$T$165</definedName>
    <definedName name="areaVintaBCalendario" localSheetId="4">'Calendario D'!$U$8:$U$165</definedName>
    <definedName name="areaForfaitBCalendario" localSheetId="4">'Calendario D'!$V$8:$V$165</definedName>
    <definedName name="areaPersaBCalendario" localSheetId="4">'Calendario D'!$W$8:$W$165</definedName>
    <definedName name="areaPuntiFattiBCalendario" localSheetId="4">'Calendario D'!$X$8:$X$165</definedName>
    <definedName name="areaPuntiSubitiBCalendario" localSheetId="4">'Calendario D'!$Y$8:$Y$165</definedName>
    <definedName name="areaDifferenzaPuntiBCalendario" localSheetId="4">'Calendario D'!$Z$8:$Z$165</definedName>
    <definedName name="_xlnm.Print_Titles" localSheetId="4">'Calendario D'!$1:$3</definedName>
    <definedName name="_xlnm.Print_Area" localSheetId="4">'Calendario D'!$A$1:$L$162</definedName>
    <definedName name="areaSquadraACalendario" localSheetId="5">'Calendario E'!$M$8:$M$165</definedName>
    <definedName name="areaVintaACalendario" localSheetId="5">'Calendario E'!$N$8:$N$165</definedName>
    <definedName name="areaForfaitACalendario" localSheetId="5">'Calendario E'!$O$8:$O$165</definedName>
    <definedName name="areaPersaACalendario" localSheetId="5">'Calendario E'!$P$8:$P$165</definedName>
    <definedName name="areaPuntiFattiACalendario" localSheetId="5">'Calendario E'!$Q$8:$Q$165</definedName>
    <definedName name="areaPuntiSubitiACalendario" localSheetId="5">'Calendario E'!$R$8:$R$165</definedName>
    <definedName name="areaDifferenzaPuntiACalendario" localSheetId="5">'Calendario E'!$S$8:$S$165</definedName>
    <definedName name="areaSquadraBCalendario" localSheetId="5">'Calendario E'!$T$8:$T$165</definedName>
    <definedName name="areaVintaBCalendario" localSheetId="5">'Calendario E'!$U$8:$U$165</definedName>
    <definedName name="areaForfaitBCalendario" localSheetId="5">'Calendario E'!$V$8:$V$165</definedName>
    <definedName name="areaPersaBCalendario" localSheetId="5">'Calendario E'!$W$8:$W$165</definedName>
    <definedName name="areaPuntiFattiBCalendario" localSheetId="5">'Calendario E'!$X$8:$X$165</definedName>
    <definedName name="areaPuntiSubitiBCalendario" localSheetId="5">'Calendario E'!$Y$8:$Y$165</definedName>
    <definedName name="areaDifferenzaPuntiBCalendario" localSheetId="5">'Calendario E'!$Z$8:$Z$165</definedName>
    <definedName name="_xlnm.Print_Titles" localSheetId="5">'Calendario E'!$1:$3</definedName>
    <definedName name="_xlnm.Print_Area" localSheetId="5">'Calendario E'!$A$1:$L$162</definedName>
    <definedName name="areaSquadraACalendario" localSheetId="6">'Calendario F'!$M$8:$M$165</definedName>
    <definedName name="areaVintaACalendario" localSheetId="6">'Calendario F'!$N$8:$N$165</definedName>
    <definedName name="areaForfaitACalendario" localSheetId="6">'Calendario F'!$O$8:$O$165</definedName>
    <definedName name="areaPersaACalendario" localSheetId="6">'Calendario F'!$P$8:$P$165</definedName>
    <definedName name="areaPuntiFattiACalendario" localSheetId="6">'Calendario F'!$Q$8:$Q$165</definedName>
    <definedName name="areaPuntiSubitiACalendario" localSheetId="6">'Calendario F'!$R$8:$R$165</definedName>
    <definedName name="areaDifferenzaPuntiACalendario" localSheetId="6">'Calendario F'!$S$8:$S$165</definedName>
    <definedName name="areaSquadraBCalendario" localSheetId="6">'Calendario F'!$T$8:$T$165</definedName>
    <definedName name="areaVintaBCalendario" localSheetId="6">'Calendario F'!$U$8:$U$165</definedName>
    <definedName name="areaForfaitBCalendario" localSheetId="6">'Calendario F'!$V$8:$V$165</definedName>
    <definedName name="areaPersaBCalendario" localSheetId="6">'Calendario F'!$W$8:$W$165</definedName>
    <definedName name="areaPuntiFattiBCalendario" localSheetId="6">'Calendario F'!$X$8:$X$165</definedName>
    <definedName name="areaPuntiSubitiBCalendario" localSheetId="6">'Calendario F'!$Y$8:$Y$165</definedName>
    <definedName name="areaDifferenzaPuntiBCalendario" localSheetId="6">'Calendario F'!$Z$8:$Z$165</definedName>
    <definedName name="_xlnm.Print_Titles" localSheetId="6">'Calendario F'!$1:$3</definedName>
    <definedName name="_xlnm.Print_Area" localSheetId="6">'Calendario F'!$A$1:$L$162</definedName>
    <definedName name="areaSquadraACalendario" localSheetId="7">'Calendario G'!$M$8:$M$165</definedName>
    <definedName name="areaVintaACalendario" localSheetId="7">'Calendario G'!$N$8:$N$165</definedName>
    <definedName name="areaForfaitACalendario" localSheetId="7">'Calendario G'!$O$8:$O$165</definedName>
    <definedName name="areaPersaACalendario" localSheetId="7">'Calendario G'!$P$8:$P$165</definedName>
    <definedName name="areaPuntiFattiACalendario" localSheetId="7">'Calendario G'!$Q$8:$Q$165</definedName>
    <definedName name="areaPuntiSubitiACalendario" localSheetId="7">'Calendario G'!$R$8:$R$165</definedName>
    <definedName name="areaDifferenzaPuntiACalendario" localSheetId="7">'Calendario G'!$S$8:$S$165</definedName>
    <definedName name="areaSquadraBCalendario" localSheetId="7">'Calendario G'!$T$8:$T$165</definedName>
    <definedName name="areaVintaBCalendario" localSheetId="7">'Calendario G'!$U$8:$U$165</definedName>
    <definedName name="areaForfaitBCalendario" localSheetId="7">'Calendario G'!$V$8:$V$165</definedName>
    <definedName name="areaPersaBCalendario" localSheetId="7">'Calendario G'!$W$8:$W$165</definedName>
    <definedName name="areaPuntiFattiBCalendario" localSheetId="7">'Calendario G'!$X$8:$X$165</definedName>
    <definedName name="areaPuntiSubitiBCalendario" localSheetId="7">'Calendario G'!$Y$8:$Y$165</definedName>
    <definedName name="areaDifferenzaPuntiBCalendario" localSheetId="7">'Calendario G'!$Z$8:$Z$165</definedName>
    <definedName name="_xlnm.Print_Titles" localSheetId="7">'Calendario G'!$1:$3</definedName>
    <definedName name="_xlnm.Print_Area" localSheetId="7">'Calendario G'!$A$1:$L$162</definedName>
    <definedName name="areaSquadraACalendario" localSheetId="8">'Calendario H'!$M$8:$M$165</definedName>
    <definedName name="areaVintaACalendario" localSheetId="8">'Calendario H'!$N$8:$N$165</definedName>
    <definedName name="areaForfaitACalendario" localSheetId="8">'Calendario H'!$O$8:$O$165</definedName>
    <definedName name="areaPersaACalendario" localSheetId="8">'Calendario H'!$P$8:$P$165</definedName>
    <definedName name="areaPuntiFattiACalendario" localSheetId="8">'Calendario H'!$Q$8:$Q$165</definedName>
    <definedName name="areaPuntiSubitiACalendario" localSheetId="8">'Calendario H'!$R$8:$R$165</definedName>
    <definedName name="areaDifferenzaPuntiACalendario" localSheetId="8">'Calendario H'!$S$8:$S$165</definedName>
    <definedName name="areaSquadraBCalendario" localSheetId="8">'Calendario H'!$T$8:$T$165</definedName>
    <definedName name="areaVintaBCalendario" localSheetId="8">'Calendario H'!$U$8:$U$165</definedName>
    <definedName name="areaForfaitBCalendario" localSheetId="8">'Calendario H'!$V$8:$V$165</definedName>
    <definedName name="areaPersaBCalendario" localSheetId="8">'Calendario H'!$W$8:$W$165</definedName>
    <definedName name="areaPuntiFattiBCalendario" localSheetId="8">'Calendario H'!$X$8:$X$165</definedName>
    <definedName name="areaPuntiSubitiBCalendario" localSheetId="8">'Calendario H'!$Y$8:$Y$165</definedName>
    <definedName name="areaDifferenzaPuntiBCalendario" localSheetId="8">'Calendario H'!$Z$8:$Z$165</definedName>
    <definedName name="_xlnm.Print_Titles" localSheetId="8">'Calendario H'!$1:$3</definedName>
    <definedName name="_xlnm.Print_Area" localSheetId="8">'Calendario H'!$A$1:$L$162</definedName>
    <definedName name="areaSquadraACalendario" localSheetId="9">'Calendario I'!$M$8:$M$165</definedName>
    <definedName name="areaVintaACalendario" localSheetId="9">'Calendario I'!$N$8:$N$165</definedName>
    <definedName name="areaForfaitACalendario" localSheetId="9">'Calendario I'!$O$8:$O$165</definedName>
    <definedName name="areaPersaACalendario" localSheetId="9">'Calendario I'!$P$8:$P$165</definedName>
    <definedName name="areaPuntiFattiACalendario" localSheetId="9">'Calendario I'!$Q$8:$Q$165</definedName>
    <definedName name="areaPuntiSubitiACalendario" localSheetId="9">'Calendario I'!$R$8:$R$165</definedName>
    <definedName name="areaDifferenzaPuntiACalendario" localSheetId="9">'Calendario I'!$S$8:$S$165</definedName>
    <definedName name="areaSquadraBCalendario" localSheetId="9">'Calendario I'!$T$8:$T$165</definedName>
    <definedName name="areaVintaBCalendario" localSheetId="9">'Calendario I'!$U$8:$U$165</definedName>
    <definedName name="areaForfaitBCalendario" localSheetId="9">'Calendario I'!$V$8:$V$165</definedName>
    <definedName name="areaPersaBCalendario" localSheetId="9">'Calendario I'!$W$8:$W$165</definedName>
    <definedName name="areaPuntiFattiBCalendario" localSheetId="9">'Calendario I'!$X$8:$X$165</definedName>
    <definedName name="areaPuntiSubitiBCalendario" localSheetId="9">'Calendario I'!$Y$8:$Y$165</definedName>
    <definedName name="areaDifferenzaPuntiBCalendario" localSheetId="9">'Calendario I'!$Z$8:$Z$165</definedName>
    <definedName name="_xlnm.Print_Titles" localSheetId="9">'Calendario I'!$1:$3</definedName>
    <definedName name="_xlnm.Print_Area" localSheetId="9">'Calendario I'!$A$1:$L$162</definedName>
    <definedName name="areaSquadraACalendario" localSheetId="10">'Calendario J'!$M$8:$M$165</definedName>
    <definedName name="areaVintaACalendario" localSheetId="10">'Calendario J'!$N$8:$N$165</definedName>
    <definedName name="areaForfaitACalendario" localSheetId="10">'Calendario J'!$O$8:$O$165</definedName>
    <definedName name="areaPersaACalendario" localSheetId="10">'Calendario J'!$P$8:$P$165</definedName>
    <definedName name="areaPuntiFattiACalendario" localSheetId="10">'Calendario J'!$Q$8:$Q$165</definedName>
    <definedName name="areaPuntiSubitiACalendario" localSheetId="10">'Calendario J'!$R$8:$R$165</definedName>
    <definedName name="areaDifferenzaPuntiACalendario" localSheetId="10">'Calendario J'!$S$8:$S$165</definedName>
    <definedName name="areaSquadraBCalendario" localSheetId="10">'Calendario J'!$T$8:$T$165</definedName>
    <definedName name="areaVintaBCalendario" localSheetId="10">'Calendario J'!$U$8:$U$165</definedName>
    <definedName name="areaForfaitBCalendario" localSheetId="10">'Calendario J'!$V$8:$V$165</definedName>
    <definedName name="areaPersaBCalendario" localSheetId="10">'Calendario J'!$W$8:$W$165</definedName>
    <definedName name="areaPuntiFattiBCalendario" localSheetId="10">'Calendario J'!$X$8:$X$165</definedName>
    <definedName name="areaPuntiSubitiBCalendario" localSheetId="10">'Calendario J'!$Y$8:$Y$165</definedName>
    <definedName name="areaDifferenzaPuntiBCalendario" localSheetId="10">'Calendario J'!$Z$8:$Z$165</definedName>
    <definedName name="_xlnm.Print_Titles" localSheetId="10">'Calendario J'!$1:$3</definedName>
    <definedName name="_xlnm.Print_Area" localSheetId="10">'Calendario J'!$A$1:$L$162</definedName>
    <definedName name="areaSquadraACalendario" localSheetId="11">Playoff!$M$8:$M$63</definedName>
    <definedName name="areaVintaACalendario" localSheetId="11">Playoff!$N$8:$N$63</definedName>
    <definedName name="areaForfaitACalendario" localSheetId="11">Playoff!$O$8:$O$63</definedName>
    <definedName name="areaPersaACalendario" localSheetId="11">Playoff!$P$8:$P$63</definedName>
    <definedName name="areaPuntiFattiACalendario" localSheetId="11">Playoff!$Q$8:$Q$63</definedName>
    <definedName name="areaPuntiSubitiACalendario" localSheetId="11">Playoff!$R$8:$R$63</definedName>
    <definedName name="areaDifferenzaPuntiACalendario" localSheetId="11">Playoff!$S$8:$S$63</definedName>
    <definedName name="areaSquadraBCalendario" localSheetId="11">Playoff!$T$8:$T$63</definedName>
    <definedName name="areaVintaBCalendario" localSheetId="11">Playoff!$U$8:$U$63</definedName>
    <definedName name="areaForfaitBCalendario" localSheetId="11">Playoff!$V$8:$V$63</definedName>
    <definedName name="areaPersaBCalendario" localSheetId="11">Playoff!$W$8:$W$63</definedName>
    <definedName name="areaPuntiFattiBCalendario" localSheetId="11">Playoff!$X$8:$X$63</definedName>
    <definedName name="areaPuntiSubitiBCalendario" localSheetId="11">Playoff!$Y$8:$Y$63</definedName>
    <definedName name="areaDifferenzaPuntiBCalendario" localSheetId="11">Playoff!$Z$8:$Z$63</definedName>
    <definedName name="_xlnm.Print_Titles" localSheetId="11">'Playoff'!$1:$3</definedName>
    <definedName name="_xlnm.Print_Area" localSheetId="11">'Playoff'!$A$1:$L$67</definedName>
    <definedName name="_xlnm.Print_Titles" localSheetId="12">'Classifica'!$1:$3</definedName>
    <definedName name="_xlnm.Print_Area" localSheetId="12">'Classifica'!$A$1:$M$147</definedName>
    <definedName name="_xlnm.Print_Titles" localSheetId="13">'Classifica Finale'!$1:$6</definedName>
    <definedName name="_xlnm.Print_Area" localSheetId="13">'Classifica Finale'!$A$1:$E$470</definedName>
    <definedName name="_xlnm.Print_Titles" localSheetId="14">'DESIGNAZIONI'!$1:$3</definedName>
    <definedName name="_xlnm.Print_Area" localSheetId="14">'DESIGNAZIONI'!$A$1:$R$1768</definedName>
    <definedName name="_xlnm.Print_Titles" localSheetId="15">'Arbitri'!$1:$4</definedName>
    <definedName name="_xlnm.Print_Area" localSheetId="15">'Arbitri'!$A$1:$O$104</definedName>
    <definedName name="_xlnm.Print_Titles" localSheetId="16">'UdC'!$1:$4</definedName>
    <definedName name="_xlnm.Print_Area" localSheetId="16">'UdC'!$A$1:$O$104</definedName>
    <definedName name="_xlnm.Print_Area" localSheetId="17">'MEMO'!$A$1:$A$23</definedName>
    <definedName name="_xlnm.Print_Area" localSheetId="18">'Calendario.ics'!$A$1:$I$1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ddd&quot; &quot;d&quot;-&quot;mmm&quot;-&quot;yyyy&quot; ore &quot;h&quot;:&quot;mm"/>
    <numFmt numFmtId="166" formatCode="yyyy-mm-dd"/>
    <numFmt numFmtId="167" formatCode="hh:mm"/>
  </numFmts>
  <fonts count="42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2"/>
    </font>
    <font>
      <name val="Arial"/>
      <b val="1"/>
      <color rgb="FF000000"/>
      <sz val="9"/>
    </font>
    <font>
      <name val="Arial"/>
      <b val="1"/>
      <color rgb="FF000000"/>
      <sz val="8"/>
    </font>
    <font>
      <name val="Arial"/>
      <color rgb="FF000000"/>
      <sz val="9"/>
    </font>
    <font>
      <name val="Arial"/>
      <b val="1"/>
      <color rgb="FFB8860B"/>
      <sz val="10"/>
    </font>
    <font>
      <name val="Arial"/>
      <color rgb="FF000000"/>
      <sz val="8"/>
    </font>
    <font>
      <name val="Arial"/>
      <b val="1"/>
      <color rgb="FF7F8286"/>
      <sz val="10"/>
    </font>
    <font>
      <name val="Arial"/>
      <b val="1"/>
      <color rgb="FFA9652B"/>
      <sz val="10"/>
    </font>
    <font>
      <name val="Arial"/>
      <b val="1"/>
      <color rgb="FF5A7896"/>
      <sz val="10"/>
    </font>
    <font>
      <name val="Arial"/>
      <b val="1"/>
      <color rgb="FF7D3C98"/>
      <sz val="10"/>
    </font>
    <font>
      <name val="Arial"/>
      <b val="1"/>
      <color rgb="FF11827A"/>
      <sz val="10"/>
    </font>
    <font>
      <name val="Arial"/>
      <b val="1"/>
      <color rgb="FFC2185B"/>
      <sz val="10"/>
    </font>
    <font>
      <name val="Arial"/>
      <b val="1"/>
      <color rgb="FFA08019"/>
      <sz val="10"/>
    </font>
    <font>
      <name val="Arial"/>
      <b val="1"/>
      <color rgb="FF6D7A86"/>
      <sz val="10"/>
    </font>
    <font>
      <name val="Arial"/>
      <b val="1"/>
      <color rgb="FF8A6D4F"/>
      <sz val="10"/>
    </font>
    <font>
      <name val="Arial"/>
      <color rgb="FF0000FF"/>
      <sz val="9"/>
    </font>
    <font>
      <name val="Arial"/>
      <b val="1"/>
      <color rgb="FFFFFFFF"/>
      <sz val="12"/>
    </font>
    <font>
      <name val="Arial"/>
      <i val="1"/>
      <color rgb="FF000000"/>
      <sz val="9"/>
    </font>
    <font>
      <name val="Arial"/>
      <b val="1"/>
      <color rgb="FF000000"/>
      <sz val="14"/>
    </font>
    <font>
      <name val="Arial"/>
      <b val="1"/>
      <color rgb="FFB8860B"/>
      <sz val="14"/>
    </font>
    <font>
      <name val="Arial"/>
      <color rgb="FFFFFFFF"/>
      <sz val="11"/>
    </font>
    <font>
      <name val="Arial"/>
      <color rgb="FF555555"/>
      <sz val="9"/>
    </font>
    <font>
      <name val="Arial"/>
      <b val="1"/>
      <color rgb="FF000000"/>
      <sz val="11"/>
    </font>
    <font>
      <name val="Arial"/>
      <b val="1"/>
      <color rgb="FF000000"/>
      <sz val="16"/>
    </font>
    <font>
      <name val="Arial"/>
      <color rgb="FF000000"/>
      <sz val="16"/>
    </font>
    <font>
      <name val="Arial"/>
      <b val="1"/>
      <color rgb="FF7F8286"/>
      <sz val="14"/>
    </font>
    <font>
      <name val="Arial"/>
      <b val="1"/>
      <color rgb="FFA9652B"/>
      <sz val="14"/>
    </font>
    <font>
      <name val="Arial"/>
      <b val="1"/>
      <color rgb="FF5A7896"/>
      <sz val="14"/>
    </font>
    <font>
      <name val="Arial"/>
      <b val="1"/>
      <color rgb="FF7D3C98"/>
      <sz val="14"/>
    </font>
    <font>
      <name val="Arial"/>
      <b val="1"/>
      <color rgb="FF11827A"/>
      <sz val="14"/>
    </font>
    <font>
      <name val="Arial"/>
      <b val="1"/>
      <color rgb="FFC2185B"/>
      <sz val="14"/>
    </font>
    <font>
      <name val="Arial"/>
      <b val="1"/>
      <color rgb="FFA08019"/>
      <sz val="14"/>
    </font>
    <font>
      <name val="Arial"/>
      <b val="1"/>
      <color rgb="FF6D7A86"/>
      <sz val="14"/>
    </font>
    <font>
      <name val="Arial"/>
      <b val="1"/>
      <color rgb="FF8A6D4F"/>
      <sz val="14"/>
    </font>
    <font>
      <name val="Arial"/>
      <color rgb="FF666666"/>
      <sz val="9"/>
    </font>
    <font>
      <name val="Arial"/>
      <b val="1"/>
      <color rgb="FFFFFFFF"/>
      <sz val="11"/>
    </font>
    <font>
      <name val="Arial"/>
      <b val="1"/>
      <color rgb="FF555555"/>
      <sz val="9"/>
    </font>
    <font>
      <name val="Arial"/>
      <sz val="10"/>
    </font>
    <font>
      <name val="Arial"/>
      <b val="1"/>
      <sz val="10"/>
    </font>
  </fonts>
  <fills count="33">
    <fill>
      <patternFill/>
    </fill>
    <fill>
      <patternFill patternType="gray125"/>
    </fill>
    <fill>
      <patternFill patternType="solid">
        <fgColor rgb="FFFFF9C4"/>
      </patternFill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FFFBEFC0"/>
      </patternFill>
    </fill>
    <fill>
      <patternFill patternType="solid">
        <fgColor rgb="FFE9EAEC"/>
      </patternFill>
    </fill>
    <fill>
      <patternFill patternType="solid">
        <fgColor rgb="FFF4E0CC"/>
      </patternFill>
    </fill>
    <fill>
      <patternFill patternType="solid">
        <fgColor rgb="FFE3EBF4"/>
      </patternFill>
    </fill>
    <fill>
      <patternFill patternType="solid">
        <fgColor rgb="FFEBDCF2"/>
      </patternFill>
    </fill>
    <fill>
      <patternFill patternType="solid">
        <fgColor rgb="FFD2EDEA"/>
      </patternFill>
    </fill>
    <fill>
      <patternFill patternType="solid">
        <fgColor rgb="FFF9D9E4"/>
      </patternFill>
    </fill>
    <fill>
      <patternFill patternType="solid">
        <fgColor rgb="FFF2E9C8"/>
      </patternFill>
    </fill>
    <fill>
      <patternFill patternType="solid">
        <fgColor rgb="FFE4E8EB"/>
      </patternFill>
    </fill>
    <fill>
      <patternFill patternType="solid">
        <fgColor rgb="FFEDE4DA"/>
      </patternFill>
    </fill>
    <fill>
      <patternFill patternType="solid">
        <fgColor rgb="FFE8EAF6"/>
      </patternFill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B8860B"/>
      </patternFill>
    </fill>
    <fill>
      <patternFill patternType="solid">
        <fgColor rgb="FF7F8286"/>
      </patternFill>
    </fill>
    <fill>
      <patternFill patternType="solid">
        <fgColor rgb="FFA9652B"/>
      </patternFill>
    </fill>
    <fill>
      <patternFill patternType="solid">
        <fgColor rgb="FF5A7896"/>
      </patternFill>
    </fill>
    <fill>
      <patternFill patternType="solid">
        <fgColor rgb="FF7D3C98"/>
      </patternFill>
    </fill>
    <fill>
      <patternFill patternType="solid">
        <fgColor rgb="FF11827A"/>
      </patternFill>
    </fill>
    <fill>
      <patternFill patternType="solid">
        <fgColor rgb="FFC2185B"/>
      </patternFill>
    </fill>
    <fill>
      <patternFill patternType="solid">
        <fgColor rgb="FFA08019"/>
      </patternFill>
    </fill>
    <fill>
      <patternFill patternType="solid">
        <fgColor rgb="FF6D7A86"/>
      </patternFill>
    </fill>
    <fill>
      <patternFill patternType="solid">
        <fgColor rgb="FF8A6D4F"/>
      </patternFill>
    </fill>
    <fill>
      <patternFill patternType="solid">
        <fgColor rgb="FF37474F"/>
      </patternFill>
    </fill>
    <fill>
      <patternFill patternType="solid">
        <fgColor rgb="FFE3E7E9"/>
      </patternFill>
    </fill>
    <fill>
      <patternFill patternType="solid">
        <fgColor rgb="FFFFF3CD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27">
    <xf numFmtId="0" fontId="0" fillId="0" borderId="0" pivotButton="0" quotePrefix="0" xfId="0"/>
    <xf numFmtId="0" fontId="19" fillId="17" borderId="1" applyAlignment="1" pivotButton="0" quotePrefix="0" xfId="0">
      <alignment horizontal="left" vertical="center" indent="1"/>
    </xf>
    <xf numFmtId="0" fontId="0" fillId="17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 indent="1"/>
    </xf>
    <xf numFmtId="0" fontId="0" fillId="18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 indent="1"/>
    </xf>
    <xf numFmtId="0" fontId="0" fillId="19" borderId="1" pivotButton="0" quotePrefix="0" xfId="0"/>
    <xf numFmtId="0" fontId="4" fillId="3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/>
    </xf>
    <xf numFmtId="0" fontId="6" fillId="16" borderId="1" pivotButton="0" quotePrefix="0" xfId="0"/>
    <xf numFmtId="0" fontId="1" fillId="16" borderId="1" pivotButton="0" quotePrefix="0" xfId="0"/>
    <xf numFmtId="0" fontId="0" fillId="16" borderId="1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4" fillId="3" borderId="1" pivotButton="0" quotePrefix="0" xfId="0"/>
    <xf numFmtId="0" fontId="23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2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5" fillId="5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6" fillId="3" borderId="1" pivotButton="0" quotePrefix="0" xfId="0"/>
    <xf numFmtId="0" fontId="6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28" fillId="0" borderId="0" pivotButton="0" quotePrefix="0" xfId="0"/>
    <xf numFmtId="0" fontId="23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2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5" fillId="6" borderId="1" applyAlignment="1" pivotButton="0" quotePrefix="0" xfId="0">
      <alignment horizontal="center" vertical="center"/>
    </xf>
    <xf numFmtId="0" fontId="29" fillId="0" borderId="0" pivotButton="0" quotePrefix="0" xfId="0"/>
    <xf numFmtId="0" fontId="23" fillId="22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2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5" fillId="7" borderId="1" applyAlignment="1" pivotButton="0" quotePrefix="0" xfId="0">
      <alignment horizontal="center" vertical="center"/>
    </xf>
    <xf numFmtId="0" fontId="30" fillId="0" borderId="0" pivotButton="0" quotePrefix="0" xfId="0"/>
    <xf numFmtId="0" fontId="23" fillId="23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2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5" fillId="8" borderId="1" applyAlignment="1" pivotButton="0" quotePrefix="0" xfId="0">
      <alignment horizontal="center" vertical="center"/>
    </xf>
    <xf numFmtId="0" fontId="31" fillId="0" borderId="0" pivotButton="0" quotePrefix="0" xfId="0"/>
    <xf numFmtId="0" fontId="23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2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5" fillId="9" borderId="1" applyAlignment="1" pivotButton="0" quotePrefix="0" xfId="0">
      <alignment horizontal="center" vertical="center"/>
    </xf>
    <xf numFmtId="0" fontId="32" fillId="0" borderId="0" pivotButton="0" quotePrefix="0" xfId="0"/>
    <xf numFmtId="0" fontId="23" fillId="25" borderId="1" applyAlignment="1" pivotButton="0" quotePrefix="0" xfId="0">
      <alignment horizontal="center" vertical="center"/>
    </xf>
    <xf numFmtId="0" fontId="19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2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5" fillId="10" borderId="1" applyAlignment="1" pivotButton="0" quotePrefix="0" xfId="0">
      <alignment horizontal="center" vertical="center"/>
    </xf>
    <xf numFmtId="0" fontId="33" fillId="0" borderId="0" pivotButton="0" quotePrefix="0" xfId="0"/>
    <xf numFmtId="0" fontId="23" fillId="26" borderId="1" applyAlignment="1" pivotButton="0" quotePrefix="0" xfId="0">
      <alignment horizontal="center" vertical="center"/>
    </xf>
    <xf numFmtId="0" fontId="19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2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5" fillId="11" borderId="1" applyAlignment="1" pivotButton="0" quotePrefix="0" xfId="0">
      <alignment horizontal="center" vertical="center"/>
    </xf>
    <xf numFmtId="0" fontId="34" fillId="0" borderId="0" pivotButton="0" quotePrefix="0" xfId="0"/>
    <xf numFmtId="0" fontId="23" fillId="27" borderId="1" applyAlignment="1" pivotButton="0" quotePrefix="0" xfId="0">
      <alignment horizontal="center" vertical="center"/>
    </xf>
    <xf numFmtId="0" fontId="19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2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25" fillId="12" borderId="1" applyAlignment="1" pivotButton="0" quotePrefix="0" xfId="0">
      <alignment horizontal="center" vertical="center"/>
    </xf>
    <xf numFmtId="0" fontId="35" fillId="0" borderId="0" pivotButton="0" quotePrefix="0" xfId="0"/>
    <xf numFmtId="0" fontId="23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24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25" fillId="13" borderId="1" applyAlignment="1" pivotButton="0" quotePrefix="0" xfId="0">
      <alignment horizontal="center" vertical="center"/>
    </xf>
    <xf numFmtId="0" fontId="36" fillId="0" borderId="0" pivotButton="0" quotePrefix="0" xfId="0"/>
    <xf numFmtId="0" fontId="23" fillId="29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24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25" fillId="14" borderId="1" applyAlignment="1" pivotButton="0" quotePrefix="0" xfId="0">
      <alignment horizontal="center" vertical="center"/>
    </xf>
    <xf numFmtId="0" fontId="19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24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25" fillId="31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9" fillId="22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19" fillId="2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19" fillId="24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19" fillId="25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9" fillId="26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19" fillId="27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0" fontId="19" fillId="28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8" fillId="20" borderId="1" applyAlignment="1" pivotButton="0" quotePrefix="0" xfId="0">
      <alignment horizontal="center" vertical="center"/>
    </xf>
    <xf numFmtId="0" fontId="39" fillId="5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8" fillId="21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38" fillId="22" borderId="1" applyAlignment="1" pivotButton="0" quotePrefix="0" xfId="0">
      <alignment horizontal="center" vertical="center"/>
    </xf>
    <xf numFmtId="0" fontId="39" fillId="7" borderId="1" applyAlignment="1" pivotButton="0" quotePrefix="0" xfId="0">
      <alignment horizontal="center" vertical="center"/>
    </xf>
    <xf numFmtId="0" fontId="38" fillId="23" borderId="1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0" fontId="38" fillId="24" borderId="1" applyAlignment="1" pivotButton="0" quotePrefix="0" xfId="0">
      <alignment horizontal="center" vertical="center"/>
    </xf>
    <xf numFmtId="0" fontId="39" fillId="9" borderId="1" applyAlignment="1" pivotButton="0" quotePrefix="0" xfId="0">
      <alignment horizontal="center" vertical="center"/>
    </xf>
    <xf numFmtId="0" fontId="38" fillId="25" borderId="1" applyAlignment="1" pivotButton="0" quotePrefix="0" xfId="0">
      <alignment horizontal="center" vertical="center"/>
    </xf>
    <xf numFmtId="0" fontId="39" fillId="10" borderId="1" applyAlignment="1" pivotButton="0" quotePrefix="0" xfId="0">
      <alignment horizontal="center" vertical="center"/>
    </xf>
    <xf numFmtId="0" fontId="38" fillId="26" borderId="1" applyAlignment="1" pivotButton="0" quotePrefix="0" xfId="0">
      <alignment horizontal="center" vertical="center"/>
    </xf>
    <xf numFmtId="0" fontId="39" fillId="11" borderId="1" applyAlignment="1" pivotButton="0" quotePrefix="0" xfId="0">
      <alignment horizontal="center" vertical="center"/>
    </xf>
    <xf numFmtId="0" fontId="38" fillId="27" borderId="1" applyAlignment="1" pivotButton="0" quotePrefix="0" xfId="0">
      <alignment horizontal="center" vertical="center"/>
    </xf>
    <xf numFmtId="0" fontId="39" fillId="12" borderId="1" applyAlignment="1" pivotButton="0" quotePrefix="0" xfId="0">
      <alignment horizontal="center" vertical="center"/>
    </xf>
    <xf numFmtId="0" fontId="38" fillId="28" borderId="1" applyAlignment="1" pivotButton="0" quotePrefix="0" xfId="0">
      <alignment horizontal="center" vertical="center"/>
    </xf>
    <xf numFmtId="0" fontId="39" fillId="13" borderId="1" applyAlignment="1" pivotButton="0" quotePrefix="0" xfId="0">
      <alignment horizontal="center" vertical="center"/>
    </xf>
    <xf numFmtId="0" fontId="38" fillId="29" borderId="1" applyAlignment="1" pivotButton="0" quotePrefix="0" xfId="0">
      <alignment horizontal="center" vertical="center"/>
    </xf>
    <xf numFmtId="0" fontId="39" fillId="14" borderId="1" applyAlignment="1" pivotButton="0" quotePrefix="0" xfId="0">
      <alignment horizontal="center" vertical="center"/>
    </xf>
    <xf numFmtId="0" fontId="23" fillId="30" borderId="1" applyAlignment="1" pivotButton="0" quotePrefix="0" xfId="0">
      <alignment horizontal="center" vertical="center"/>
    </xf>
    <xf numFmtId="0" fontId="38" fillId="30" borderId="1" applyAlignment="1" pivotButton="0" quotePrefix="0" xfId="0">
      <alignment horizontal="center" vertical="center"/>
    </xf>
    <xf numFmtId="0" fontId="39" fillId="31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166" fontId="6" fillId="0" borderId="0" pivotButton="0" quotePrefix="0" xfId="0"/>
    <xf numFmtId="167" fontId="6" fillId="0" borderId="0" pivotButton="0" quotePrefix="0" xfId="0"/>
    <xf numFmtId="0" fontId="0" fillId="0" borderId="7" pivotButton="0" quotePrefix="0" xfId="0"/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Relationship Id="rId900" Type="http://schemas.openxmlformats.org/officeDocument/2006/relationships/worksheet" Target="/xl/worksheets/sheet2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39175" cy="12192000"/>
    <xdr:pic>
      <xdr:nvPicPr>
        <xdr:cNvPr id="2" name="image2.jpg" title="Immagin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</xdr:row>
      <xdr:rowOff>-190500</xdr:rowOff>
    </xdr:from>
    <xdr:ext cx="8639175" cy="12192000"/>
    <xdr:pic>
      <xdr:nvPicPr>
        <xdr:cNvPr id="3" name="image1.jpg" title="Immagin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tabColor rgb="FF37474F"/>
    <outlinePr summaryBelow="1" summaryRight="1"/>
    <pageSetUpPr fitToPage="1"/>
  </sheetPr>
  <dimension ref="B1:CF2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6" customWidth="1" min="3" max="3"/>
    <col width="46" customWidth="1" min="4" max="4"/>
    <col width="9" customWidth="1" min="5" max="5"/>
    <col width="3" customWidth="1" min="6" max="6"/>
    <col width="6" customWidth="1" min="7" max="7"/>
    <col width="26" customWidth="1" min="8" max="8"/>
    <col hidden="1" width="46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9" customWidth="1" min="17" max="17"/>
    <col width="8" customWidth="1" min="18" max="18"/>
    <col width="8" customWidth="1" min="19" max="19"/>
    <col width="9" customWidth="1" min="20" max="20"/>
    <col width="9" customWidth="1" min="21" max="21"/>
    <col width="11" customWidth="1" min="22" max="22"/>
    <col width="11" customWidth="1" min="23" max="23"/>
    <col hidden="1" width="12" customWidth="1" min="24" max="24"/>
    <col hidden="1" width="22" customWidth="1" min="25" max="25"/>
    <col hidden="1" width="22" customWidth="1" min="26" max="26"/>
    <col hidden="1" width="22" customWidth="1" min="27" max="27"/>
    <col hidden="1" width="22" customWidth="1" min="28" max="28"/>
    <col hidden="1" width="22" customWidth="1" min="29" max="29"/>
    <col hidden="1" width="22" customWidth="1" min="30" max="30"/>
    <col hidden="1" width="22" customWidth="1" min="31" max="31"/>
    <col hidden="1" width="22" customWidth="1" min="32" max="32"/>
    <col hidden="1" width="22" customWidth="1" min="33" max="33"/>
    <col hidden="1" width="22" customWidth="1" min="34" max="34"/>
    <col width="26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26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26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26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hidden="1" width="14" customWidth="1" min="84" max="84"/>
  </cols>
  <sheetData>
    <row r="1" ht="20" customHeight="1">
      <c r="B1" s="1" t="inlineStr">
        <is>
          <t>PARAMETRI</t>
        </is>
      </c>
      <c r="C1" s="9" t="n"/>
      <c r="D1" s="10" t="n"/>
    </row>
    <row r="2">
      <c r="B2" s="3" t="inlineStr">
        <is>
          <t>Campionato</t>
        </is>
      </c>
      <c r="D2" s="4" t="n"/>
    </row>
    <row r="3">
      <c r="B3" s="3" t="inlineStr">
        <is>
          <t>Link Logo 1</t>
        </is>
      </c>
      <c r="D3" s="5" t="n"/>
    </row>
    <row r="4">
      <c r="B4" s="3" t="inlineStr">
        <is>
          <t>Link Logo 2</t>
        </is>
      </c>
      <c r="D4" s="5" t="n"/>
    </row>
    <row r="5">
      <c r="B5" s="3" t="inlineStr">
        <is>
          <t>Gironi (separati da virgola)</t>
        </is>
      </c>
      <c r="D5" s="5" t="inlineStr">
        <is>
          <t>A,B,C,D,E,F,G,H,I,J</t>
        </is>
      </c>
    </row>
    <row r="6">
      <c r="B6" s="3" t="inlineStr">
        <is>
          <t>Stagione</t>
        </is>
      </c>
      <c r="D6" s="5" t="n"/>
    </row>
    <row r="7">
      <c r="B7" s="3" t="inlineStr">
        <is>
          <t>Punti vittoria</t>
        </is>
      </c>
      <c r="D7" s="5" t="n">
        <v>3</v>
      </c>
    </row>
    <row r="8">
      <c r="B8" s="3" t="inlineStr">
        <is>
          <t>Punti sconfitta</t>
        </is>
      </c>
      <c r="D8" s="5" t="n">
        <v>1</v>
      </c>
    </row>
    <row r="9">
      <c r="B9" s="3" t="inlineStr">
        <is>
          <t>Punti forfait</t>
        </is>
      </c>
      <c r="D9" s="5" t="n">
        <v>0</v>
      </c>
    </row>
    <row r="10">
      <c r="B10" s="3" t="inlineStr">
        <is>
          <t>Punteggio forfait (vincente-perdente, separati da "-")</t>
        </is>
      </c>
      <c r="D10" s="5" t="inlineStr">
        <is>
          <t>40-0</t>
        </is>
      </c>
    </row>
    <row r="11">
      <c r="B11" s="3" t="inlineStr">
        <is>
          <t>Nomi gironi per la stampa (stesso ordine, separati da virgola)</t>
        </is>
      </c>
      <c r="D11" s="5"/>
    </row>
    <row r="12" ht="20" customHeight="1">
      <c r="B12" s="6" t="inlineStr">
        <is>
          <t>SQUADRE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10" t="n"/>
      <c r="Y12" s="8" t="inlineStr">
        <is>
          <t>Squadre del girone (in ordine di inserimento)</t>
        </is>
      </c>
      <c r="Z12" s="9" t="n"/>
      <c r="AA12" s="9" t="n"/>
      <c r="AB12" s="9" t="n"/>
      <c r="AC12" s="9" t="n"/>
      <c r="AD12" s="9" t="n"/>
      <c r="AE12" s="9" t="n"/>
      <c r="AF12" s="9" t="n"/>
      <c r="AG12" s="9" t="n"/>
      <c r="AH12" s="10" t="n"/>
      <c r="AJ12" s="8" t="inlineStr">
        <is>
          <t>Squadra</t>
        </is>
      </c>
      <c r="AK12" s="8" t="inlineStr">
        <is>
          <t>Vittorie Scontri Diretti</t>
        </is>
      </c>
      <c r="AL12" s="9" t="n"/>
      <c r="AM12" s="9" t="n"/>
      <c r="AN12" s="9" t="n"/>
      <c r="AO12" s="9" t="n"/>
      <c r="AP12" s="9" t="n"/>
      <c r="AQ12" s="9" t="n"/>
      <c r="AR12" s="9" t="n"/>
      <c r="AS12" s="9" t="n"/>
      <c r="AT12" s="10" t="n"/>
      <c r="AV12" s="8" t="inlineStr">
        <is>
          <t>Squadra</t>
        </is>
      </c>
      <c r="AW12" s="8" t="inlineStr">
        <is>
          <t>Sconfitte &amp; Forfait Scontri Diretti</t>
        </is>
      </c>
      <c r="AX12" s="9" t="n"/>
      <c r="AY12" s="9" t="n"/>
      <c r="AZ12" s="9" t="n"/>
      <c r="BA12" s="9" t="n"/>
      <c r="BB12" s="9" t="n"/>
      <c r="BC12" s="9" t="n"/>
      <c r="BD12" s="9" t="n"/>
      <c r="BE12" s="9" t="n"/>
      <c r="BF12" s="10" t="n"/>
      <c r="BH12" s="8" t="inlineStr">
        <is>
          <t>Squadra</t>
        </is>
      </c>
      <c r="BI12" s="8" t="inlineStr">
        <is>
          <t>Punti Fatti Scontri Diretti</t>
        </is>
      </c>
      <c r="BJ12" s="9" t="n"/>
      <c r="BK12" s="9" t="n"/>
      <c r="BL12" s="9" t="n"/>
      <c r="BM12" s="9" t="n"/>
      <c r="BN12" s="9" t="n"/>
      <c r="BO12" s="9" t="n"/>
      <c r="BP12" s="9" t="n"/>
      <c r="BQ12" s="9" t="n"/>
      <c r="BR12" s="10" t="n"/>
      <c r="BT12" s="8" t="inlineStr">
        <is>
          <t>Squadra</t>
        </is>
      </c>
      <c r="BU12" s="8" t="inlineStr">
        <is>
          <t>Punti Subiti Scontri Diretti</t>
        </is>
      </c>
      <c r="BV12" s="9" t="n"/>
      <c r="BW12" s="9" t="n"/>
      <c r="BX12" s="9" t="n"/>
      <c r="BY12" s="9" t="n"/>
      <c r="BZ12" s="9" t="n"/>
      <c r="CA12" s="9" t="n"/>
      <c r="CB12" s="9" t="n"/>
      <c r="CC12" s="9" t="n"/>
      <c r="CD12" s="10" t="n"/>
    </row>
    <row r="13" ht="46" customHeight="1">
      <c r="B13" s="8" t="inlineStr">
        <is>
          <t>#</t>
        </is>
      </c>
      <c r="C13" s="8" t="inlineStr">
        <is>
          <t>Squadra</t>
        </is>
      </c>
      <c r="D13" s="8" t="inlineStr">
        <is>
          <t>Eventuali Punti
di Penalizzazione</t>
        </is>
      </c>
      <c r="E13" s="8" t="inlineStr">
        <is>
          <t>Girone</t>
        </is>
      </c>
      <c r="G13" s="8" t="inlineStr">
        <is>
          <t>Posizione</t>
        </is>
      </c>
      <c r="H13" s="8" t="inlineStr">
        <is>
          <t>Squadra</t>
        </is>
      </c>
      <c r="I13" s="8" t="inlineStr">
        <is>
          <t>Coefficiente</t>
        </is>
      </c>
      <c r="J13" s="8" t="inlineStr">
        <is>
          <t>Punti
Classifica</t>
        </is>
      </c>
      <c r="K13" s="8" t="inlineStr">
        <is>
          <t>Partite
Giocate</t>
        </is>
      </c>
      <c r="L13" s="8" t="inlineStr">
        <is>
          <t>Partite
Vinte</t>
        </is>
      </c>
      <c r="M13" s="8" t="inlineStr">
        <is>
          <t>Partite
Perse</t>
        </is>
      </c>
      <c r="N13" s="8" t="inlineStr">
        <is>
          <t>Partite
Forfait</t>
        </is>
      </c>
      <c r="O13" s="8" t="inlineStr">
        <is>
          <t>Punti
Fatti</t>
        </is>
      </c>
      <c r="P13" s="8" t="inlineStr">
        <is>
          <t>Punti
Subiti</t>
        </is>
      </c>
      <c r="Q13" s="8" t="inlineStr">
        <is>
          <t>Differenza
Punti</t>
        </is>
      </c>
      <c r="R13" s="8" t="inlineStr">
        <is>
          <t>Media
Punti
Fatti</t>
        </is>
      </c>
      <c r="S13" s="8" t="inlineStr">
        <is>
          <t>Media
Punti
Subiti</t>
        </is>
      </c>
      <c r="T13" s="8" t="inlineStr">
        <is>
          <t>Media
Differenza
Punti</t>
        </is>
      </c>
      <c r="U13" s="8" t="inlineStr">
        <is>
          <t>Record
Scontri Diretti</t>
        </is>
      </c>
      <c r="V13" s="8" t="inlineStr">
        <is>
          <t>Quoziente Canestri
Scontri Diretti</t>
        </is>
      </c>
      <c r="W13" s="8" t="inlineStr">
        <is>
          <t>Quoziente Canestri
Totale</t>
        </is>
      </c>
      <c r="X13" s="11" t="inlineStr">
        <is>
          <t>Chiave girone</t>
        </is>
      </c>
      <c r="Y13" s="11" t="inlineStr">
        <is>
          <t>1^</t>
        </is>
      </c>
      <c r="Z13" s="11" t="inlineStr">
        <is>
          <t>2^</t>
        </is>
      </c>
      <c r="AA13" s="11" t="inlineStr">
        <is>
          <t>3^</t>
        </is>
      </c>
      <c r="AB13" s="11" t="inlineStr">
        <is>
          <t>4^</t>
        </is>
      </c>
      <c r="AC13" s="11" t="inlineStr">
        <is>
          <t>5^</t>
        </is>
      </c>
      <c r="AD13" s="11" t="inlineStr">
        <is>
          <t>6^</t>
        </is>
      </c>
      <c r="AE13" s="11" t="inlineStr">
        <is>
          <t>7^</t>
        </is>
      </c>
      <c r="AF13" s="11" t="inlineStr">
        <is>
          <t>8^</t>
        </is>
      </c>
      <c r="AG13" s="11" t="inlineStr">
        <is>
          <t>9^</t>
        </is>
      </c>
      <c r="AH13" s="11" t="inlineStr">
        <is>
          <t>10^</t>
        </is>
      </c>
      <c r="AJ13" s="11" t="inlineStr">
        <is>
          <t>Squadra</t>
        </is>
      </c>
      <c r="AK13" s="11" t="inlineStr">
        <is>
          <t>1^</t>
        </is>
      </c>
      <c r="AL13" s="11" t="inlineStr">
        <is>
          <t>2^</t>
        </is>
      </c>
      <c r="AM13" s="11" t="inlineStr">
        <is>
          <t>3^</t>
        </is>
      </c>
      <c r="AN13" s="11" t="inlineStr">
        <is>
          <t>4^</t>
        </is>
      </c>
      <c r="AO13" s="11" t="inlineStr">
        <is>
          <t>5^</t>
        </is>
      </c>
      <c r="AP13" s="11" t="inlineStr">
        <is>
          <t>6^</t>
        </is>
      </c>
      <c r="AQ13" s="11" t="inlineStr">
        <is>
          <t>7^</t>
        </is>
      </c>
      <c r="AR13" s="11" t="inlineStr">
        <is>
          <t>8^</t>
        </is>
      </c>
      <c r="AS13" s="11" t="inlineStr">
        <is>
          <t>9^</t>
        </is>
      </c>
      <c r="AT13" s="11" t="inlineStr">
        <is>
          <t>10^</t>
        </is>
      </c>
      <c r="AV13" s="11" t="inlineStr">
        <is>
          <t>Squadra</t>
        </is>
      </c>
      <c r="AW13" s="11" t="inlineStr">
        <is>
          <t>1^</t>
        </is>
      </c>
      <c r="AX13" s="11" t="inlineStr">
        <is>
          <t>2^</t>
        </is>
      </c>
      <c r="AY13" s="11" t="inlineStr">
        <is>
          <t>3^</t>
        </is>
      </c>
      <c r="AZ13" s="11" t="inlineStr">
        <is>
          <t>4^</t>
        </is>
      </c>
      <c r="BA13" s="11" t="inlineStr">
        <is>
          <t>5^</t>
        </is>
      </c>
      <c r="BB13" s="11" t="inlineStr">
        <is>
          <t>6^</t>
        </is>
      </c>
      <c r="BC13" s="11" t="inlineStr">
        <is>
          <t>7^</t>
        </is>
      </c>
      <c r="BD13" s="11" t="inlineStr">
        <is>
          <t>8^</t>
        </is>
      </c>
      <c r="BE13" s="11" t="inlineStr">
        <is>
          <t>9^</t>
        </is>
      </c>
      <c r="BF13" s="11" t="inlineStr">
        <is>
          <t>10^</t>
        </is>
      </c>
      <c r="BH13" s="11" t="inlineStr">
        <is>
          <t>Squadra</t>
        </is>
      </c>
      <c r="BI13" s="11" t="inlineStr">
        <is>
          <t>1^</t>
        </is>
      </c>
      <c r="BJ13" s="11" t="inlineStr">
        <is>
          <t>2^</t>
        </is>
      </c>
      <c r="BK13" s="11" t="inlineStr">
        <is>
          <t>3^</t>
        </is>
      </c>
      <c r="BL13" s="11" t="inlineStr">
        <is>
          <t>4^</t>
        </is>
      </c>
      <c r="BM13" s="11" t="inlineStr">
        <is>
          <t>5^</t>
        </is>
      </c>
      <c r="BN13" s="11" t="inlineStr">
        <is>
          <t>6^</t>
        </is>
      </c>
      <c r="BO13" s="11" t="inlineStr">
        <is>
          <t>7^</t>
        </is>
      </c>
      <c r="BP13" s="11" t="inlineStr">
        <is>
          <t>8^</t>
        </is>
      </c>
      <c r="BQ13" s="11" t="inlineStr">
        <is>
          <t>9^</t>
        </is>
      </c>
      <c r="BR13" s="11" t="inlineStr">
        <is>
          <t>10^</t>
        </is>
      </c>
      <c r="BT13" s="11" t="inlineStr">
        <is>
          <t>Squadra</t>
        </is>
      </c>
      <c r="BU13" s="11" t="inlineStr">
        <is>
          <t>1^</t>
        </is>
      </c>
      <c r="BV13" s="11" t="inlineStr">
        <is>
          <t>2^</t>
        </is>
      </c>
      <c r="BW13" s="11" t="inlineStr">
        <is>
          <t>3^</t>
        </is>
      </c>
      <c r="BX13" s="11" t="inlineStr">
        <is>
          <t>4^</t>
        </is>
      </c>
      <c r="BY13" s="11" t="inlineStr">
        <is>
          <t>5^</t>
        </is>
      </c>
      <c r="BZ13" s="11" t="inlineStr">
        <is>
          <t>6^</t>
        </is>
      </c>
      <c r="CA13" s="11" t="inlineStr">
        <is>
          <t>7^</t>
        </is>
      </c>
      <c r="CB13" s="11" t="inlineStr">
        <is>
          <t>8^</t>
        </is>
      </c>
      <c r="CC13" s="11" t="inlineStr">
        <is>
          <t>9^</t>
        </is>
      </c>
      <c r="CD13" s="11" t="inlineStr">
        <is>
          <t>10^</t>
        </is>
      </c>
      <c r="CF13" s="11" t="inlineStr">
        <is>
          <t>Vittorie SD</t>
        </is>
      </c>
    </row>
    <row r="14">
      <c r="B14" s="12" t="inlineStr">
        <is>
          <t>A01</t>
        </is>
      </c>
      <c r="C14" s="13" t="n"/>
      <c r="D14" s="14" t="n"/>
      <c r="E14" s="15" t="inlineStr">
        <is>
          <t>A</t>
        </is>
      </c>
      <c r="G14" s="16">
        <f>IF($C14="","",$E14&amp;(COUNTIFS(I$14:I$113,"&gt;"&amp;I14,E$14:E$113,"="&amp;E14,C$14:C$113,"&lt;&gt;")+COUNTIFS(I$14:I$113,"="&amp;I14,H$14:H$113,"&lt;="&amp;H14,E$14:E$113,"="&amp;E14,C$14:C$113,"&lt;&gt;")))</f>
        <v/>
      </c>
      <c r="H14" s="17">
        <f>IF($C14="","",IFERROR(LEFT($C14,FIND("-",$C14)-1),$C14))</f>
        <v/>
      </c>
      <c r="I14" s="12">
        <f>TEXT(1000000000+J14,"|0000000000|")&amp;TEXT(SUM(AK14:AT14),"0000000000|")&amp;IF(SUM(BU14:CD14)=0,"0000000000|",TEXT(ROUND(SUM(BI14:BR14)/SUM(BU14:CD14),4)*100000,"0000000000|"))&amp;IF(P14=0,"0000000000|",TEXT(ROUND(O14/P14,4)*100000,"0000000000|"))</f>
        <v/>
      </c>
      <c r="J14" s="16">
        <f>L14*constPuntiVittoria+M14*constPuntiSconfitta+N14*constPuntiForfait+IF(D14="",0,D14)</f>
        <v/>
      </c>
      <c r="K14" s="12">
        <f>SUM(L14:N14)</f>
        <v/>
      </c>
      <c r="L14" s="12">
        <f>IF($H14="",0,SUMIF(Dati!$A$2:$A$451,$H14,Dati!$B$2:$B$451)+SUMIF(Dati!$H$2:$H$451,$H14,Dati!$I$2:$I$451))</f>
        <v/>
      </c>
      <c r="M14" s="12">
        <f>IF($H14="",0,SUMIF(Dati!$A$2:$A$451,$H14,Dati!$D$2:$D$451)+SUMIF(Dati!$H$2:$H$451,$H14,Dati!$K$2:$K$451))</f>
        <v/>
      </c>
      <c r="N14" s="12">
        <f>IF($H14="",0,SUMIF(Dati!$A$2:$A$451,$H14,Dati!$C$2:$C$451)+SUMIF(Dati!$H$2:$H$451,$H14,Dati!$J$2:$J$451))</f>
        <v/>
      </c>
      <c r="O14" s="12">
        <f>IF($H14="",0,SUMIF(Dati!$A$2:$A$451,$H14,Dati!$E$2:$E$451)+SUMIF(Dati!$H$2:$H$451,$H14,Dati!$L$2:$L$451))</f>
        <v/>
      </c>
      <c r="P14" s="12">
        <f>IF($H14="",0,SUMIF(Dati!$A$2:$A$451,$H14,Dati!$F$2:$F$451)+SUMIF(Dati!$H$2:$H$451,$H14,Dati!$M$2:$M$451))</f>
        <v/>
      </c>
      <c r="Q14" s="12">
        <f>IF($H14="",0,SUMIF(Dati!$A$2:$A$451,$H14,Dati!$G$2:$G$451)+SUMIF(Dati!$H$2:$H$451,$H14,Dati!$N$2:$N$451))</f>
        <v/>
      </c>
      <c r="R14" s="12">
        <f>IF(K14=0,0,ROUND(O14/K14,2))</f>
        <v/>
      </c>
      <c r="S14" s="12">
        <f>IF(K14=0,0,ROUND(P14/K14,2))</f>
        <v/>
      </c>
      <c r="T14" s="12">
        <f>IF(K14=0,0,ROUND(Q14/K14,2))</f>
        <v/>
      </c>
      <c r="U14" s="12">
        <f>IF(COUNTIFS($E$14:$E$113,$E14,$J$14:$J$113,$J14,$C$14:$C$113,"&lt;&gt;")&lt;=1,"-",SUM(AK14:AT14)&amp;"-"&amp;SUM(AW14:BF14))</f>
        <v/>
      </c>
      <c r="V14" s="18">
        <f>IF(COUNTIFS($E$14:$E$113,$E14,$J$14:$J$113,$J14,$C$14:$C$113,"&lt;&gt;",$CF$14:$CF$113,$CF14)&lt;=1,"-",IF(SUM(BU14:CD14)=0,0,ROUND(SUM(BI14:BR14)/SUM(BU14:CD14),3)))</f>
        <v/>
      </c>
      <c r="W14" s="18">
        <f>IF(COUNTIFS($E$14:$E$113,$E14,$J$14:$J$113,$J14,$C$14:$C$113,"&lt;&gt;",$CF$14:$CF$113,$CF14,$V$14:$V$113,$V14)&lt;=1,"-",IF(P14=0,0,ROUND(O14/P14,3)))</f>
        <v/>
      </c>
      <c r="X14" s="19">
        <f>IF($C14="","",$E14&amp;"#"&amp;COUNTIFS($E$14:$E14,$E14,$C$14:$C14,"&lt;&gt;"))</f>
        <v/>
      </c>
      <c r="Y14" s="20">
        <f>IFERROR(INDEX($H$14:$H$113,MATCH($E14&amp;"#1",$X$14:$X$113,0)),"")</f>
        <v/>
      </c>
      <c r="Z14" s="20">
        <f>IFERROR(INDEX($H$14:$H$113,MATCH($E14&amp;"#2",$X$14:$X$113,0)),"")</f>
        <v/>
      </c>
      <c r="AA14" s="20">
        <f>IFERROR(INDEX($H$14:$H$113,MATCH($E14&amp;"#3",$X$14:$X$113,0)),"")</f>
        <v/>
      </c>
      <c r="AB14" s="20">
        <f>IFERROR(INDEX($H$14:$H$113,MATCH($E14&amp;"#4",$X$14:$X$113,0)),"")</f>
        <v/>
      </c>
      <c r="AC14" s="20">
        <f>IFERROR(INDEX($H$14:$H$113,MATCH($E14&amp;"#5",$X$14:$X$113,0)),"")</f>
        <v/>
      </c>
      <c r="AD14" s="20">
        <f>IFERROR(INDEX($H$14:$H$113,MATCH($E14&amp;"#6",$X$14:$X$113,0)),"")</f>
        <v/>
      </c>
      <c r="AE14" s="20">
        <f>IFERROR(INDEX($H$14:$H$113,MATCH($E14&amp;"#7",$X$14:$X$113,0)),"")</f>
        <v/>
      </c>
      <c r="AF14" s="20">
        <f>IFERROR(INDEX($H$14:$H$113,MATCH($E14&amp;"#8",$X$14:$X$113,0)),"")</f>
        <v/>
      </c>
      <c r="AG14" s="20">
        <f>IFERROR(INDEX($H$14:$H$113,MATCH($E14&amp;"#9",$X$14:$X$113,0)),"")</f>
        <v/>
      </c>
      <c r="AH14" s="20">
        <f>IFERROR(INDEX($H$14:$H$113,MATCH($E14&amp;"#10",$X$14:$X$113,0)),"")</f>
        <v/>
      </c>
      <c r="AJ14" s="21">
        <f>$C14</f>
        <v/>
      </c>
      <c r="AK14" s="22">
        <f>IF(AND($H14&lt;&gt;"",$Y14&lt;&gt;"",$H14&lt;&gt;$Y14,IFERROR(VLOOKUP($H14,areaCercaPuntiClassificaSquadra,3,FALSE),-1)=IFERROR(VLOOKUP($Y14,areaCercaPuntiClassificaSquadra,3,FALSE),-2)),SUMIFS(Dati!$B$2:$B$451,Dati!$A$2:$A$451,$H14,Dati!$H$2:$H$451,$Y14)+SUMIFS(Dati!$I$2:$I$451,Dati!$H$2:$H$451,$H14,Dati!$A$2:$A$451,$Y14),"-")</f>
        <v/>
      </c>
      <c r="AL14" s="22">
        <f>IF(AND($H14&lt;&gt;"",$Z14&lt;&gt;"",$H14&lt;&gt;$Z14,IFERROR(VLOOKUP($H14,areaCercaPuntiClassificaSquadra,3,FALSE),-1)=IFERROR(VLOOKUP($Z14,areaCercaPuntiClassificaSquadra,3,FALSE),-2)),SUMIFS(Dati!$B$2:$B$451,Dati!$A$2:$A$451,$H14,Dati!$H$2:$H$451,$Z14)+SUMIFS(Dati!$I$2:$I$451,Dati!$H$2:$H$451,$H14,Dati!$A$2:$A$451,$Z14),"-")</f>
        <v/>
      </c>
      <c r="AM14" s="22">
        <f>IF(AND($H14&lt;&gt;"",$AA14&lt;&gt;"",$H14&lt;&gt;$AA14,IFERROR(VLOOKUP($H14,areaCercaPuntiClassificaSquadra,3,FALSE),-1)=IFERROR(VLOOKUP($AA14,areaCercaPuntiClassificaSquadra,3,FALSE),-2)),SUMIFS(Dati!$B$2:$B$451,Dati!$A$2:$A$451,$H14,Dati!$H$2:$H$451,$AA14)+SUMIFS(Dati!$I$2:$I$451,Dati!$H$2:$H$451,$H14,Dati!$A$2:$A$451,$AA14),"-")</f>
        <v/>
      </c>
      <c r="AN14" s="22">
        <f>IF(AND($H14&lt;&gt;"",$AB14&lt;&gt;"",$H14&lt;&gt;$AB14,IFERROR(VLOOKUP($H14,areaCercaPuntiClassificaSquadra,3,FALSE),-1)=IFERROR(VLOOKUP($AB14,areaCercaPuntiClassificaSquadra,3,FALSE),-2)),SUMIFS(Dati!$B$2:$B$451,Dati!$A$2:$A$451,$H14,Dati!$H$2:$H$451,$AB14)+SUMIFS(Dati!$I$2:$I$451,Dati!$H$2:$H$451,$H14,Dati!$A$2:$A$451,$AB14),"-")</f>
        <v/>
      </c>
      <c r="AO14" s="22">
        <f>IF(AND($H14&lt;&gt;"",$AC14&lt;&gt;"",$H14&lt;&gt;$AC14,IFERROR(VLOOKUP($H14,areaCercaPuntiClassificaSquadra,3,FALSE),-1)=IFERROR(VLOOKUP($AC14,areaCercaPuntiClassificaSquadra,3,FALSE),-2)),SUMIFS(Dati!$B$2:$B$451,Dati!$A$2:$A$451,$H14,Dati!$H$2:$H$451,$AC14)+SUMIFS(Dati!$I$2:$I$451,Dati!$H$2:$H$451,$H14,Dati!$A$2:$A$451,$AC14),"-")</f>
        <v/>
      </c>
      <c r="AP14" s="22">
        <f>IF(AND($H14&lt;&gt;"",$AD14&lt;&gt;"",$H14&lt;&gt;$AD14,IFERROR(VLOOKUP($H14,areaCercaPuntiClassificaSquadra,3,FALSE),-1)=IFERROR(VLOOKUP($AD14,areaCercaPuntiClassificaSquadra,3,FALSE),-2)),SUMIFS(Dati!$B$2:$B$451,Dati!$A$2:$A$451,$H14,Dati!$H$2:$H$451,$AD14)+SUMIFS(Dati!$I$2:$I$451,Dati!$H$2:$H$451,$H14,Dati!$A$2:$A$451,$AD14),"-")</f>
        <v/>
      </c>
      <c r="AQ14" s="22">
        <f>IF(AND($H14&lt;&gt;"",$AE14&lt;&gt;"",$H14&lt;&gt;$AE14,IFERROR(VLOOKUP($H14,areaCercaPuntiClassificaSquadra,3,FALSE),-1)=IFERROR(VLOOKUP($AE14,areaCercaPuntiClassificaSquadra,3,FALSE),-2)),SUMIFS(Dati!$B$2:$B$451,Dati!$A$2:$A$451,$H14,Dati!$H$2:$H$451,$AE14)+SUMIFS(Dati!$I$2:$I$451,Dati!$H$2:$H$451,$H14,Dati!$A$2:$A$451,$AE14),"-")</f>
        <v/>
      </c>
      <c r="AR14" s="22">
        <f>IF(AND($H14&lt;&gt;"",$AF14&lt;&gt;"",$H14&lt;&gt;$AF14,IFERROR(VLOOKUP($H14,areaCercaPuntiClassificaSquadra,3,FALSE),-1)=IFERROR(VLOOKUP($AF14,areaCercaPuntiClassificaSquadra,3,FALSE),-2)),SUMIFS(Dati!$B$2:$B$451,Dati!$A$2:$A$451,$H14,Dati!$H$2:$H$451,$AF14)+SUMIFS(Dati!$I$2:$I$451,Dati!$H$2:$H$451,$H14,Dati!$A$2:$A$451,$AF14),"-")</f>
        <v/>
      </c>
      <c r="AS14" s="22">
        <f>IF(AND($H14&lt;&gt;"",$AG14&lt;&gt;"",$H14&lt;&gt;$AG14,IFERROR(VLOOKUP($H14,areaCercaPuntiClassificaSquadra,3,FALSE),-1)=IFERROR(VLOOKUP($AG14,areaCercaPuntiClassificaSquadra,3,FALSE),-2)),SUMIFS(Dati!$B$2:$B$451,Dati!$A$2:$A$451,$H14,Dati!$H$2:$H$451,$AG14)+SUMIFS(Dati!$I$2:$I$451,Dati!$H$2:$H$451,$H14,Dati!$A$2:$A$451,$AG14),"-")</f>
        <v/>
      </c>
      <c r="AT14" s="22">
        <f>IF(AND($H14&lt;&gt;"",$AH14&lt;&gt;"",$H14&lt;&gt;$AH14,IFERROR(VLOOKUP($H14,areaCercaPuntiClassificaSquadra,3,FALSE),-1)=IFERROR(VLOOKUP($AH14,areaCercaPuntiClassificaSquadra,3,FALSE),-2)),SUMIFS(Dati!$B$2:$B$451,Dati!$A$2:$A$451,$H14,Dati!$H$2:$H$451,$AH14)+SUMIFS(Dati!$I$2:$I$451,Dati!$H$2:$H$451,$H14,Dati!$A$2:$A$451,$AH14),"-")</f>
        <v/>
      </c>
      <c r="AV14" s="21">
        <f>$C14</f>
        <v/>
      </c>
      <c r="AW14" s="22">
        <f>IF(AND($H14&lt;&gt;"",$Y14&lt;&gt;"",$H14&lt;&gt;$Y14,IFERROR(VLOOKUP($H14,areaCercaPuntiClassificaSquadra,3,FALSE),-1)=IFERROR(VLOOKUP($Y14,areaCercaPuntiClassificaSquadra,3,FALSE),-2)),SUMIFS(Dati!$D$2:$D$451,Dati!$A$2:$A$451,$H14,Dati!$H$2:$H$451,$Y14)+SUMIFS(Dati!$K$2:$K$451,Dati!$H$2:$H$451,$H14,Dati!$A$2:$A$451,$Y14)+SUMIFS(Dati!$C$2:$C$451,Dati!$A$2:$A$451,$H14,Dati!$H$2:$H$451,$Y14)+SUMIFS(Dati!$J$2:$J$451,Dati!$H$2:$H$451,$H14,Dati!$A$2:$A$451,$Y14),"-")</f>
        <v/>
      </c>
      <c r="AX14" s="22">
        <f>IF(AND($H14&lt;&gt;"",$Z14&lt;&gt;"",$H14&lt;&gt;$Z14,IFERROR(VLOOKUP($H14,areaCercaPuntiClassificaSquadra,3,FALSE),-1)=IFERROR(VLOOKUP($Z14,areaCercaPuntiClassificaSquadra,3,FALSE),-2)),SUMIFS(Dati!$D$2:$D$451,Dati!$A$2:$A$451,$H14,Dati!$H$2:$H$451,$Z14)+SUMIFS(Dati!$K$2:$K$451,Dati!$H$2:$H$451,$H14,Dati!$A$2:$A$451,$Z14)+SUMIFS(Dati!$C$2:$C$451,Dati!$A$2:$A$451,$H14,Dati!$H$2:$H$451,$Z14)+SUMIFS(Dati!$J$2:$J$451,Dati!$H$2:$H$451,$H14,Dati!$A$2:$A$451,$Z14),"-")</f>
        <v/>
      </c>
      <c r="AY14" s="22">
        <f>IF(AND($H14&lt;&gt;"",$AA14&lt;&gt;"",$H14&lt;&gt;$AA14,IFERROR(VLOOKUP($H14,areaCercaPuntiClassificaSquadra,3,FALSE),-1)=IFERROR(VLOOKUP($AA14,areaCercaPuntiClassificaSquadra,3,FALSE),-2)),SUMIFS(Dati!$D$2:$D$451,Dati!$A$2:$A$451,$H14,Dati!$H$2:$H$451,$AA14)+SUMIFS(Dati!$K$2:$K$451,Dati!$H$2:$H$451,$H14,Dati!$A$2:$A$451,$AA14)+SUMIFS(Dati!$C$2:$C$451,Dati!$A$2:$A$451,$H14,Dati!$H$2:$H$451,$AA14)+SUMIFS(Dati!$J$2:$J$451,Dati!$H$2:$H$451,$H14,Dati!$A$2:$A$451,$AA14),"-")</f>
        <v/>
      </c>
      <c r="AZ14" s="22">
        <f>IF(AND($H14&lt;&gt;"",$AB14&lt;&gt;"",$H14&lt;&gt;$AB14,IFERROR(VLOOKUP($H14,areaCercaPuntiClassificaSquadra,3,FALSE),-1)=IFERROR(VLOOKUP($AB14,areaCercaPuntiClassificaSquadra,3,FALSE),-2)),SUMIFS(Dati!$D$2:$D$451,Dati!$A$2:$A$451,$H14,Dati!$H$2:$H$451,$AB14)+SUMIFS(Dati!$K$2:$K$451,Dati!$H$2:$H$451,$H14,Dati!$A$2:$A$451,$AB14)+SUMIFS(Dati!$C$2:$C$451,Dati!$A$2:$A$451,$H14,Dati!$H$2:$H$451,$AB14)+SUMIFS(Dati!$J$2:$J$451,Dati!$H$2:$H$451,$H14,Dati!$A$2:$A$451,$AB14),"-")</f>
        <v/>
      </c>
      <c r="BA14" s="22">
        <f>IF(AND($H14&lt;&gt;"",$AC14&lt;&gt;"",$H14&lt;&gt;$AC14,IFERROR(VLOOKUP($H14,areaCercaPuntiClassificaSquadra,3,FALSE),-1)=IFERROR(VLOOKUP($AC14,areaCercaPuntiClassificaSquadra,3,FALSE),-2)),SUMIFS(Dati!$D$2:$D$451,Dati!$A$2:$A$451,$H14,Dati!$H$2:$H$451,$AC14)+SUMIFS(Dati!$K$2:$K$451,Dati!$H$2:$H$451,$H14,Dati!$A$2:$A$451,$AC14)+SUMIFS(Dati!$C$2:$C$451,Dati!$A$2:$A$451,$H14,Dati!$H$2:$H$451,$AC14)+SUMIFS(Dati!$J$2:$J$451,Dati!$H$2:$H$451,$H14,Dati!$A$2:$A$451,$AC14),"-")</f>
        <v/>
      </c>
      <c r="BB14" s="22">
        <f>IF(AND($H14&lt;&gt;"",$AD14&lt;&gt;"",$H14&lt;&gt;$AD14,IFERROR(VLOOKUP($H14,areaCercaPuntiClassificaSquadra,3,FALSE),-1)=IFERROR(VLOOKUP($AD14,areaCercaPuntiClassificaSquadra,3,FALSE),-2)),SUMIFS(Dati!$D$2:$D$451,Dati!$A$2:$A$451,$H14,Dati!$H$2:$H$451,$AD14)+SUMIFS(Dati!$K$2:$K$451,Dati!$H$2:$H$451,$H14,Dati!$A$2:$A$451,$AD14)+SUMIFS(Dati!$C$2:$C$451,Dati!$A$2:$A$451,$H14,Dati!$H$2:$H$451,$AD14)+SUMIFS(Dati!$J$2:$J$451,Dati!$H$2:$H$451,$H14,Dati!$A$2:$A$451,$AD14),"-")</f>
        <v/>
      </c>
      <c r="BC14" s="22">
        <f>IF(AND($H14&lt;&gt;"",$AE14&lt;&gt;"",$H14&lt;&gt;$AE14,IFERROR(VLOOKUP($H14,areaCercaPuntiClassificaSquadra,3,FALSE),-1)=IFERROR(VLOOKUP($AE14,areaCercaPuntiClassificaSquadra,3,FALSE),-2)),SUMIFS(Dati!$D$2:$D$451,Dati!$A$2:$A$451,$H14,Dati!$H$2:$H$451,$AE14)+SUMIFS(Dati!$K$2:$K$451,Dati!$H$2:$H$451,$H14,Dati!$A$2:$A$451,$AE14)+SUMIFS(Dati!$C$2:$C$451,Dati!$A$2:$A$451,$H14,Dati!$H$2:$H$451,$AE14)+SUMIFS(Dati!$J$2:$J$451,Dati!$H$2:$H$451,$H14,Dati!$A$2:$A$451,$AE14),"-")</f>
        <v/>
      </c>
      <c r="BD14" s="22">
        <f>IF(AND($H14&lt;&gt;"",$AF14&lt;&gt;"",$H14&lt;&gt;$AF14,IFERROR(VLOOKUP($H14,areaCercaPuntiClassificaSquadra,3,FALSE),-1)=IFERROR(VLOOKUP($AF14,areaCercaPuntiClassificaSquadra,3,FALSE),-2)),SUMIFS(Dati!$D$2:$D$451,Dati!$A$2:$A$451,$H14,Dati!$H$2:$H$451,$AF14)+SUMIFS(Dati!$K$2:$K$451,Dati!$H$2:$H$451,$H14,Dati!$A$2:$A$451,$AF14)+SUMIFS(Dati!$C$2:$C$451,Dati!$A$2:$A$451,$H14,Dati!$H$2:$H$451,$AF14)+SUMIFS(Dati!$J$2:$J$451,Dati!$H$2:$H$451,$H14,Dati!$A$2:$A$451,$AF14),"-")</f>
        <v/>
      </c>
      <c r="BE14" s="22">
        <f>IF(AND($H14&lt;&gt;"",$AG14&lt;&gt;"",$H14&lt;&gt;$AG14,IFERROR(VLOOKUP($H14,areaCercaPuntiClassificaSquadra,3,FALSE),-1)=IFERROR(VLOOKUP($AG14,areaCercaPuntiClassificaSquadra,3,FALSE),-2)),SUMIFS(Dati!$D$2:$D$451,Dati!$A$2:$A$451,$H14,Dati!$H$2:$H$451,$AG14)+SUMIFS(Dati!$K$2:$K$451,Dati!$H$2:$H$451,$H14,Dati!$A$2:$A$451,$AG14)+SUMIFS(Dati!$C$2:$C$451,Dati!$A$2:$A$451,$H14,Dati!$H$2:$H$451,$AG14)+SUMIFS(Dati!$J$2:$J$451,Dati!$H$2:$H$451,$H14,Dati!$A$2:$A$451,$AG14),"-")</f>
        <v/>
      </c>
      <c r="BF14" s="22">
        <f>IF(AND($H14&lt;&gt;"",$AH14&lt;&gt;"",$H14&lt;&gt;$AH14,IFERROR(VLOOKUP($H14,areaCercaPuntiClassificaSquadra,3,FALSE),-1)=IFERROR(VLOOKUP($AH14,areaCercaPuntiClassificaSquadra,3,FALSE),-2)),SUMIFS(Dati!$D$2:$D$451,Dati!$A$2:$A$451,$H14,Dati!$H$2:$H$451,$AH14)+SUMIFS(Dati!$K$2:$K$451,Dati!$H$2:$H$451,$H14,Dati!$A$2:$A$451,$AH14)+SUMIFS(Dati!$C$2:$C$451,Dati!$A$2:$A$451,$H14,Dati!$H$2:$H$451,$AH14)+SUMIFS(Dati!$J$2:$J$451,Dati!$H$2:$H$451,$H14,Dati!$A$2:$A$451,$AH14),"-")</f>
        <v/>
      </c>
      <c r="BH14" s="21">
        <f>$C14</f>
        <v/>
      </c>
      <c r="BI14" s="22">
        <f>IF(AND($H14&lt;&gt;"",$Y14&lt;&gt;"",$H14&lt;&gt;$Y14,IFERROR(VLOOKUP($H14,areaCercaPuntiClassificaSquadra,3,FALSE),-1)=IFERROR(VLOOKUP($Y14,areaCercaPuntiClassificaSquadra,3,FALSE),-2)),SUMIFS(Dati!$E$2:$E$451,Dati!$A$2:$A$451,$H14,Dati!$H$2:$H$451,$Y14)+SUMIFS(Dati!$L$2:$L$451,Dati!$H$2:$H$451,$H14,Dati!$A$2:$A$451,$Y14),"-")</f>
        <v/>
      </c>
      <c r="BJ14" s="22">
        <f>IF(AND($H14&lt;&gt;"",$Z14&lt;&gt;"",$H14&lt;&gt;$Z14,IFERROR(VLOOKUP($H14,areaCercaPuntiClassificaSquadra,3,FALSE),-1)=IFERROR(VLOOKUP($Z14,areaCercaPuntiClassificaSquadra,3,FALSE),-2)),SUMIFS(Dati!$E$2:$E$451,Dati!$A$2:$A$451,$H14,Dati!$H$2:$H$451,$Z14)+SUMIFS(Dati!$L$2:$L$451,Dati!$H$2:$H$451,$H14,Dati!$A$2:$A$451,$Z14),"-")</f>
        <v/>
      </c>
      <c r="BK14" s="22">
        <f>IF(AND($H14&lt;&gt;"",$AA14&lt;&gt;"",$H14&lt;&gt;$AA14,IFERROR(VLOOKUP($H14,areaCercaPuntiClassificaSquadra,3,FALSE),-1)=IFERROR(VLOOKUP($AA14,areaCercaPuntiClassificaSquadra,3,FALSE),-2)),SUMIFS(Dati!$E$2:$E$451,Dati!$A$2:$A$451,$H14,Dati!$H$2:$H$451,$AA14)+SUMIFS(Dati!$L$2:$L$451,Dati!$H$2:$H$451,$H14,Dati!$A$2:$A$451,$AA14),"-")</f>
        <v/>
      </c>
      <c r="BL14" s="22">
        <f>IF(AND($H14&lt;&gt;"",$AB14&lt;&gt;"",$H14&lt;&gt;$AB14,IFERROR(VLOOKUP($H14,areaCercaPuntiClassificaSquadra,3,FALSE),-1)=IFERROR(VLOOKUP($AB14,areaCercaPuntiClassificaSquadra,3,FALSE),-2)),SUMIFS(Dati!$E$2:$E$451,Dati!$A$2:$A$451,$H14,Dati!$H$2:$H$451,$AB14)+SUMIFS(Dati!$L$2:$L$451,Dati!$H$2:$H$451,$H14,Dati!$A$2:$A$451,$AB14),"-")</f>
        <v/>
      </c>
      <c r="BM14" s="22">
        <f>IF(AND($H14&lt;&gt;"",$AC14&lt;&gt;"",$H14&lt;&gt;$AC14,IFERROR(VLOOKUP($H14,areaCercaPuntiClassificaSquadra,3,FALSE),-1)=IFERROR(VLOOKUP($AC14,areaCercaPuntiClassificaSquadra,3,FALSE),-2)),SUMIFS(Dati!$E$2:$E$451,Dati!$A$2:$A$451,$H14,Dati!$H$2:$H$451,$AC14)+SUMIFS(Dati!$L$2:$L$451,Dati!$H$2:$H$451,$H14,Dati!$A$2:$A$451,$AC14),"-")</f>
        <v/>
      </c>
      <c r="BN14" s="22">
        <f>IF(AND($H14&lt;&gt;"",$AD14&lt;&gt;"",$H14&lt;&gt;$AD14,IFERROR(VLOOKUP($H14,areaCercaPuntiClassificaSquadra,3,FALSE),-1)=IFERROR(VLOOKUP($AD14,areaCercaPuntiClassificaSquadra,3,FALSE),-2)),SUMIFS(Dati!$E$2:$E$451,Dati!$A$2:$A$451,$H14,Dati!$H$2:$H$451,$AD14)+SUMIFS(Dati!$L$2:$L$451,Dati!$H$2:$H$451,$H14,Dati!$A$2:$A$451,$AD14),"-")</f>
        <v/>
      </c>
      <c r="BO14" s="22">
        <f>IF(AND($H14&lt;&gt;"",$AE14&lt;&gt;"",$H14&lt;&gt;$AE14,IFERROR(VLOOKUP($H14,areaCercaPuntiClassificaSquadra,3,FALSE),-1)=IFERROR(VLOOKUP($AE14,areaCercaPuntiClassificaSquadra,3,FALSE),-2)),SUMIFS(Dati!$E$2:$E$451,Dati!$A$2:$A$451,$H14,Dati!$H$2:$H$451,$AE14)+SUMIFS(Dati!$L$2:$L$451,Dati!$H$2:$H$451,$H14,Dati!$A$2:$A$451,$AE14),"-")</f>
        <v/>
      </c>
      <c r="BP14" s="22">
        <f>IF(AND($H14&lt;&gt;"",$AF14&lt;&gt;"",$H14&lt;&gt;$AF14,IFERROR(VLOOKUP($H14,areaCercaPuntiClassificaSquadra,3,FALSE),-1)=IFERROR(VLOOKUP($AF14,areaCercaPuntiClassificaSquadra,3,FALSE),-2)),SUMIFS(Dati!$E$2:$E$451,Dati!$A$2:$A$451,$H14,Dati!$H$2:$H$451,$AF14)+SUMIFS(Dati!$L$2:$L$451,Dati!$H$2:$H$451,$H14,Dati!$A$2:$A$451,$AF14),"-")</f>
        <v/>
      </c>
      <c r="BQ14" s="22">
        <f>IF(AND($H14&lt;&gt;"",$AG14&lt;&gt;"",$H14&lt;&gt;$AG14,IFERROR(VLOOKUP($H14,areaCercaPuntiClassificaSquadra,3,FALSE),-1)=IFERROR(VLOOKUP($AG14,areaCercaPuntiClassificaSquadra,3,FALSE),-2)),SUMIFS(Dati!$E$2:$E$451,Dati!$A$2:$A$451,$H14,Dati!$H$2:$H$451,$AG14)+SUMIFS(Dati!$L$2:$L$451,Dati!$H$2:$H$451,$H14,Dati!$A$2:$A$451,$AG14),"-")</f>
        <v/>
      </c>
      <c r="BR14" s="22">
        <f>IF(AND($H14&lt;&gt;"",$AH14&lt;&gt;"",$H14&lt;&gt;$AH14,IFERROR(VLOOKUP($H14,areaCercaPuntiClassificaSquadra,3,FALSE),-1)=IFERROR(VLOOKUP($AH14,areaCercaPuntiClassificaSquadra,3,FALSE),-2)),SUMIFS(Dati!$E$2:$E$451,Dati!$A$2:$A$451,$H14,Dati!$H$2:$H$451,$AH14)+SUMIFS(Dati!$L$2:$L$451,Dati!$H$2:$H$451,$H14,Dati!$A$2:$A$451,$AH14),"-")</f>
        <v/>
      </c>
      <c r="BT14" s="21">
        <f>$C14</f>
        <v/>
      </c>
      <c r="BU14" s="22">
        <f>IF(AND($H14&lt;&gt;"",$Y14&lt;&gt;"",$H14&lt;&gt;$Y14,IFERROR(VLOOKUP($H14,areaCercaPuntiClassificaSquadra,3,FALSE),-1)=IFERROR(VLOOKUP($Y14,areaCercaPuntiClassificaSquadra,3,FALSE),-2)),SUMIFS(Dati!$F$2:$F$451,Dati!$A$2:$A$451,$H14,Dati!$H$2:$H$451,$Y14)+SUMIFS(Dati!$M$2:$M$451,Dati!$H$2:$H$451,$H14,Dati!$A$2:$A$451,$Y14),"-")</f>
        <v/>
      </c>
      <c r="BV14" s="22">
        <f>IF(AND($H14&lt;&gt;"",$Z14&lt;&gt;"",$H14&lt;&gt;$Z14,IFERROR(VLOOKUP($H14,areaCercaPuntiClassificaSquadra,3,FALSE),-1)=IFERROR(VLOOKUP($Z14,areaCercaPuntiClassificaSquadra,3,FALSE),-2)),SUMIFS(Dati!$F$2:$F$451,Dati!$A$2:$A$451,$H14,Dati!$H$2:$H$451,$Z14)+SUMIFS(Dati!$M$2:$M$451,Dati!$H$2:$H$451,$H14,Dati!$A$2:$A$451,$Z14),"-")</f>
        <v/>
      </c>
      <c r="BW14" s="22">
        <f>IF(AND($H14&lt;&gt;"",$AA14&lt;&gt;"",$H14&lt;&gt;$AA14,IFERROR(VLOOKUP($H14,areaCercaPuntiClassificaSquadra,3,FALSE),-1)=IFERROR(VLOOKUP($AA14,areaCercaPuntiClassificaSquadra,3,FALSE),-2)),SUMIFS(Dati!$F$2:$F$451,Dati!$A$2:$A$451,$H14,Dati!$H$2:$H$451,$AA14)+SUMIFS(Dati!$M$2:$M$451,Dati!$H$2:$H$451,$H14,Dati!$A$2:$A$451,$AA14),"-")</f>
        <v/>
      </c>
      <c r="BX14" s="22">
        <f>IF(AND($H14&lt;&gt;"",$AB14&lt;&gt;"",$H14&lt;&gt;$AB14,IFERROR(VLOOKUP($H14,areaCercaPuntiClassificaSquadra,3,FALSE),-1)=IFERROR(VLOOKUP($AB14,areaCercaPuntiClassificaSquadra,3,FALSE),-2)),SUMIFS(Dati!$F$2:$F$451,Dati!$A$2:$A$451,$H14,Dati!$H$2:$H$451,$AB14)+SUMIFS(Dati!$M$2:$M$451,Dati!$H$2:$H$451,$H14,Dati!$A$2:$A$451,$AB14),"-")</f>
        <v/>
      </c>
      <c r="BY14" s="22">
        <f>IF(AND($H14&lt;&gt;"",$AC14&lt;&gt;"",$H14&lt;&gt;$AC14,IFERROR(VLOOKUP($H14,areaCercaPuntiClassificaSquadra,3,FALSE),-1)=IFERROR(VLOOKUP($AC14,areaCercaPuntiClassificaSquadra,3,FALSE),-2)),SUMIFS(Dati!$F$2:$F$451,Dati!$A$2:$A$451,$H14,Dati!$H$2:$H$451,$AC14)+SUMIFS(Dati!$M$2:$M$451,Dati!$H$2:$H$451,$H14,Dati!$A$2:$A$451,$AC14),"-")</f>
        <v/>
      </c>
      <c r="BZ14" s="22">
        <f>IF(AND($H14&lt;&gt;"",$AD14&lt;&gt;"",$H14&lt;&gt;$AD14,IFERROR(VLOOKUP($H14,areaCercaPuntiClassificaSquadra,3,FALSE),-1)=IFERROR(VLOOKUP($AD14,areaCercaPuntiClassificaSquadra,3,FALSE),-2)),SUMIFS(Dati!$F$2:$F$451,Dati!$A$2:$A$451,$H14,Dati!$H$2:$H$451,$AD14)+SUMIFS(Dati!$M$2:$M$451,Dati!$H$2:$H$451,$H14,Dati!$A$2:$A$451,$AD14),"-")</f>
        <v/>
      </c>
      <c r="CA14" s="22">
        <f>IF(AND($H14&lt;&gt;"",$AE14&lt;&gt;"",$H14&lt;&gt;$AE14,IFERROR(VLOOKUP($H14,areaCercaPuntiClassificaSquadra,3,FALSE),-1)=IFERROR(VLOOKUP($AE14,areaCercaPuntiClassificaSquadra,3,FALSE),-2)),SUMIFS(Dati!$F$2:$F$451,Dati!$A$2:$A$451,$H14,Dati!$H$2:$H$451,$AE14)+SUMIFS(Dati!$M$2:$M$451,Dati!$H$2:$H$451,$H14,Dati!$A$2:$A$451,$AE14),"-")</f>
        <v/>
      </c>
      <c r="CB14" s="22">
        <f>IF(AND($H14&lt;&gt;"",$AF14&lt;&gt;"",$H14&lt;&gt;$AF14,IFERROR(VLOOKUP($H14,areaCercaPuntiClassificaSquadra,3,FALSE),-1)=IFERROR(VLOOKUP($AF14,areaCercaPuntiClassificaSquadra,3,FALSE),-2)),SUMIFS(Dati!$F$2:$F$451,Dati!$A$2:$A$451,$H14,Dati!$H$2:$H$451,$AF14)+SUMIFS(Dati!$M$2:$M$451,Dati!$H$2:$H$451,$H14,Dati!$A$2:$A$451,$AF14),"-")</f>
        <v/>
      </c>
      <c r="CC14" s="22">
        <f>IF(AND($H14&lt;&gt;"",$AG14&lt;&gt;"",$H14&lt;&gt;$AG14,IFERROR(VLOOKUP($H14,areaCercaPuntiClassificaSquadra,3,FALSE),-1)=IFERROR(VLOOKUP($AG14,areaCercaPuntiClassificaSquadra,3,FALSE),-2)),SUMIFS(Dati!$F$2:$F$451,Dati!$A$2:$A$451,$H14,Dati!$H$2:$H$451,$AG14)+SUMIFS(Dati!$M$2:$M$451,Dati!$H$2:$H$451,$H14,Dati!$A$2:$A$451,$AG14),"-")</f>
        <v/>
      </c>
      <c r="CD14" s="22">
        <f>IF(AND($H14&lt;&gt;"",$AH14&lt;&gt;"",$H14&lt;&gt;$AH14,IFERROR(VLOOKUP($H14,areaCercaPuntiClassificaSquadra,3,FALSE),-1)=IFERROR(VLOOKUP($AH14,areaCercaPuntiClassificaSquadra,3,FALSE),-2)),SUMIFS(Dati!$F$2:$F$451,Dati!$A$2:$A$451,$H14,Dati!$H$2:$H$451,$AH14)+SUMIFS(Dati!$M$2:$M$451,Dati!$H$2:$H$451,$H14,Dati!$A$2:$A$451,$AH14),"-")</f>
        <v/>
      </c>
      <c r="CF14" s="22">
        <f>IF($C14="","",SUM(AK14:AT14))</f>
        <v/>
      </c>
    </row>
    <row r="15">
      <c r="B15" s="12" t="inlineStr">
        <is>
          <t>A02</t>
        </is>
      </c>
      <c r="C15" s="13" t="n"/>
      <c r="D15" s="14" t="n"/>
      <c r="E15" s="15" t="inlineStr">
        <is>
          <t>A</t>
        </is>
      </c>
      <c r="G15" s="16">
        <f>IF($C15="","",$E15&amp;(COUNTIFS(I$14:I$113,"&gt;"&amp;I15,E$14:E$113,"="&amp;E15,C$14:C$113,"&lt;&gt;")+COUNTIFS(I$14:I$113,"="&amp;I15,H$14:H$113,"&lt;="&amp;H15,E$14:E$113,"="&amp;E15,C$14:C$113,"&lt;&gt;")))</f>
        <v/>
      </c>
      <c r="H15" s="17">
        <f>IF($C15="","",IFERROR(LEFT($C15,FIND("-",$C15)-1),$C15))</f>
        <v/>
      </c>
      <c r="I15" s="12">
        <f>TEXT(1000000000+J15,"|0000000000|")&amp;TEXT(SUM(AK15:AT15),"0000000000|")&amp;IF(SUM(BU15:CD15)=0,"0000000000|",TEXT(ROUND(SUM(BI15:BR15)/SUM(BU15:CD15),4)*100000,"0000000000|"))&amp;IF(P15=0,"0000000000|",TEXT(ROUND(O15/P15,4)*100000,"0000000000|"))</f>
        <v/>
      </c>
      <c r="J15" s="16">
        <f>L15*constPuntiVittoria+M15*constPuntiSconfitta+N15*constPuntiForfait+IF(D15="",0,D15)</f>
        <v/>
      </c>
      <c r="K15" s="12">
        <f>SUM(L15:N15)</f>
        <v/>
      </c>
      <c r="L15" s="12">
        <f>IF($H15="",0,SUMIF(Dati!$A$2:$A$451,$H15,Dati!$B$2:$B$451)+SUMIF(Dati!$H$2:$H$451,$H15,Dati!$I$2:$I$451))</f>
        <v/>
      </c>
      <c r="M15" s="12">
        <f>IF($H15="",0,SUMIF(Dati!$A$2:$A$451,$H15,Dati!$D$2:$D$451)+SUMIF(Dati!$H$2:$H$451,$H15,Dati!$K$2:$K$451))</f>
        <v/>
      </c>
      <c r="N15" s="12">
        <f>IF($H15="",0,SUMIF(Dati!$A$2:$A$451,$H15,Dati!$C$2:$C$451)+SUMIF(Dati!$H$2:$H$451,$H15,Dati!$J$2:$J$451))</f>
        <v/>
      </c>
      <c r="O15" s="12">
        <f>IF($H15="",0,SUMIF(Dati!$A$2:$A$451,$H15,Dati!$E$2:$E$451)+SUMIF(Dati!$H$2:$H$451,$H15,Dati!$L$2:$L$451))</f>
        <v/>
      </c>
      <c r="P15" s="12">
        <f>IF($H15="",0,SUMIF(Dati!$A$2:$A$451,$H15,Dati!$F$2:$F$451)+SUMIF(Dati!$H$2:$H$451,$H15,Dati!$M$2:$M$451))</f>
        <v/>
      </c>
      <c r="Q15" s="12">
        <f>IF($H15="",0,SUMIF(Dati!$A$2:$A$451,$H15,Dati!$G$2:$G$451)+SUMIF(Dati!$H$2:$H$451,$H15,Dati!$N$2:$N$451))</f>
        <v/>
      </c>
      <c r="R15" s="12">
        <f>IF(K15=0,0,ROUND(O15/K15,2))</f>
        <v/>
      </c>
      <c r="S15" s="12">
        <f>IF(K15=0,0,ROUND(P15/K15,2))</f>
        <v/>
      </c>
      <c r="T15" s="12">
        <f>IF(K15=0,0,ROUND(Q15/K15,2))</f>
        <v/>
      </c>
      <c r="U15" s="12">
        <f>IF(COUNTIFS($E$14:$E$113,$E15,$J$14:$J$113,$J15,$C$14:$C$113,"&lt;&gt;")&lt;=1,"-",SUM(AK15:AT15)&amp;"-"&amp;SUM(AW15:BF15))</f>
        <v/>
      </c>
      <c r="V15" s="18">
        <f>IF(COUNTIFS($E$14:$E$113,$E15,$J$14:$J$113,$J15,$C$14:$C$113,"&lt;&gt;",$CF$14:$CF$113,$CF15)&lt;=1,"-",IF(SUM(BU15:CD15)=0,0,ROUND(SUM(BI15:BR15)/SUM(BU15:CD15),3)))</f>
        <v/>
      </c>
      <c r="W15" s="18">
        <f>IF(COUNTIFS($E$14:$E$113,$E15,$J$14:$J$113,$J15,$C$14:$C$113,"&lt;&gt;",$CF$14:$CF$113,$CF15,$V$14:$V$113,$V15)&lt;=1,"-",IF(P15=0,0,ROUND(O15/P15,3)))</f>
        <v/>
      </c>
      <c r="X15" s="19">
        <f>IF($C15="","",$E15&amp;"#"&amp;COUNTIFS($E$14:$E15,$E15,$C$14:$C15,"&lt;&gt;"))</f>
        <v/>
      </c>
      <c r="Y15" s="20">
        <f>IFERROR(INDEX($H$14:$H$113,MATCH($E15&amp;"#1",$X$14:$X$113,0)),"")</f>
        <v/>
      </c>
      <c r="Z15" s="20">
        <f>IFERROR(INDEX($H$14:$H$113,MATCH($E15&amp;"#2",$X$14:$X$113,0)),"")</f>
        <v/>
      </c>
      <c r="AA15" s="20">
        <f>IFERROR(INDEX($H$14:$H$113,MATCH($E15&amp;"#3",$X$14:$X$113,0)),"")</f>
        <v/>
      </c>
      <c r="AB15" s="20">
        <f>IFERROR(INDEX($H$14:$H$113,MATCH($E15&amp;"#4",$X$14:$X$113,0)),"")</f>
        <v/>
      </c>
      <c r="AC15" s="20">
        <f>IFERROR(INDEX($H$14:$H$113,MATCH($E15&amp;"#5",$X$14:$X$113,0)),"")</f>
        <v/>
      </c>
      <c r="AD15" s="20">
        <f>IFERROR(INDEX($H$14:$H$113,MATCH($E15&amp;"#6",$X$14:$X$113,0)),"")</f>
        <v/>
      </c>
      <c r="AE15" s="20">
        <f>IFERROR(INDEX($H$14:$H$113,MATCH($E15&amp;"#7",$X$14:$X$113,0)),"")</f>
        <v/>
      </c>
      <c r="AF15" s="20">
        <f>IFERROR(INDEX($H$14:$H$113,MATCH($E15&amp;"#8",$X$14:$X$113,0)),"")</f>
        <v/>
      </c>
      <c r="AG15" s="20">
        <f>IFERROR(INDEX($H$14:$H$113,MATCH($E15&amp;"#9",$X$14:$X$113,0)),"")</f>
        <v/>
      </c>
      <c r="AH15" s="20">
        <f>IFERROR(INDEX($H$14:$H$113,MATCH($E15&amp;"#10",$X$14:$X$113,0)),"")</f>
        <v/>
      </c>
      <c r="AJ15" s="21">
        <f>$C15</f>
        <v/>
      </c>
      <c r="AK15" s="22">
        <f>IF(AND($H15&lt;&gt;"",$Y15&lt;&gt;"",$H15&lt;&gt;$Y15,IFERROR(VLOOKUP($H15,areaCercaPuntiClassificaSquadra,3,FALSE),-1)=IFERROR(VLOOKUP($Y15,areaCercaPuntiClassificaSquadra,3,FALSE),-2)),SUMIFS(Dati!$B$2:$B$451,Dati!$A$2:$A$451,$H15,Dati!$H$2:$H$451,$Y15)+SUMIFS(Dati!$I$2:$I$451,Dati!$H$2:$H$451,$H15,Dati!$A$2:$A$451,$Y15),"-")</f>
        <v/>
      </c>
      <c r="AL15" s="22">
        <f>IF(AND($H15&lt;&gt;"",$Z15&lt;&gt;"",$H15&lt;&gt;$Z15,IFERROR(VLOOKUP($H15,areaCercaPuntiClassificaSquadra,3,FALSE),-1)=IFERROR(VLOOKUP($Z15,areaCercaPuntiClassificaSquadra,3,FALSE),-2)),SUMIFS(Dati!$B$2:$B$451,Dati!$A$2:$A$451,$H15,Dati!$H$2:$H$451,$Z15)+SUMIFS(Dati!$I$2:$I$451,Dati!$H$2:$H$451,$H15,Dati!$A$2:$A$451,$Z15),"-")</f>
        <v/>
      </c>
      <c r="AM15" s="22">
        <f>IF(AND($H15&lt;&gt;"",$AA15&lt;&gt;"",$H15&lt;&gt;$AA15,IFERROR(VLOOKUP($H15,areaCercaPuntiClassificaSquadra,3,FALSE),-1)=IFERROR(VLOOKUP($AA15,areaCercaPuntiClassificaSquadra,3,FALSE),-2)),SUMIFS(Dati!$B$2:$B$451,Dati!$A$2:$A$451,$H15,Dati!$H$2:$H$451,$AA15)+SUMIFS(Dati!$I$2:$I$451,Dati!$H$2:$H$451,$H15,Dati!$A$2:$A$451,$AA15),"-")</f>
        <v/>
      </c>
      <c r="AN15" s="22">
        <f>IF(AND($H15&lt;&gt;"",$AB15&lt;&gt;"",$H15&lt;&gt;$AB15,IFERROR(VLOOKUP($H15,areaCercaPuntiClassificaSquadra,3,FALSE),-1)=IFERROR(VLOOKUP($AB15,areaCercaPuntiClassificaSquadra,3,FALSE),-2)),SUMIFS(Dati!$B$2:$B$451,Dati!$A$2:$A$451,$H15,Dati!$H$2:$H$451,$AB15)+SUMIFS(Dati!$I$2:$I$451,Dati!$H$2:$H$451,$H15,Dati!$A$2:$A$451,$AB15),"-")</f>
        <v/>
      </c>
      <c r="AO15" s="22">
        <f>IF(AND($H15&lt;&gt;"",$AC15&lt;&gt;"",$H15&lt;&gt;$AC15,IFERROR(VLOOKUP($H15,areaCercaPuntiClassificaSquadra,3,FALSE),-1)=IFERROR(VLOOKUP($AC15,areaCercaPuntiClassificaSquadra,3,FALSE),-2)),SUMIFS(Dati!$B$2:$B$451,Dati!$A$2:$A$451,$H15,Dati!$H$2:$H$451,$AC15)+SUMIFS(Dati!$I$2:$I$451,Dati!$H$2:$H$451,$H15,Dati!$A$2:$A$451,$AC15),"-")</f>
        <v/>
      </c>
      <c r="AP15" s="22">
        <f>IF(AND($H15&lt;&gt;"",$AD15&lt;&gt;"",$H15&lt;&gt;$AD15,IFERROR(VLOOKUP($H15,areaCercaPuntiClassificaSquadra,3,FALSE),-1)=IFERROR(VLOOKUP($AD15,areaCercaPuntiClassificaSquadra,3,FALSE),-2)),SUMIFS(Dati!$B$2:$B$451,Dati!$A$2:$A$451,$H15,Dati!$H$2:$H$451,$AD15)+SUMIFS(Dati!$I$2:$I$451,Dati!$H$2:$H$451,$H15,Dati!$A$2:$A$451,$AD15),"-")</f>
        <v/>
      </c>
      <c r="AQ15" s="22">
        <f>IF(AND($H15&lt;&gt;"",$AE15&lt;&gt;"",$H15&lt;&gt;$AE15,IFERROR(VLOOKUP($H15,areaCercaPuntiClassificaSquadra,3,FALSE),-1)=IFERROR(VLOOKUP($AE15,areaCercaPuntiClassificaSquadra,3,FALSE),-2)),SUMIFS(Dati!$B$2:$B$451,Dati!$A$2:$A$451,$H15,Dati!$H$2:$H$451,$AE15)+SUMIFS(Dati!$I$2:$I$451,Dati!$H$2:$H$451,$H15,Dati!$A$2:$A$451,$AE15),"-")</f>
        <v/>
      </c>
      <c r="AR15" s="22">
        <f>IF(AND($H15&lt;&gt;"",$AF15&lt;&gt;"",$H15&lt;&gt;$AF15,IFERROR(VLOOKUP($H15,areaCercaPuntiClassificaSquadra,3,FALSE),-1)=IFERROR(VLOOKUP($AF15,areaCercaPuntiClassificaSquadra,3,FALSE),-2)),SUMIFS(Dati!$B$2:$B$451,Dati!$A$2:$A$451,$H15,Dati!$H$2:$H$451,$AF15)+SUMIFS(Dati!$I$2:$I$451,Dati!$H$2:$H$451,$H15,Dati!$A$2:$A$451,$AF15),"-")</f>
        <v/>
      </c>
      <c r="AS15" s="22">
        <f>IF(AND($H15&lt;&gt;"",$AG15&lt;&gt;"",$H15&lt;&gt;$AG15,IFERROR(VLOOKUP($H15,areaCercaPuntiClassificaSquadra,3,FALSE),-1)=IFERROR(VLOOKUP($AG15,areaCercaPuntiClassificaSquadra,3,FALSE),-2)),SUMIFS(Dati!$B$2:$B$451,Dati!$A$2:$A$451,$H15,Dati!$H$2:$H$451,$AG15)+SUMIFS(Dati!$I$2:$I$451,Dati!$H$2:$H$451,$H15,Dati!$A$2:$A$451,$AG15),"-")</f>
        <v/>
      </c>
      <c r="AT15" s="22">
        <f>IF(AND($H15&lt;&gt;"",$AH15&lt;&gt;"",$H15&lt;&gt;$AH15,IFERROR(VLOOKUP($H15,areaCercaPuntiClassificaSquadra,3,FALSE),-1)=IFERROR(VLOOKUP($AH15,areaCercaPuntiClassificaSquadra,3,FALSE),-2)),SUMIFS(Dati!$B$2:$B$451,Dati!$A$2:$A$451,$H15,Dati!$H$2:$H$451,$AH15)+SUMIFS(Dati!$I$2:$I$451,Dati!$H$2:$H$451,$H15,Dati!$A$2:$A$451,$AH15),"-")</f>
        <v/>
      </c>
      <c r="AV15" s="21">
        <f>$C15</f>
        <v/>
      </c>
      <c r="AW15" s="22">
        <f>IF(AND($H15&lt;&gt;"",$Y15&lt;&gt;"",$H15&lt;&gt;$Y15,IFERROR(VLOOKUP($H15,areaCercaPuntiClassificaSquadra,3,FALSE),-1)=IFERROR(VLOOKUP($Y15,areaCercaPuntiClassificaSquadra,3,FALSE),-2)),SUMIFS(Dati!$D$2:$D$451,Dati!$A$2:$A$451,$H15,Dati!$H$2:$H$451,$Y15)+SUMIFS(Dati!$K$2:$K$451,Dati!$H$2:$H$451,$H15,Dati!$A$2:$A$451,$Y15)+SUMIFS(Dati!$C$2:$C$451,Dati!$A$2:$A$451,$H15,Dati!$H$2:$H$451,$Y15)+SUMIFS(Dati!$J$2:$J$451,Dati!$H$2:$H$451,$H15,Dati!$A$2:$A$451,$Y15),"-")</f>
        <v/>
      </c>
      <c r="AX15" s="22">
        <f>IF(AND($H15&lt;&gt;"",$Z15&lt;&gt;"",$H15&lt;&gt;$Z15,IFERROR(VLOOKUP($H15,areaCercaPuntiClassificaSquadra,3,FALSE),-1)=IFERROR(VLOOKUP($Z15,areaCercaPuntiClassificaSquadra,3,FALSE),-2)),SUMIFS(Dati!$D$2:$D$451,Dati!$A$2:$A$451,$H15,Dati!$H$2:$H$451,$Z15)+SUMIFS(Dati!$K$2:$K$451,Dati!$H$2:$H$451,$H15,Dati!$A$2:$A$451,$Z15)+SUMIFS(Dati!$C$2:$C$451,Dati!$A$2:$A$451,$H15,Dati!$H$2:$H$451,$Z15)+SUMIFS(Dati!$J$2:$J$451,Dati!$H$2:$H$451,$H15,Dati!$A$2:$A$451,$Z15),"-")</f>
        <v/>
      </c>
      <c r="AY15" s="22">
        <f>IF(AND($H15&lt;&gt;"",$AA15&lt;&gt;"",$H15&lt;&gt;$AA15,IFERROR(VLOOKUP($H15,areaCercaPuntiClassificaSquadra,3,FALSE),-1)=IFERROR(VLOOKUP($AA15,areaCercaPuntiClassificaSquadra,3,FALSE),-2)),SUMIFS(Dati!$D$2:$D$451,Dati!$A$2:$A$451,$H15,Dati!$H$2:$H$451,$AA15)+SUMIFS(Dati!$K$2:$K$451,Dati!$H$2:$H$451,$H15,Dati!$A$2:$A$451,$AA15)+SUMIFS(Dati!$C$2:$C$451,Dati!$A$2:$A$451,$H15,Dati!$H$2:$H$451,$AA15)+SUMIFS(Dati!$J$2:$J$451,Dati!$H$2:$H$451,$H15,Dati!$A$2:$A$451,$AA15),"-")</f>
        <v/>
      </c>
      <c r="AZ15" s="22">
        <f>IF(AND($H15&lt;&gt;"",$AB15&lt;&gt;"",$H15&lt;&gt;$AB15,IFERROR(VLOOKUP($H15,areaCercaPuntiClassificaSquadra,3,FALSE),-1)=IFERROR(VLOOKUP($AB15,areaCercaPuntiClassificaSquadra,3,FALSE),-2)),SUMIFS(Dati!$D$2:$D$451,Dati!$A$2:$A$451,$H15,Dati!$H$2:$H$451,$AB15)+SUMIFS(Dati!$K$2:$K$451,Dati!$H$2:$H$451,$H15,Dati!$A$2:$A$451,$AB15)+SUMIFS(Dati!$C$2:$C$451,Dati!$A$2:$A$451,$H15,Dati!$H$2:$H$451,$AB15)+SUMIFS(Dati!$J$2:$J$451,Dati!$H$2:$H$451,$H15,Dati!$A$2:$A$451,$AB15),"-")</f>
        <v/>
      </c>
      <c r="BA15" s="22">
        <f>IF(AND($H15&lt;&gt;"",$AC15&lt;&gt;"",$H15&lt;&gt;$AC15,IFERROR(VLOOKUP($H15,areaCercaPuntiClassificaSquadra,3,FALSE),-1)=IFERROR(VLOOKUP($AC15,areaCercaPuntiClassificaSquadra,3,FALSE),-2)),SUMIFS(Dati!$D$2:$D$451,Dati!$A$2:$A$451,$H15,Dati!$H$2:$H$451,$AC15)+SUMIFS(Dati!$K$2:$K$451,Dati!$H$2:$H$451,$H15,Dati!$A$2:$A$451,$AC15)+SUMIFS(Dati!$C$2:$C$451,Dati!$A$2:$A$451,$H15,Dati!$H$2:$H$451,$AC15)+SUMIFS(Dati!$J$2:$J$451,Dati!$H$2:$H$451,$H15,Dati!$A$2:$A$451,$AC15),"-")</f>
        <v/>
      </c>
      <c r="BB15" s="22">
        <f>IF(AND($H15&lt;&gt;"",$AD15&lt;&gt;"",$H15&lt;&gt;$AD15,IFERROR(VLOOKUP($H15,areaCercaPuntiClassificaSquadra,3,FALSE),-1)=IFERROR(VLOOKUP($AD15,areaCercaPuntiClassificaSquadra,3,FALSE),-2)),SUMIFS(Dati!$D$2:$D$451,Dati!$A$2:$A$451,$H15,Dati!$H$2:$H$451,$AD15)+SUMIFS(Dati!$K$2:$K$451,Dati!$H$2:$H$451,$H15,Dati!$A$2:$A$451,$AD15)+SUMIFS(Dati!$C$2:$C$451,Dati!$A$2:$A$451,$H15,Dati!$H$2:$H$451,$AD15)+SUMIFS(Dati!$J$2:$J$451,Dati!$H$2:$H$451,$H15,Dati!$A$2:$A$451,$AD15),"-")</f>
        <v/>
      </c>
      <c r="BC15" s="22">
        <f>IF(AND($H15&lt;&gt;"",$AE15&lt;&gt;"",$H15&lt;&gt;$AE15,IFERROR(VLOOKUP($H15,areaCercaPuntiClassificaSquadra,3,FALSE),-1)=IFERROR(VLOOKUP($AE15,areaCercaPuntiClassificaSquadra,3,FALSE),-2)),SUMIFS(Dati!$D$2:$D$451,Dati!$A$2:$A$451,$H15,Dati!$H$2:$H$451,$AE15)+SUMIFS(Dati!$K$2:$K$451,Dati!$H$2:$H$451,$H15,Dati!$A$2:$A$451,$AE15)+SUMIFS(Dati!$C$2:$C$451,Dati!$A$2:$A$451,$H15,Dati!$H$2:$H$451,$AE15)+SUMIFS(Dati!$J$2:$J$451,Dati!$H$2:$H$451,$H15,Dati!$A$2:$A$451,$AE15),"-")</f>
        <v/>
      </c>
      <c r="BD15" s="22">
        <f>IF(AND($H15&lt;&gt;"",$AF15&lt;&gt;"",$H15&lt;&gt;$AF15,IFERROR(VLOOKUP($H15,areaCercaPuntiClassificaSquadra,3,FALSE),-1)=IFERROR(VLOOKUP($AF15,areaCercaPuntiClassificaSquadra,3,FALSE),-2)),SUMIFS(Dati!$D$2:$D$451,Dati!$A$2:$A$451,$H15,Dati!$H$2:$H$451,$AF15)+SUMIFS(Dati!$K$2:$K$451,Dati!$H$2:$H$451,$H15,Dati!$A$2:$A$451,$AF15)+SUMIFS(Dati!$C$2:$C$451,Dati!$A$2:$A$451,$H15,Dati!$H$2:$H$451,$AF15)+SUMIFS(Dati!$J$2:$J$451,Dati!$H$2:$H$451,$H15,Dati!$A$2:$A$451,$AF15),"-")</f>
        <v/>
      </c>
      <c r="BE15" s="22">
        <f>IF(AND($H15&lt;&gt;"",$AG15&lt;&gt;"",$H15&lt;&gt;$AG15,IFERROR(VLOOKUP($H15,areaCercaPuntiClassificaSquadra,3,FALSE),-1)=IFERROR(VLOOKUP($AG15,areaCercaPuntiClassificaSquadra,3,FALSE),-2)),SUMIFS(Dati!$D$2:$D$451,Dati!$A$2:$A$451,$H15,Dati!$H$2:$H$451,$AG15)+SUMIFS(Dati!$K$2:$K$451,Dati!$H$2:$H$451,$H15,Dati!$A$2:$A$451,$AG15)+SUMIFS(Dati!$C$2:$C$451,Dati!$A$2:$A$451,$H15,Dati!$H$2:$H$451,$AG15)+SUMIFS(Dati!$J$2:$J$451,Dati!$H$2:$H$451,$H15,Dati!$A$2:$A$451,$AG15),"-")</f>
        <v/>
      </c>
      <c r="BF15" s="22">
        <f>IF(AND($H15&lt;&gt;"",$AH15&lt;&gt;"",$H15&lt;&gt;$AH15,IFERROR(VLOOKUP($H15,areaCercaPuntiClassificaSquadra,3,FALSE),-1)=IFERROR(VLOOKUP($AH15,areaCercaPuntiClassificaSquadra,3,FALSE),-2)),SUMIFS(Dati!$D$2:$D$451,Dati!$A$2:$A$451,$H15,Dati!$H$2:$H$451,$AH15)+SUMIFS(Dati!$K$2:$K$451,Dati!$H$2:$H$451,$H15,Dati!$A$2:$A$451,$AH15)+SUMIFS(Dati!$C$2:$C$451,Dati!$A$2:$A$451,$H15,Dati!$H$2:$H$451,$AH15)+SUMIFS(Dati!$J$2:$J$451,Dati!$H$2:$H$451,$H15,Dati!$A$2:$A$451,$AH15),"-")</f>
        <v/>
      </c>
      <c r="BH15" s="21">
        <f>$C15</f>
        <v/>
      </c>
      <c r="BI15" s="22">
        <f>IF(AND($H15&lt;&gt;"",$Y15&lt;&gt;"",$H15&lt;&gt;$Y15,IFERROR(VLOOKUP($H15,areaCercaPuntiClassificaSquadra,3,FALSE),-1)=IFERROR(VLOOKUP($Y15,areaCercaPuntiClassificaSquadra,3,FALSE),-2)),SUMIFS(Dati!$E$2:$E$451,Dati!$A$2:$A$451,$H15,Dati!$H$2:$H$451,$Y15)+SUMIFS(Dati!$L$2:$L$451,Dati!$H$2:$H$451,$H15,Dati!$A$2:$A$451,$Y15),"-")</f>
        <v/>
      </c>
      <c r="BJ15" s="22">
        <f>IF(AND($H15&lt;&gt;"",$Z15&lt;&gt;"",$H15&lt;&gt;$Z15,IFERROR(VLOOKUP($H15,areaCercaPuntiClassificaSquadra,3,FALSE),-1)=IFERROR(VLOOKUP($Z15,areaCercaPuntiClassificaSquadra,3,FALSE),-2)),SUMIFS(Dati!$E$2:$E$451,Dati!$A$2:$A$451,$H15,Dati!$H$2:$H$451,$Z15)+SUMIFS(Dati!$L$2:$L$451,Dati!$H$2:$H$451,$H15,Dati!$A$2:$A$451,$Z15),"-")</f>
        <v/>
      </c>
      <c r="BK15" s="22">
        <f>IF(AND($H15&lt;&gt;"",$AA15&lt;&gt;"",$H15&lt;&gt;$AA15,IFERROR(VLOOKUP($H15,areaCercaPuntiClassificaSquadra,3,FALSE),-1)=IFERROR(VLOOKUP($AA15,areaCercaPuntiClassificaSquadra,3,FALSE),-2)),SUMIFS(Dati!$E$2:$E$451,Dati!$A$2:$A$451,$H15,Dati!$H$2:$H$451,$AA15)+SUMIFS(Dati!$L$2:$L$451,Dati!$H$2:$H$451,$H15,Dati!$A$2:$A$451,$AA15),"-")</f>
        <v/>
      </c>
      <c r="BL15" s="22">
        <f>IF(AND($H15&lt;&gt;"",$AB15&lt;&gt;"",$H15&lt;&gt;$AB15,IFERROR(VLOOKUP($H15,areaCercaPuntiClassificaSquadra,3,FALSE),-1)=IFERROR(VLOOKUP($AB15,areaCercaPuntiClassificaSquadra,3,FALSE),-2)),SUMIFS(Dati!$E$2:$E$451,Dati!$A$2:$A$451,$H15,Dati!$H$2:$H$451,$AB15)+SUMIFS(Dati!$L$2:$L$451,Dati!$H$2:$H$451,$H15,Dati!$A$2:$A$451,$AB15),"-")</f>
        <v/>
      </c>
      <c r="BM15" s="22">
        <f>IF(AND($H15&lt;&gt;"",$AC15&lt;&gt;"",$H15&lt;&gt;$AC15,IFERROR(VLOOKUP($H15,areaCercaPuntiClassificaSquadra,3,FALSE),-1)=IFERROR(VLOOKUP($AC15,areaCercaPuntiClassificaSquadra,3,FALSE),-2)),SUMIFS(Dati!$E$2:$E$451,Dati!$A$2:$A$451,$H15,Dati!$H$2:$H$451,$AC15)+SUMIFS(Dati!$L$2:$L$451,Dati!$H$2:$H$451,$H15,Dati!$A$2:$A$451,$AC15),"-")</f>
        <v/>
      </c>
      <c r="BN15" s="22">
        <f>IF(AND($H15&lt;&gt;"",$AD15&lt;&gt;"",$H15&lt;&gt;$AD15,IFERROR(VLOOKUP($H15,areaCercaPuntiClassificaSquadra,3,FALSE),-1)=IFERROR(VLOOKUP($AD15,areaCercaPuntiClassificaSquadra,3,FALSE),-2)),SUMIFS(Dati!$E$2:$E$451,Dati!$A$2:$A$451,$H15,Dati!$H$2:$H$451,$AD15)+SUMIFS(Dati!$L$2:$L$451,Dati!$H$2:$H$451,$H15,Dati!$A$2:$A$451,$AD15),"-")</f>
        <v/>
      </c>
      <c r="BO15" s="22">
        <f>IF(AND($H15&lt;&gt;"",$AE15&lt;&gt;"",$H15&lt;&gt;$AE15,IFERROR(VLOOKUP($H15,areaCercaPuntiClassificaSquadra,3,FALSE),-1)=IFERROR(VLOOKUP($AE15,areaCercaPuntiClassificaSquadra,3,FALSE),-2)),SUMIFS(Dati!$E$2:$E$451,Dati!$A$2:$A$451,$H15,Dati!$H$2:$H$451,$AE15)+SUMIFS(Dati!$L$2:$L$451,Dati!$H$2:$H$451,$H15,Dati!$A$2:$A$451,$AE15),"-")</f>
        <v/>
      </c>
      <c r="BP15" s="22">
        <f>IF(AND($H15&lt;&gt;"",$AF15&lt;&gt;"",$H15&lt;&gt;$AF15,IFERROR(VLOOKUP($H15,areaCercaPuntiClassificaSquadra,3,FALSE),-1)=IFERROR(VLOOKUP($AF15,areaCercaPuntiClassificaSquadra,3,FALSE),-2)),SUMIFS(Dati!$E$2:$E$451,Dati!$A$2:$A$451,$H15,Dati!$H$2:$H$451,$AF15)+SUMIFS(Dati!$L$2:$L$451,Dati!$H$2:$H$451,$H15,Dati!$A$2:$A$451,$AF15),"-")</f>
        <v/>
      </c>
      <c r="BQ15" s="22">
        <f>IF(AND($H15&lt;&gt;"",$AG15&lt;&gt;"",$H15&lt;&gt;$AG15,IFERROR(VLOOKUP($H15,areaCercaPuntiClassificaSquadra,3,FALSE),-1)=IFERROR(VLOOKUP($AG15,areaCercaPuntiClassificaSquadra,3,FALSE),-2)),SUMIFS(Dati!$E$2:$E$451,Dati!$A$2:$A$451,$H15,Dati!$H$2:$H$451,$AG15)+SUMIFS(Dati!$L$2:$L$451,Dati!$H$2:$H$451,$H15,Dati!$A$2:$A$451,$AG15),"-")</f>
        <v/>
      </c>
      <c r="BR15" s="22">
        <f>IF(AND($H15&lt;&gt;"",$AH15&lt;&gt;"",$H15&lt;&gt;$AH15,IFERROR(VLOOKUP($H15,areaCercaPuntiClassificaSquadra,3,FALSE),-1)=IFERROR(VLOOKUP($AH15,areaCercaPuntiClassificaSquadra,3,FALSE),-2)),SUMIFS(Dati!$E$2:$E$451,Dati!$A$2:$A$451,$H15,Dati!$H$2:$H$451,$AH15)+SUMIFS(Dati!$L$2:$L$451,Dati!$H$2:$H$451,$H15,Dati!$A$2:$A$451,$AH15),"-")</f>
        <v/>
      </c>
      <c r="BT15" s="21">
        <f>$C15</f>
        <v/>
      </c>
      <c r="BU15" s="22">
        <f>IF(AND($H15&lt;&gt;"",$Y15&lt;&gt;"",$H15&lt;&gt;$Y15,IFERROR(VLOOKUP($H15,areaCercaPuntiClassificaSquadra,3,FALSE),-1)=IFERROR(VLOOKUP($Y15,areaCercaPuntiClassificaSquadra,3,FALSE),-2)),SUMIFS(Dati!$F$2:$F$451,Dati!$A$2:$A$451,$H15,Dati!$H$2:$H$451,$Y15)+SUMIFS(Dati!$M$2:$M$451,Dati!$H$2:$H$451,$H15,Dati!$A$2:$A$451,$Y15),"-")</f>
        <v/>
      </c>
      <c r="BV15" s="22">
        <f>IF(AND($H15&lt;&gt;"",$Z15&lt;&gt;"",$H15&lt;&gt;$Z15,IFERROR(VLOOKUP($H15,areaCercaPuntiClassificaSquadra,3,FALSE),-1)=IFERROR(VLOOKUP($Z15,areaCercaPuntiClassificaSquadra,3,FALSE),-2)),SUMIFS(Dati!$F$2:$F$451,Dati!$A$2:$A$451,$H15,Dati!$H$2:$H$451,$Z15)+SUMIFS(Dati!$M$2:$M$451,Dati!$H$2:$H$451,$H15,Dati!$A$2:$A$451,$Z15),"-")</f>
        <v/>
      </c>
      <c r="BW15" s="22">
        <f>IF(AND($H15&lt;&gt;"",$AA15&lt;&gt;"",$H15&lt;&gt;$AA15,IFERROR(VLOOKUP($H15,areaCercaPuntiClassificaSquadra,3,FALSE),-1)=IFERROR(VLOOKUP($AA15,areaCercaPuntiClassificaSquadra,3,FALSE),-2)),SUMIFS(Dati!$F$2:$F$451,Dati!$A$2:$A$451,$H15,Dati!$H$2:$H$451,$AA15)+SUMIFS(Dati!$M$2:$M$451,Dati!$H$2:$H$451,$H15,Dati!$A$2:$A$451,$AA15),"-")</f>
        <v/>
      </c>
      <c r="BX15" s="22">
        <f>IF(AND($H15&lt;&gt;"",$AB15&lt;&gt;"",$H15&lt;&gt;$AB15,IFERROR(VLOOKUP($H15,areaCercaPuntiClassificaSquadra,3,FALSE),-1)=IFERROR(VLOOKUP($AB15,areaCercaPuntiClassificaSquadra,3,FALSE),-2)),SUMIFS(Dati!$F$2:$F$451,Dati!$A$2:$A$451,$H15,Dati!$H$2:$H$451,$AB15)+SUMIFS(Dati!$M$2:$M$451,Dati!$H$2:$H$451,$H15,Dati!$A$2:$A$451,$AB15),"-")</f>
        <v/>
      </c>
      <c r="BY15" s="22">
        <f>IF(AND($H15&lt;&gt;"",$AC15&lt;&gt;"",$H15&lt;&gt;$AC15,IFERROR(VLOOKUP($H15,areaCercaPuntiClassificaSquadra,3,FALSE),-1)=IFERROR(VLOOKUP($AC15,areaCercaPuntiClassificaSquadra,3,FALSE),-2)),SUMIFS(Dati!$F$2:$F$451,Dati!$A$2:$A$451,$H15,Dati!$H$2:$H$451,$AC15)+SUMIFS(Dati!$M$2:$M$451,Dati!$H$2:$H$451,$H15,Dati!$A$2:$A$451,$AC15),"-")</f>
        <v/>
      </c>
      <c r="BZ15" s="22">
        <f>IF(AND($H15&lt;&gt;"",$AD15&lt;&gt;"",$H15&lt;&gt;$AD15,IFERROR(VLOOKUP($H15,areaCercaPuntiClassificaSquadra,3,FALSE),-1)=IFERROR(VLOOKUP($AD15,areaCercaPuntiClassificaSquadra,3,FALSE),-2)),SUMIFS(Dati!$F$2:$F$451,Dati!$A$2:$A$451,$H15,Dati!$H$2:$H$451,$AD15)+SUMIFS(Dati!$M$2:$M$451,Dati!$H$2:$H$451,$H15,Dati!$A$2:$A$451,$AD15),"-")</f>
        <v/>
      </c>
      <c r="CA15" s="22">
        <f>IF(AND($H15&lt;&gt;"",$AE15&lt;&gt;"",$H15&lt;&gt;$AE15,IFERROR(VLOOKUP($H15,areaCercaPuntiClassificaSquadra,3,FALSE),-1)=IFERROR(VLOOKUP($AE15,areaCercaPuntiClassificaSquadra,3,FALSE),-2)),SUMIFS(Dati!$F$2:$F$451,Dati!$A$2:$A$451,$H15,Dati!$H$2:$H$451,$AE15)+SUMIFS(Dati!$M$2:$M$451,Dati!$H$2:$H$451,$H15,Dati!$A$2:$A$451,$AE15),"-")</f>
        <v/>
      </c>
      <c r="CB15" s="22">
        <f>IF(AND($H15&lt;&gt;"",$AF15&lt;&gt;"",$H15&lt;&gt;$AF15,IFERROR(VLOOKUP($H15,areaCercaPuntiClassificaSquadra,3,FALSE),-1)=IFERROR(VLOOKUP($AF15,areaCercaPuntiClassificaSquadra,3,FALSE),-2)),SUMIFS(Dati!$F$2:$F$451,Dati!$A$2:$A$451,$H15,Dati!$H$2:$H$451,$AF15)+SUMIFS(Dati!$M$2:$M$451,Dati!$H$2:$H$451,$H15,Dati!$A$2:$A$451,$AF15),"-")</f>
        <v/>
      </c>
      <c r="CC15" s="22">
        <f>IF(AND($H15&lt;&gt;"",$AG15&lt;&gt;"",$H15&lt;&gt;$AG15,IFERROR(VLOOKUP($H15,areaCercaPuntiClassificaSquadra,3,FALSE),-1)=IFERROR(VLOOKUP($AG15,areaCercaPuntiClassificaSquadra,3,FALSE),-2)),SUMIFS(Dati!$F$2:$F$451,Dati!$A$2:$A$451,$H15,Dati!$H$2:$H$451,$AG15)+SUMIFS(Dati!$M$2:$M$451,Dati!$H$2:$H$451,$H15,Dati!$A$2:$A$451,$AG15),"-")</f>
        <v/>
      </c>
      <c r="CD15" s="22">
        <f>IF(AND($H15&lt;&gt;"",$AH15&lt;&gt;"",$H15&lt;&gt;$AH15,IFERROR(VLOOKUP($H15,areaCercaPuntiClassificaSquadra,3,FALSE),-1)=IFERROR(VLOOKUP($AH15,areaCercaPuntiClassificaSquadra,3,FALSE),-2)),SUMIFS(Dati!$F$2:$F$451,Dati!$A$2:$A$451,$H15,Dati!$H$2:$H$451,$AH15)+SUMIFS(Dati!$M$2:$M$451,Dati!$H$2:$H$451,$H15,Dati!$A$2:$A$451,$AH15),"-")</f>
        <v/>
      </c>
      <c r="CF15" s="22">
        <f>IF($C15="","",SUM(AK15:AT15))</f>
        <v/>
      </c>
    </row>
    <row r="16">
      <c r="B16" s="12" t="inlineStr">
        <is>
          <t>A03</t>
        </is>
      </c>
      <c r="C16" s="13" t="n"/>
      <c r="D16" s="14" t="n"/>
      <c r="E16" s="15" t="inlineStr">
        <is>
          <t>A</t>
        </is>
      </c>
      <c r="G16" s="16">
        <f>IF($C16="","",$E16&amp;(COUNTIFS(I$14:I$113,"&gt;"&amp;I16,E$14:E$113,"="&amp;E16,C$14:C$113,"&lt;&gt;")+COUNTIFS(I$14:I$113,"="&amp;I16,H$14:H$113,"&lt;="&amp;H16,E$14:E$113,"="&amp;E16,C$14:C$113,"&lt;&gt;")))</f>
        <v/>
      </c>
      <c r="H16" s="17">
        <f>IF($C16="","",IFERROR(LEFT($C16,FIND("-",$C16)-1),$C16))</f>
        <v/>
      </c>
      <c r="I16" s="12">
        <f>TEXT(1000000000+J16,"|0000000000|")&amp;TEXT(SUM(AK16:AT16),"0000000000|")&amp;IF(SUM(BU16:CD16)=0,"0000000000|",TEXT(ROUND(SUM(BI16:BR16)/SUM(BU16:CD16),4)*100000,"0000000000|"))&amp;IF(P16=0,"0000000000|",TEXT(ROUND(O16/P16,4)*100000,"0000000000|"))</f>
        <v/>
      </c>
      <c r="J16" s="16">
        <f>L16*constPuntiVittoria+M16*constPuntiSconfitta+N16*constPuntiForfait+IF(D16="",0,D16)</f>
        <v/>
      </c>
      <c r="K16" s="12">
        <f>SUM(L16:N16)</f>
        <v/>
      </c>
      <c r="L16" s="12">
        <f>IF($H16="",0,SUMIF(Dati!$A$2:$A$451,$H16,Dati!$B$2:$B$451)+SUMIF(Dati!$H$2:$H$451,$H16,Dati!$I$2:$I$451))</f>
        <v/>
      </c>
      <c r="M16" s="12">
        <f>IF($H16="",0,SUMIF(Dati!$A$2:$A$451,$H16,Dati!$D$2:$D$451)+SUMIF(Dati!$H$2:$H$451,$H16,Dati!$K$2:$K$451))</f>
        <v/>
      </c>
      <c r="N16" s="12">
        <f>IF($H16="",0,SUMIF(Dati!$A$2:$A$451,$H16,Dati!$C$2:$C$451)+SUMIF(Dati!$H$2:$H$451,$H16,Dati!$J$2:$J$451))</f>
        <v/>
      </c>
      <c r="O16" s="12">
        <f>IF($H16="",0,SUMIF(Dati!$A$2:$A$451,$H16,Dati!$E$2:$E$451)+SUMIF(Dati!$H$2:$H$451,$H16,Dati!$L$2:$L$451))</f>
        <v/>
      </c>
      <c r="P16" s="12">
        <f>IF($H16="",0,SUMIF(Dati!$A$2:$A$451,$H16,Dati!$F$2:$F$451)+SUMIF(Dati!$H$2:$H$451,$H16,Dati!$M$2:$M$451))</f>
        <v/>
      </c>
      <c r="Q16" s="12">
        <f>IF($H16="",0,SUMIF(Dati!$A$2:$A$451,$H16,Dati!$G$2:$G$451)+SUMIF(Dati!$H$2:$H$451,$H16,Dati!$N$2:$N$451))</f>
        <v/>
      </c>
      <c r="R16" s="12">
        <f>IF(K16=0,0,ROUND(O16/K16,2))</f>
        <v/>
      </c>
      <c r="S16" s="12">
        <f>IF(K16=0,0,ROUND(P16/K16,2))</f>
        <v/>
      </c>
      <c r="T16" s="12">
        <f>IF(K16=0,0,ROUND(Q16/K16,2))</f>
        <v/>
      </c>
      <c r="U16" s="12">
        <f>IF(COUNTIFS($E$14:$E$113,$E16,$J$14:$J$113,$J16,$C$14:$C$113,"&lt;&gt;")&lt;=1,"-",SUM(AK16:AT16)&amp;"-"&amp;SUM(AW16:BF16))</f>
        <v/>
      </c>
      <c r="V16" s="18">
        <f>IF(COUNTIFS($E$14:$E$113,$E16,$J$14:$J$113,$J16,$C$14:$C$113,"&lt;&gt;",$CF$14:$CF$113,$CF16)&lt;=1,"-",IF(SUM(BU16:CD16)=0,0,ROUND(SUM(BI16:BR16)/SUM(BU16:CD16),3)))</f>
        <v/>
      </c>
      <c r="W16" s="18">
        <f>IF(COUNTIFS($E$14:$E$113,$E16,$J$14:$J$113,$J16,$C$14:$C$113,"&lt;&gt;",$CF$14:$CF$113,$CF16,$V$14:$V$113,$V16)&lt;=1,"-",IF(P16=0,0,ROUND(O16/P16,3)))</f>
        <v/>
      </c>
      <c r="X16" s="19">
        <f>IF($C16="","",$E16&amp;"#"&amp;COUNTIFS($E$14:$E16,$E16,$C$14:$C16,"&lt;&gt;"))</f>
        <v/>
      </c>
      <c r="Y16" s="20">
        <f>IFERROR(INDEX($H$14:$H$113,MATCH($E16&amp;"#1",$X$14:$X$113,0)),"")</f>
        <v/>
      </c>
      <c r="Z16" s="20">
        <f>IFERROR(INDEX($H$14:$H$113,MATCH($E16&amp;"#2",$X$14:$X$113,0)),"")</f>
        <v/>
      </c>
      <c r="AA16" s="20">
        <f>IFERROR(INDEX($H$14:$H$113,MATCH($E16&amp;"#3",$X$14:$X$113,0)),"")</f>
        <v/>
      </c>
      <c r="AB16" s="20">
        <f>IFERROR(INDEX($H$14:$H$113,MATCH($E16&amp;"#4",$X$14:$X$113,0)),"")</f>
        <v/>
      </c>
      <c r="AC16" s="20">
        <f>IFERROR(INDEX($H$14:$H$113,MATCH($E16&amp;"#5",$X$14:$X$113,0)),"")</f>
        <v/>
      </c>
      <c r="AD16" s="20">
        <f>IFERROR(INDEX($H$14:$H$113,MATCH($E16&amp;"#6",$X$14:$X$113,0)),"")</f>
        <v/>
      </c>
      <c r="AE16" s="20">
        <f>IFERROR(INDEX($H$14:$H$113,MATCH($E16&amp;"#7",$X$14:$X$113,0)),"")</f>
        <v/>
      </c>
      <c r="AF16" s="20">
        <f>IFERROR(INDEX($H$14:$H$113,MATCH($E16&amp;"#8",$X$14:$X$113,0)),"")</f>
        <v/>
      </c>
      <c r="AG16" s="20">
        <f>IFERROR(INDEX($H$14:$H$113,MATCH($E16&amp;"#9",$X$14:$X$113,0)),"")</f>
        <v/>
      </c>
      <c r="AH16" s="20">
        <f>IFERROR(INDEX($H$14:$H$113,MATCH($E16&amp;"#10",$X$14:$X$113,0)),"")</f>
        <v/>
      </c>
      <c r="AJ16" s="21">
        <f>$C16</f>
        <v/>
      </c>
      <c r="AK16" s="22">
        <f>IF(AND($H16&lt;&gt;"",$Y16&lt;&gt;"",$H16&lt;&gt;$Y16,IFERROR(VLOOKUP($H16,areaCercaPuntiClassificaSquadra,3,FALSE),-1)=IFERROR(VLOOKUP($Y16,areaCercaPuntiClassificaSquadra,3,FALSE),-2)),SUMIFS(Dati!$B$2:$B$451,Dati!$A$2:$A$451,$H16,Dati!$H$2:$H$451,$Y16)+SUMIFS(Dati!$I$2:$I$451,Dati!$H$2:$H$451,$H16,Dati!$A$2:$A$451,$Y16),"-")</f>
        <v/>
      </c>
      <c r="AL16" s="22">
        <f>IF(AND($H16&lt;&gt;"",$Z16&lt;&gt;"",$H16&lt;&gt;$Z16,IFERROR(VLOOKUP($H16,areaCercaPuntiClassificaSquadra,3,FALSE),-1)=IFERROR(VLOOKUP($Z16,areaCercaPuntiClassificaSquadra,3,FALSE),-2)),SUMIFS(Dati!$B$2:$B$451,Dati!$A$2:$A$451,$H16,Dati!$H$2:$H$451,$Z16)+SUMIFS(Dati!$I$2:$I$451,Dati!$H$2:$H$451,$H16,Dati!$A$2:$A$451,$Z16),"-")</f>
        <v/>
      </c>
      <c r="AM16" s="22">
        <f>IF(AND($H16&lt;&gt;"",$AA16&lt;&gt;"",$H16&lt;&gt;$AA16,IFERROR(VLOOKUP($H16,areaCercaPuntiClassificaSquadra,3,FALSE),-1)=IFERROR(VLOOKUP($AA16,areaCercaPuntiClassificaSquadra,3,FALSE),-2)),SUMIFS(Dati!$B$2:$B$451,Dati!$A$2:$A$451,$H16,Dati!$H$2:$H$451,$AA16)+SUMIFS(Dati!$I$2:$I$451,Dati!$H$2:$H$451,$H16,Dati!$A$2:$A$451,$AA16),"-")</f>
        <v/>
      </c>
      <c r="AN16" s="22">
        <f>IF(AND($H16&lt;&gt;"",$AB16&lt;&gt;"",$H16&lt;&gt;$AB16,IFERROR(VLOOKUP($H16,areaCercaPuntiClassificaSquadra,3,FALSE),-1)=IFERROR(VLOOKUP($AB16,areaCercaPuntiClassificaSquadra,3,FALSE),-2)),SUMIFS(Dati!$B$2:$B$451,Dati!$A$2:$A$451,$H16,Dati!$H$2:$H$451,$AB16)+SUMIFS(Dati!$I$2:$I$451,Dati!$H$2:$H$451,$H16,Dati!$A$2:$A$451,$AB16),"-")</f>
        <v/>
      </c>
      <c r="AO16" s="22">
        <f>IF(AND($H16&lt;&gt;"",$AC16&lt;&gt;"",$H16&lt;&gt;$AC16,IFERROR(VLOOKUP($H16,areaCercaPuntiClassificaSquadra,3,FALSE),-1)=IFERROR(VLOOKUP($AC16,areaCercaPuntiClassificaSquadra,3,FALSE),-2)),SUMIFS(Dati!$B$2:$B$451,Dati!$A$2:$A$451,$H16,Dati!$H$2:$H$451,$AC16)+SUMIFS(Dati!$I$2:$I$451,Dati!$H$2:$H$451,$H16,Dati!$A$2:$A$451,$AC16),"-")</f>
        <v/>
      </c>
      <c r="AP16" s="22">
        <f>IF(AND($H16&lt;&gt;"",$AD16&lt;&gt;"",$H16&lt;&gt;$AD16,IFERROR(VLOOKUP($H16,areaCercaPuntiClassificaSquadra,3,FALSE),-1)=IFERROR(VLOOKUP($AD16,areaCercaPuntiClassificaSquadra,3,FALSE),-2)),SUMIFS(Dati!$B$2:$B$451,Dati!$A$2:$A$451,$H16,Dati!$H$2:$H$451,$AD16)+SUMIFS(Dati!$I$2:$I$451,Dati!$H$2:$H$451,$H16,Dati!$A$2:$A$451,$AD16),"-")</f>
        <v/>
      </c>
      <c r="AQ16" s="22">
        <f>IF(AND($H16&lt;&gt;"",$AE16&lt;&gt;"",$H16&lt;&gt;$AE16,IFERROR(VLOOKUP($H16,areaCercaPuntiClassificaSquadra,3,FALSE),-1)=IFERROR(VLOOKUP($AE16,areaCercaPuntiClassificaSquadra,3,FALSE),-2)),SUMIFS(Dati!$B$2:$B$451,Dati!$A$2:$A$451,$H16,Dati!$H$2:$H$451,$AE16)+SUMIFS(Dati!$I$2:$I$451,Dati!$H$2:$H$451,$H16,Dati!$A$2:$A$451,$AE16),"-")</f>
        <v/>
      </c>
      <c r="AR16" s="22">
        <f>IF(AND($H16&lt;&gt;"",$AF16&lt;&gt;"",$H16&lt;&gt;$AF16,IFERROR(VLOOKUP($H16,areaCercaPuntiClassificaSquadra,3,FALSE),-1)=IFERROR(VLOOKUP($AF16,areaCercaPuntiClassificaSquadra,3,FALSE),-2)),SUMIFS(Dati!$B$2:$B$451,Dati!$A$2:$A$451,$H16,Dati!$H$2:$H$451,$AF16)+SUMIFS(Dati!$I$2:$I$451,Dati!$H$2:$H$451,$H16,Dati!$A$2:$A$451,$AF16),"-")</f>
        <v/>
      </c>
      <c r="AS16" s="22">
        <f>IF(AND($H16&lt;&gt;"",$AG16&lt;&gt;"",$H16&lt;&gt;$AG16,IFERROR(VLOOKUP($H16,areaCercaPuntiClassificaSquadra,3,FALSE),-1)=IFERROR(VLOOKUP($AG16,areaCercaPuntiClassificaSquadra,3,FALSE),-2)),SUMIFS(Dati!$B$2:$B$451,Dati!$A$2:$A$451,$H16,Dati!$H$2:$H$451,$AG16)+SUMIFS(Dati!$I$2:$I$451,Dati!$H$2:$H$451,$H16,Dati!$A$2:$A$451,$AG16),"-")</f>
        <v/>
      </c>
      <c r="AT16" s="22">
        <f>IF(AND($H16&lt;&gt;"",$AH16&lt;&gt;"",$H16&lt;&gt;$AH16,IFERROR(VLOOKUP($H16,areaCercaPuntiClassificaSquadra,3,FALSE),-1)=IFERROR(VLOOKUP($AH16,areaCercaPuntiClassificaSquadra,3,FALSE),-2)),SUMIFS(Dati!$B$2:$B$451,Dati!$A$2:$A$451,$H16,Dati!$H$2:$H$451,$AH16)+SUMIFS(Dati!$I$2:$I$451,Dati!$H$2:$H$451,$H16,Dati!$A$2:$A$451,$AH16),"-")</f>
        <v/>
      </c>
      <c r="AV16" s="21">
        <f>$C16</f>
        <v/>
      </c>
      <c r="AW16" s="22">
        <f>IF(AND($H16&lt;&gt;"",$Y16&lt;&gt;"",$H16&lt;&gt;$Y16,IFERROR(VLOOKUP($H16,areaCercaPuntiClassificaSquadra,3,FALSE),-1)=IFERROR(VLOOKUP($Y16,areaCercaPuntiClassificaSquadra,3,FALSE),-2)),SUMIFS(Dati!$D$2:$D$451,Dati!$A$2:$A$451,$H16,Dati!$H$2:$H$451,$Y16)+SUMIFS(Dati!$K$2:$K$451,Dati!$H$2:$H$451,$H16,Dati!$A$2:$A$451,$Y16)+SUMIFS(Dati!$C$2:$C$451,Dati!$A$2:$A$451,$H16,Dati!$H$2:$H$451,$Y16)+SUMIFS(Dati!$J$2:$J$451,Dati!$H$2:$H$451,$H16,Dati!$A$2:$A$451,$Y16),"-")</f>
        <v/>
      </c>
      <c r="AX16" s="22">
        <f>IF(AND($H16&lt;&gt;"",$Z16&lt;&gt;"",$H16&lt;&gt;$Z16,IFERROR(VLOOKUP($H16,areaCercaPuntiClassificaSquadra,3,FALSE),-1)=IFERROR(VLOOKUP($Z16,areaCercaPuntiClassificaSquadra,3,FALSE),-2)),SUMIFS(Dati!$D$2:$D$451,Dati!$A$2:$A$451,$H16,Dati!$H$2:$H$451,$Z16)+SUMIFS(Dati!$K$2:$K$451,Dati!$H$2:$H$451,$H16,Dati!$A$2:$A$451,$Z16)+SUMIFS(Dati!$C$2:$C$451,Dati!$A$2:$A$451,$H16,Dati!$H$2:$H$451,$Z16)+SUMIFS(Dati!$J$2:$J$451,Dati!$H$2:$H$451,$H16,Dati!$A$2:$A$451,$Z16),"-")</f>
        <v/>
      </c>
      <c r="AY16" s="22">
        <f>IF(AND($H16&lt;&gt;"",$AA16&lt;&gt;"",$H16&lt;&gt;$AA16,IFERROR(VLOOKUP($H16,areaCercaPuntiClassificaSquadra,3,FALSE),-1)=IFERROR(VLOOKUP($AA16,areaCercaPuntiClassificaSquadra,3,FALSE),-2)),SUMIFS(Dati!$D$2:$D$451,Dati!$A$2:$A$451,$H16,Dati!$H$2:$H$451,$AA16)+SUMIFS(Dati!$K$2:$K$451,Dati!$H$2:$H$451,$H16,Dati!$A$2:$A$451,$AA16)+SUMIFS(Dati!$C$2:$C$451,Dati!$A$2:$A$451,$H16,Dati!$H$2:$H$451,$AA16)+SUMIFS(Dati!$J$2:$J$451,Dati!$H$2:$H$451,$H16,Dati!$A$2:$A$451,$AA16),"-")</f>
        <v/>
      </c>
      <c r="AZ16" s="22">
        <f>IF(AND($H16&lt;&gt;"",$AB16&lt;&gt;"",$H16&lt;&gt;$AB16,IFERROR(VLOOKUP($H16,areaCercaPuntiClassificaSquadra,3,FALSE),-1)=IFERROR(VLOOKUP($AB16,areaCercaPuntiClassificaSquadra,3,FALSE),-2)),SUMIFS(Dati!$D$2:$D$451,Dati!$A$2:$A$451,$H16,Dati!$H$2:$H$451,$AB16)+SUMIFS(Dati!$K$2:$K$451,Dati!$H$2:$H$451,$H16,Dati!$A$2:$A$451,$AB16)+SUMIFS(Dati!$C$2:$C$451,Dati!$A$2:$A$451,$H16,Dati!$H$2:$H$451,$AB16)+SUMIFS(Dati!$J$2:$J$451,Dati!$H$2:$H$451,$H16,Dati!$A$2:$A$451,$AB16),"-")</f>
        <v/>
      </c>
      <c r="BA16" s="22">
        <f>IF(AND($H16&lt;&gt;"",$AC16&lt;&gt;"",$H16&lt;&gt;$AC16,IFERROR(VLOOKUP($H16,areaCercaPuntiClassificaSquadra,3,FALSE),-1)=IFERROR(VLOOKUP($AC16,areaCercaPuntiClassificaSquadra,3,FALSE),-2)),SUMIFS(Dati!$D$2:$D$451,Dati!$A$2:$A$451,$H16,Dati!$H$2:$H$451,$AC16)+SUMIFS(Dati!$K$2:$K$451,Dati!$H$2:$H$451,$H16,Dati!$A$2:$A$451,$AC16)+SUMIFS(Dati!$C$2:$C$451,Dati!$A$2:$A$451,$H16,Dati!$H$2:$H$451,$AC16)+SUMIFS(Dati!$J$2:$J$451,Dati!$H$2:$H$451,$H16,Dati!$A$2:$A$451,$AC16),"-")</f>
        <v/>
      </c>
      <c r="BB16" s="22">
        <f>IF(AND($H16&lt;&gt;"",$AD16&lt;&gt;"",$H16&lt;&gt;$AD16,IFERROR(VLOOKUP($H16,areaCercaPuntiClassificaSquadra,3,FALSE),-1)=IFERROR(VLOOKUP($AD16,areaCercaPuntiClassificaSquadra,3,FALSE),-2)),SUMIFS(Dati!$D$2:$D$451,Dati!$A$2:$A$451,$H16,Dati!$H$2:$H$451,$AD16)+SUMIFS(Dati!$K$2:$K$451,Dati!$H$2:$H$451,$H16,Dati!$A$2:$A$451,$AD16)+SUMIFS(Dati!$C$2:$C$451,Dati!$A$2:$A$451,$H16,Dati!$H$2:$H$451,$AD16)+SUMIFS(Dati!$J$2:$J$451,Dati!$H$2:$H$451,$H16,Dati!$A$2:$A$451,$AD16),"-")</f>
        <v/>
      </c>
      <c r="BC16" s="22">
        <f>IF(AND($H16&lt;&gt;"",$AE16&lt;&gt;"",$H16&lt;&gt;$AE16,IFERROR(VLOOKUP($H16,areaCercaPuntiClassificaSquadra,3,FALSE),-1)=IFERROR(VLOOKUP($AE16,areaCercaPuntiClassificaSquadra,3,FALSE),-2)),SUMIFS(Dati!$D$2:$D$451,Dati!$A$2:$A$451,$H16,Dati!$H$2:$H$451,$AE16)+SUMIFS(Dati!$K$2:$K$451,Dati!$H$2:$H$451,$H16,Dati!$A$2:$A$451,$AE16)+SUMIFS(Dati!$C$2:$C$451,Dati!$A$2:$A$451,$H16,Dati!$H$2:$H$451,$AE16)+SUMIFS(Dati!$J$2:$J$451,Dati!$H$2:$H$451,$H16,Dati!$A$2:$A$451,$AE16),"-")</f>
        <v/>
      </c>
      <c r="BD16" s="22">
        <f>IF(AND($H16&lt;&gt;"",$AF16&lt;&gt;"",$H16&lt;&gt;$AF16,IFERROR(VLOOKUP($H16,areaCercaPuntiClassificaSquadra,3,FALSE),-1)=IFERROR(VLOOKUP($AF16,areaCercaPuntiClassificaSquadra,3,FALSE),-2)),SUMIFS(Dati!$D$2:$D$451,Dati!$A$2:$A$451,$H16,Dati!$H$2:$H$451,$AF16)+SUMIFS(Dati!$K$2:$K$451,Dati!$H$2:$H$451,$H16,Dati!$A$2:$A$451,$AF16)+SUMIFS(Dati!$C$2:$C$451,Dati!$A$2:$A$451,$H16,Dati!$H$2:$H$451,$AF16)+SUMIFS(Dati!$J$2:$J$451,Dati!$H$2:$H$451,$H16,Dati!$A$2:$A$451,$AF16),"-")</f>
        <v/>
      </c>
      <c r="BE16" s="22">
        <f>IF(AND($H16&lt;&gt;"",$AG16&lt;&gt;"",$H16&lt;&gt;$AG16,IFERROR(VLOOKUP($H16,areaCercaPuntiClassificaSquadra,3,FALSE),-1)=IFERROR(VLOOKUP($AG16,areaCercaPuntiClassificaSquadra,3,FALSE),-2)),SUMIFS(Dati!$D$2:$D$451,Dati!$A$2:$A$451,$H16,Dati!$H$2:$H$451,$AG16)+SUMIFS(Dati!$K$2:$K$451,Dati!$H$2:$H$451,$H16,Dati!$A$2:$A$451,$AG16)+SUMIFS(Dati!$C$2:$C$451,Dati!$A$2:$A$451,$H16,Dati!$H$2:$H$451,$AG16)+SUMIFS(Dati!$J$2:$J$451,Dati!$H$2:$H$451,$H16,Dati!$A$2:$A$451,$AG16),"-")</f>
        <v/>
      </c>
      <c r="BF16" s="22">
        <f>IF(AND($H16&lt;&gt;"",$AH16&lt;&gt;"",$H16&lt;&gt;$AH16,IFERROR(VLOOKUP($H16,areaCercaPuntiClassificaSquadra,3,FALSE),-1)=IFERROR(VLOOKUP($AH16,areaCercaPuntiClassificaSquadra,3,FALSE),-2)),SUMIFS(Dati!$D$2:$D$451,Dati!$A$2:$A$451,$H16,Dati!$H$2:$H$451,$AH16)+SUMIFS(Dati!$K$2:$K$451,Dati!$H$2:$H$451,$H16,Dati!$A$2:$A$451,$AH16)+SUMIFS(Dati!$C$2:$C$451,Dati!$A$2:$A$451,$H16,Dati!$H$2:$H$451,$AH16)+SUMIFS(Dati!$J$2:$J$451,Dati!$H$2:$H$451,$H16,Dati!$A$2:$A$451,$AH16),"-")</f>
        <v/>
      </c>
      <c r="BH16" s="21">
        <f>$C16</f>
        <v/>
      </c>
      <c r="BI16" s="22">
        <f>IF(AND($H16&lt;&gt;"",$Y16&lt;&gt;"",$H16&lt;&gt;$Y16,IFERROR(VLOOKUP($H16,areaCercaPuntiClassificaSquadra,3,FALSE),-1)=IFERROR(VLOOKUP($Y16,areaCercaPuntiClassificaSquadra,3,FALSE),-2)),SUMIFS(Dati!$E$2:$E$451,Dati!$A$2:$A$451,$H16,Dati!$H$2:$H$451,$Y16)+SUMIFS(Dati!$L$2:$L$451,Dati!$H$2:$H$451,$H16,Dati!$A$2:$A$451,$Y16),"-")</f>
        <v/>
      </c>
      <c r="BJ16" s="22">
        <f>IF(AND($H16&lt;&gt;"",$Z16&lt;&gt;"",$H16&lt;&gt;$Z16,IFERROR(VLOOKUP($H16,areaCercaPuntiClassificaSquadra,3,FALSE),-1)=IFERROR(VLOOKUP($Z16,areaCercaPuntiClassificaSquadra,3,FALSE),-2)),SUMIFS(Dati!$E$2:$E$451,Dati!$A$2:$A$451,$H16,Dati!$H$2:$H$451,$Z16)+SUMIFS(Dati!$L$2:$L$451,Dati!$H$2:$H$451,$H16,Dati!$A$2:$A$451,$Z16),"-")</f>
        <v/>
      </c>
      <c r="BK16" s="22">
        <f>IF(AND($H16&lt;&gt;"",$AA16&lt;&gt;"",$H16&lt;&gt;$AA16,IFERROR(VLOOKUP($H16,areaCercaPuntiClassificaSquadra,3,FALSE),-1)=IFERROR(VLOOKUP($AA16,areaCercaPuntiClassificaSquadra,3,FALSE),-2)),SUMIFS(Dati!$E$2:$E$451,Dati!$A$2:$A$451,$H16,Dati!$H$2:$H$451,$AA16)+SUMIFS(Dati!$L$2:$L$451,Dati!$H$2:$H$451,$H16,Dati!$A$2:$A$451,$AA16),"-")</f>
        <v/>
      </c>
      <c r="BL16" s="22">
        <f>IF(AND($H16&lt;&gt;"",$AB16&lt;&gt;"",$H16&lt;&gt;$AB16,IFERROR(VLOOKUP($H16,areaCercaPuntiClassificaSquadra,3,FALSE),-1)=IFERROR(VLOOKUP($AB16,areaCercaPuntiClassificaSquadra,3,FALSE),-2)),SUMIFS(Dati!$E$2:$E$451,Dati!$A$2:$A$451,$H16,Dati!$H$2:$H$451,$AB16)+SUMIFS(Dati!$L$2:$L$451,Dati!$H$2:$H$451,$H16,Dati!$A$2:$A$451,$AB16),"-")</f>
        <v/>
      </c>
      <c r="BM16" s="22">
        <f>IF(AND($H16&lt;&gt;"",$AC16&lt;&gt;"",$H16&lt;&gt;$AC16,IFERROR(VLOOKUP($H16,areaCercaPuntiClassificaSquadra,3,FALSE),-1)=IFERROR(VLOOKUP($AC16,areaCercaPuntiClassificaSquadra,3,FALSE),-2)),SUMIFS(Dati!$E$2:$E$451,Dati!$A$2:$A$451,$H16,Dati!$H$2:$H$451,$AC16)+SUMIFS(Dati!$L$2:$L$451,Dati!$H$2:$H$451,$H16,Dati!$A$2:$A$451,$AC16),"-")</f>
        <v/>
      </c>
      <c r="BN16" s="22">
        <f>IF(AND($H16&lt;&gt;"",$AD16&lt;&gt;"",$H16&lt;&gt;$AD16,IFERROR(VLOOKUP($H16,areaCercaPuntiClassificaSquadra,3,FALSE),-1)=IFERROR(VLOOKUP($AD16,areaCercaPuntiClassificaSquadra,3,FALSE),-2)),SUMIFS(Dati!$E$2:$E$451,Dati!$A$2:$A$451,$H16,Dati!$H$2:$H$451,$AD16)+SUMIFS(Dati!$L$2:$L$451,Dati!$H$2:$H$451,$H16,Dati!$A$2:$A$451,$AD16),"-")</f>
        <v/>
      </c>
      <c r="BO16" s="22">
        <f>IF(AND($H16&lt;&gt;"",$AE16&lt;&gt;"",$H16&lt;&gt;$AE16,IFERROR(VLOOKUP($H16,areaCercaPuntiClassificaSquadra,3,FALSE),-1)=IFERROR(VLOOKUP($AE16,areaCercaPuntiClassificaSquadra,3,FALSE),-2)),SUMIFS(Dati!$E$2:$E$451,Dati!$A$2:$A$451,$H16,Dati!$H$2:$H$451,$AE16)+SUMIFS(Dati!$L$2:$L$451,Dati!$H$2:$H$451,$H16,Dati!$A$2:$A$451,$AE16),"-")</f>
        <v/>
      </c>
      <c r="BP16" s="22">
        <f>IF(AND($H16&lt;&gt;"",$AF16&lt;&gt;"",$H16&lt;&gt;$AF16,IFERROR(VLOOKUP($H16,areaCercaPuntiClassificaSquadra,3,FALSE),-1)=IFERROR(VLOOKUP($AF16,areaCercaPuntiClassificaSquadra,3,FALSE),-2)),SUMIFS(Dati!$E$2:$E$451,Dati!$A$2:$A$451,$H16,Dati!$H$2:$H$451,$AF16)+SUMIFS(Dati!$L$2:$L$451,Dati!$H$2:$H$451,$H16,Dati!$A$2:$A$451,$AF16),"-")</f>
        <v/>
      </c>
      <c r="BQ16" s="22">
        <f>IF(AND($H16&lt;&gt;"",$AG16&lt;&gt;"",$H16&lt;&gt;$AG16,IFERROR(VLOOKUP($H16,areaCercaPuntiClassificaSquadra,3,FALSE),-1)=IFERROR(VLOOKUP($AG16,areaCercaPuntiClassificaSquadra,3,FALSE),-2)),SUMIFS(Dati!$E$2:$E$451,Dati!$A$2:$A$451,$H16,Dati!$H$2:$H$451,$AG16)+SUMIFS(Dati!$L$2:$L$451,Dati!$H$2:$H$451,$H16,Dati!$A$2:$A$451,$AG16),"-")</f>
        <v/>
      </c>
      <c r="BR16" s="22">
        <f>IF(AND($H16&lt;&gt;"",$AH16&lt;&gt;"",$H16&lt;&gt;$AH16,IFERROR(VLOOKUP($H16,areaCercaPuntiClassificaSquadra,3,FALSE),-1)=IFERROR(VLOOKUP($AH16,areaCercaPuntiClassificaSquadra,3,FALSE),-2)),SUMIFS(Dati!$E$2:$E$451,Dati!$A$2:$A$451,$H16,Dati!$H$2:$H$451,$AH16)+SUMIFS(Dati!$L$2:$L$451,Dati!$H$2:$H$451,$H16,Dati!$A$2:$A$451,$AH16),"-")</f>
        <v/>
      </c>
      <c r="BT16" s="21">
        <f>$C16</f>
        <v/>
      </c>
      <c r="BU16" s="22">
        <f>IF(AND($H16&lt;&gt;"",$Y16&lt;&gt;"",$H16&lt;&gt;$Y16,IFERROR(VLOOKUP($H16,areaCercaPuntiClassificaSquadra,3,FALSE),-1)=IFERROR(VLOOKUP($Y16,areaCercaPuntiClassificaSquadra,3,FALSE),-2)),SUMIFS(Dati!$F$2:$F$451,Dati!$A$2:$A$451,$H16,Dati!$H$2:$H$451,$Y16)+SUMIFS(Dati!$M$2:$M$451,Dati!$H$2:$H$451,$H16,Dati!$A$2:$A$451,$Y16),"-")</f>
        <v/>
      </c>
      <c r="BV16" s="22">
        <f>IF(AND($H16&lt;&gt;"",$Z16&lt;&gt;"",$H16&lt;&gt;$Z16,IFERROR(VLOOKUP($H16,areaCercaPuntiClassificaSquadra,3,FALSE),-1)=IFERROR(VLOOKUP($Z16,areaCercaPuntiClassificaSquadra,3,FALSE),-2)),SUMIFS(Dati!$F$2:$F$451,Dati!$A$2:$A$451,$H16,Dati!$H$2:$H$451,$Z16)+SUMIFS(Dati!$M$2:$M$451,Dati!$H$2:$H$451,$H16,Dati!$A$2:$A$451,$Z16),"-")</f>
        <v/>
      </c>
      <c r="BW16" s="22">
        <f>IF(AND($H16&lt;&gt;"",$AA16&lt;&gt;"",$H16&lt;&gt;$AA16,IFERROR(VLOOKUP($H16,areaCercaPuntiClassificaSquadra,3,FALSE),-1)=IFERROR(VLOOKUP($AA16,areaCercaPuntiClassificaSquadra,3,FALSE),-2)),SUMIFS(Dati!$F$2:$F$451,Dati!$A$2:$A$451,$H16,Dati!$H$2:$H$451,$AA16)+SUMIFS(Dati!$M$2:$M$451,Dati!$H$2:$H$451,$H16,Dati!$A$2:$A$451,$AA16),"-")</f>
        <v/>
      </c>
      <c r="BX16" s="22">
        <f>IF(AND($H16&lt;&gt;"",$AB16&lt;&gt;"",$H16&lt;&gt;$AB16,IFERROR(VLOOKUP($H16,areaCercaPuntiClassificaSquadra,3,FALSE),-1)=IFERROR(VLOOKUP($AB16,areaCercaPuntiClassificaSquadra,3,FALSE),-2)),SUMIFS(Dati!$F$2:$F$451,Dati!$A$2:$A$451,$H16,Dati!$H$2:$H$451,$AB16)+SUMIFS(Dati!$M$2:$M$451,Dati!$H$2:$H$451,$H16,Dati!$A$2:$A$451,$AB16),"-")</f>
        <v/>
      </c>
      <c r="BY16" s="22">
        <f>IF(AND($H16&lt;&gt;"",$AC16&lt;&gt;"",$H16&lt;&gt;$AC16,IFERROR(VLOOKUP($H16,areaCercaPuntiClassificaSquadra,3,FALSE),-1)=IFERROR(VLOOKUP($AC16,areaCercaPuntiClassificaSquadra,3,FALSE),-2)),SUMIFS(Dati!$F$2:$F$451,Dati!$A$2:$A$451,$H16,Dati!$H$2:$H$451,$AC16)+SUMIFS(Dati!$M$2:$M$451,Dati!$H$2:$H$451,$H16,Dati!$A$2:$A$451,$AC16),"-")</f>
        <v/>
      </c>
      <c r="BZ16" s="22">
        <f>IF(AND($H16&lt;&gt;"",$AD16&lt;&gt;"",$H16&lt;&gt;$AD16,IFERROR(VLOOKUP($H16,areaCercaPuntiClassificaSquadra,3,FALSE),-1)=IFERROR(VLOOKUP($AD16,areaCercaPuntiClassificaSquadra,3,FALSE),-2)),SUMIFS(Dati!$F$2:$F$451,Dati!$A$2:$A$451,$H16,Dati!$H$2:$H$451,$AD16)+SUMIFS(Dati!$M$2:$M$451,Dati!$H$2:$H$451,$H16,Dati!$A$2:$A$451,$AD16),"-")</f>
        <v/>
      </c>
      <c r="CA16" s="22">
        <f>IF(AND($H16&lt;&gt;"",$AE16&lt;&gt;"",$H16&lt;&gt;$AE16,IFERROR(VLOOKUP($H16,areaCercaPuntiClassificaSquadra,3,FALSE),-1)=IFERROR(VLOOKUP($AE16,areaCercaPuntiClassificaSquadra,3,FALSE),-2)),SUMIFS(Dati!$F$2:$F$451,Dati!$A$2:$A$451,$H16,Dati!$H$2:$H$451,$AE16)+SUMIFS(Dati!$M$2:$M$451,Dati!$H$2:$H$451,$H16,Dati!$A$2:$A$451,$AE16),"-")</f>
        <v/>
      </c>
      <c r="CB16" s="22">
        <f>IF(AND($H16&lt;&gt;"",$AF16&lt;&gt;"",$H16&lt;&gt;$AF16,IFERROR(VLOOKUP($H16,areaCercaPuntiClassificaSquadra,3,FALSE),-1)=IFERROR(VLOOKUP($AF16,areaCercaPuntiClassificaSquadra,3,FALSE),-2)),SUMIFS(Dati!$F$2:$F$451,Dati!$A$2:$A$451,$H16,Dati!$H$2:$H$451,$AF16)+SUMIFS(Dati!$M$2:$M$451,Dati!$H$2:$H$451,$H16,Dati!$A$2:$A$451,$AF16),"-")</f>
        <v/>
      </c>
      <c r="CC16" s="22">
        <f>IF(AND($H16&lt;&gt;"",$AG16&lt;&gt;"",$H16&lt;&gt;$AG16,IFERROR(VLOOKUP($H16,areaCercaPuntiClassificaSquadra,3,FALSE),-1)=IFERROR(VLOOKUP($AG16,areaCercaPuntiClassificaSquadra,3,FALSE),-2)),SUMIFS(Dati!$F$2:$F$451,Dati!$A$2:$A$451,$H16,Dati!$H$2:$H$451,$AG16)+SUMIFS(Dati!$M$2:$M$451,Dati!$H$2:$H$451,$H16,Dati!$A$2:$A$451,$AG16),"-")</f>
        <v/>
      </c>
      <c r="CD16" s="22">
        <f>IF(AND($H16&lt;&gt;"",$AH16&lt;&gt;"",$H16&lt;&gt;$AH16,IFERROR(VLOOKUP($H16,areaCercaPuntiClassificaSquadra,3,FALSE),-1)=IFERROR(VLOOKUP($AH16,areaCercaPuntiClassificaSquadra,3,FALSE),-2)),SUMIFS(Dati!$F$2:$F$451,Dati!$A$2:$A$451,$H16,Dati!$H$2:$H$451,$AH16)+SUMIFS(Dati!$M$2:$M$451,Dati!$H$2:$H$451,$H16,Dati!$A$2:$A$451,$AH16),"-")</f>
        <v/>
      </c>
      <c r="CF16" s="22">
        <f>IF($C16="","",SUM(AK16:AT16))</f>
        <v/>
      </c>
    </row>
    <row r="17">
      <c r="B17" s="12" t="inlineStr">
        <is>
          <t>A04</t>
        </is>
      </c>
      <c r="C17" s="13" t="n"/>
      <c r="D17" s="14" t="n"/>
      <c r="E17" s="15" t="inlineStr">
        <is>
          <t>A</t>
        </is>
      </c>
      <c r="G17" s="16">
        <f>IF($C17="","",$E17&amp;(COUNTIFS(I$14:I$113,"&gt;"&amp;I17,E$14:E$113,"="&amp;E17,C$14:C$113,"&lt;&gt;")+COUNTIFS(I$14:I$113,"="&amp;I17,H$14:H$113,"&lt;="&amp;H17,E$14:E$113,"="&amp;E17,C$14:C$113,"&lt;&gt;")))</f>
        <v/>
      </c>
      <c r="H17" s="17">
        <f>IF($C17="","",IFERROR(LEFT($C17,FIND("-",$C17)-1),$C17))</f>
        <v/>
      </c>
      <c r="I17" s="12">
        <f>TEXT(1000000000+J17,"|0000000000|")&amp;TEXT(SUM(AK17:AT17),"0000000000|")&amp;IF(SUM(BU17:CD17)=0,"0000000000|",TEXT(ROUND(SUM(BI17:BR17)/SUM(BU17:CD17),4)*100000,"0000000000|"))&amp;IF(P17=0,"0000000000|",TEXT(ROUND(O17/P17,4)*100000,"0000000000|"))</f>
        <v/>
      </c>
      <c r="J17" s="16">
        <f>L17*constPuntiVittoria+M17*constPuntiSconfitta+N17*constPuntiForfait+IF(D17="",0,D17)</f>
        <v/>
      </c>
      <c r="K17" s="12">
        <f>SUM(L17:N17)</f>
        <v/>
      </c>
      <c r="L17" s="12">
        <f>IF($H17="",0,SUMIF(Dati!$A$2:$A$451,$H17,Dati!$B$2:$B$451)+SUMIF(Dati!$H$2:$H$451,$H17,Dati!$I$2:$I$451))</f>
        <v/>
      </c>
      <c r="M17" s="12">
        <f>IF($H17="",0,SUMIF(Dati!$A$2:$A$451,$H17,Dati!$D$2:$D$451)+SUMIF(Dati!$H$2:$H$451,$H17,Dati!$K$2:$K$451))</f>
        <v/>
      </c>
      <c r="N17" s="12">
        <f>IF($H17="",0,SUMIF(Dati!$A$2:$A$451,$H17,Dati!$C$2:$C$451)+SUMIF(Dati!$H$2:$H$451,$H17,Dati!$J$2:$J$451))</f>
        <v/>
      </c>
      <c r="O17" s="12">
        <f>IF($H17="",0,SUMIF(Dati!$A$2:$A$451,$H17,Dati!$E$2:$E$451)+SUMIF(Dati!$H$2:$H$451,$H17,Dati!$L$2:$L$451))</f>
        <v/>
      </c>
      <c r="P17" s="12">
        <f>IF($H17="",0,SUMIF(Dati!$A$2:$A$451,$H17,Dati!$F$2:$F$451)+SUMIF(Dati!$H$2:$H$451,$H17,Dati!$M$2:$M$451))</f>
        <v/>
      </c>
      <c r="Q17" s="12">
        <f>IF($H17="",0,SUMIF(Dati!$A$2:$A$451,$H17,Dati!$G$2:$G$451)+SUMIF(Dati!$H$2:$H$451,$H17,Dati!$N$2:$N$451))</f>
        <v/>
      </c>
      <c r="R17" s="12">
        <f>IF(K17=0,0,ROUND(O17/K17,2))</f>
        <v/>
      </c>
      <c r="S17" s="12">
        <f>IF(K17=0,0,ROUND(P17/K17,2))</f>
        <v/>
      </c>
      <c r="T17" s="12">
        <f>IF(K17=0,0,ROUND(Q17/K17,2))</f>
        <v/>
      </c>
      <c r="U17" s="12">
        <f>IF(COUNTIFS($E$14:$E$113,$E17,$J$14:$J$113,$J17,$C$14:$C$113,"&lt;&gt;")&lt;=1,"-",SUM(AK17:AT17)&amp;"-"&amp;SUM(AW17:BF17))</f>
        <v/>
      </c>
      <c r="V17" s="18">
        <f>IF(COUNTIFS($E$14:$E$113,$E17,$J$14:$J$113,$J17,$C$14:$C$113,"&lt;&gt;",$CF$14:$CF$113,$CF17)&lt;=1,"-",IF(SUM(BU17:CD17)=0,0,ROUND(SUM(BI17:BR17)/SUM(BU17:CD17),3)))</f>
        <v/>
      </c>
      <c r="W17" s="18">
        <f>IF(COUNTIFS($E$14:$E$113,$E17,$J$14:$J$113,$J17,$C$14:$C$113,"&lt;&gt;",$CF$14:$CF$113,$CF17,$V$14:$V$113,$V17)&lt;=1,"-",IF(P17=0,0,ROUND(O17/P17,3)))</f>
        <v/>
      </c>
      <c r="X17" s="19">
        <f>IF($C17="","",$E17&amp;"#"&amp;COUNTIFS($E$14:$E17,$E17,$C$14:$C17,"&lt;&gt;"))</f>
        <v/>
      </c>
      <c r="Y17" s="20">
        <f>IFERROR(INDEX($H$14:$H$113,MATCH($E17&amp;"#1",$X$14:$X$113,0)),"")</f>
        <v/>
      </c>
      <c r="Z17" s="20">
        <f>IFERROR(INDEX($H$14:$H$113,MATCH($E17&amp;"#2",$X$14:$X$113,0)),"")</f>
        <v/>
      </c>
      <c r="AA17" s="20">
        <f>IFERROR(INDEX($H$14:$H$113,MATCH($E17&amp;"#3",$X$14:$X$113,0)),"")</f>
        <v/>
      </c>
      <c r="AB17" s="20">
        <f>IFERROR(INDEX($H$14:$H$113,MATCH($E17&amp;"#4",$X$14:$X$113,0)),"")</f>
        <v/>
      </c>
      <c r="AC17" s="20">
        <f>IFERROR(INDEX($H$14:$H$113,MATCH($E17&amp;"#5",$X$14:$X$113,0)),"")</f>
        <v/>
      </c>
      <c r="AD17" s="20">
        <f>IFERROR(INDEX($H$14:$H$113,MATCH($E17&amp;"#6",$X$14:$X$113,0)),"")</f>
        <v/>
      </c>
      <c r="AE17" s="20">
        <f>IFERROR(INDEX($H$14:$H$113,MATCH($E17&amp;"#7",$X$14:$X$113,0)),"")</f>
        <v/>
      </c>
      <c r="AF17" s="20">
        <f>IFERROR(INDEX($H$14:$H$113,MATCH($E17&amp;"#8",$X$14:$X$113,0)),"")</f>
        <v/>
      </c>
      <c r="AG17" s="20">
        <f>IFERROR(INDEX($H$14:$H$113,MATCH($E17&amp;"#9",$X$14:$X$113,0)),"")</f>
        <v/>
      </c>
      <c r="AH17" s="20">
        <f>IFERROR(INDEX($H$14:$H$113,MATCH($E17&amp;"#10",$X$14:$X$113,0)),"")</f>
        <v/>
      </c>
      <c r="AJ17" s="21">
        <f>$C17</f>
        <v/>
      </c>
      <c r="AK17" s="22">
        <f>IF(AND($H17&lt;&gt;"",$Y17&lt;&gt;"",$H17&lt;&gt;$Y17,IFERROR(VLOOKUP($H17,areaCercaPuntiClassificaSquadra,3,FALSE),-1)=IFERROR(VLOOKUP($Y17,areaCercaPuntiClassificaSquadra,3,FALSE),-2)),SUMIFS(Dati!$B$2:$B$451,Dati!$A$2:$A$451,$H17,Dati!$H$2:$H$451,$Y17)+SUMIFS(Dati!$I$2:$I$451,Dati!$H$2:$H$451,$H17,Dati!$A$2:$A$451,$Y17),"-")</f>
        <v/>
      </c>
      <c r="AL17" s="22">
        <f>IF(AND($H17&lt;&gt;"",$Z17&lt;&gt;"",$H17&lt;&gt;$Z17,IFERROR(VLOOKUP($H17,areaCercaPuntiClassificaSquadra,3,FALSE),-1)=IFERROR(VLOOKUP($Z17,areaCercaPuntiClassificaSquadra,3,FALSE),-2)),SUMIFS(Dati!$B$2:$B$451,Dati!$A$2:$A$451,$H17,Dati!$H$2:$H$451,$Z17)+SUMIFS(Dati!$I$2:$I$451,Dati!$H$2:$H$451,$H17,Dati!$A$2:$A$451,$Z17),"-")</f>
        <v/>
      </c>
      <c r="AM17" s="22">
        <f>IF(AND($H17&lt;&gt;"",$AA17&lt;&gt;"",$H17&lt;&gt;$AA17,IFERROR(VLOOKUP($H17,areaCercaPuntiClassificaSquadra,3,FALSE),-1)=IFERROR(VLOOKUP($AA17,areaCercaPuntiClassificaSquadra,3,FALSE),-2)),SUMIFS(Dati!$B$2:$B$451,Dati!$A$2:$A$451,$H17,Dati!$H$2:$H$451,$AA17)+SUMIFS(Dati!$I$2:$I$451,Dati!$H$2:$H$451,$H17,Dati!$A$2:$A$451,$AA17),"-")</f>
        <v/>
      </c>
      <c r="AN17" s="22">
        <f>IF(AND($H17&lt;&gt;"",$AB17&lt;&gt;"",$H17&lt;&gt;$AB17,IFERROR(VLOOKUP($H17,areaCercaPuntiClassificaSquadra,3,FALSE),-1)=IFERROR(VLOOKUP($AB17,areaCercaPuntiClassificaSquadra,3,FALSE),-2)),SUMIFS(Dati!$B$2:$B$451,Dati!$A$2:$A$451,$H17,Dati!$H$2:$H$451,$AB17)+SUMIFS(Dati!$I$2:$I$451,Dati!$H$2:$H$451,$H17,Dati!$A$2:$A$451,$AB17),"-")</f>
        <v/>
      </c>
      <c r="AO17" s="22">
        <f>IF(AND($H17&lt;&gt;"",$AC17&lt;&gt;"",$H17&lt;&gt;$AC17,IFERROR(VLOOKUP($H17,areaCercaPuntiClassificaSquadra,3,FALSE),-1)=IFERROR(VLOOKUP($AC17,areaCercaPuntiClassificaSquadra,3,FALSE),-2)),SUMIFS(Dati!$B$2:$B$451,Dati!$A$2:$A$451,$H17,Dati!$H$2:$H$451,$AC17)+SUMIFS(Dati!$I$2:$I$451,Dati!$H$2:$H$451,$H17,Dati!$A$2:$A$451,$AC17),"-")</f>
        <v/>
      </c>
      <c r="AP17" s="22">
        <f>IF(AND($H17&lt;&gt;"",$AD17&lt;&gt;"",$H17&lt;&gt;$AD17,IFERROR(VLOOKUP($H17,areaCercaPuntiClassificaSquadra,3,FALSE),-1)=IFERROR(VLOOKUP($AD17,areaCercaPuntiClassificaSquadra,3,FALSE),-2)),SUMIFS(Dati!$B$2:$B$451,Dati!$A$2:$A$451,$H17,Dati!$H$2:$H$451,$AD17)+SUMIFS(Dati!$I$2:$I$451,Dati!$H$2:$H$451,$H17,Dati!$A$2:$A$451,$AD17),"-")</f>
        <v/>
      </c>
      <c r="AQ17" s="22">
        <f>IF(AND($H17&lt;&gt;"",$AE17&lt;&gt;"",$H17&lt;&gt;$AE17,IFERROR(VLOOKUP($H17,areaCercaPuntiClassificaSquadra,3,FALSE),-1)=IFERROR(VLOOKUP($AE17,areaCercaPuntiClassificaSquadra,3,FALSE),-2)),SUMIFS(Dati!$B$2:$B$451,Dati!$A$2:$A$451,$H17,Dati!$H$2:$H$451,$AE17)+SUMIFS(Dati!$I$2:$I$451,Dati!$H$2:$H$451,$H17,Dati!$A$2:$A$451,$AE17),"-")</f>
        <v/>
      </c>
      <c r="AR17" s="22">
        <f>IF(AND($H17&lt;&gt;"",$AF17&lt;&gt;"",$H17&lt;&gt;$AF17,IFERROR(VLOOKUP($H17,areaCercaPuntiClassificaSquadra,3,FALSE),-1)=IFERROR(VLOOKUP($AF17,areaCercaPuntiClassificaSquadra,3,FALSE),-2)),SUMIFS(Dati!$B$2:$B$451,Dati!$A$2:$A$451,$H17,Dati!$H$2:$H$451,$AF17)+SUMIFS(Dati!$I$2:$I$451,Dati!$H$2:$H$451,$H17,Dati!$A$2:$A$451,$AF17),"-")</f>
        <v/>
      </c>
      <c r="AS17" s="22">
        <f>IF(AND($H17&lt;&gt;"",$AG17&lt;&gt;"",$H17&lt;&gt;$AG17,IFERROR(VLOOKUP($H17,areaCercaPuntiClassificaSquadra,3,FALSE),-1)=IFERROR(VLOOKUP($AG17,areaCercaPuntiClassificaSquadra,3,FALSE),-2)),SUMIFS(Dati!$B$2:$B$451,Dati!$A$2:$A$451,$H17,Dati!$H$2:$H$451,$AG17)+SUMIFS(Dati!$I$2:$I$451,Dati!$H$2:$H$451,$H17,Dati!$A$2:$A$451,$AG17),"-")</f>
        <v/>
      </c>
      <c r="AT17" s="22">
        <f>IF(AND($H17&lt;&gt;"",$AH17&lt;&gt;"",$H17&lt;&gt;$AH17,IFERROR(VLOOKUP($H17,areaCercaPuntiClassificaSquadra,3,FALSE),-1)=IFERROR(VLOOKUP($AH17,areaCercaPuntiClassificaSquadra,3,FALSE),-2)),SUMIFS(Dati!$B$2:$B$451,Dati!$A$2:$A$451,$H17,Dati!$H$2:$H$451,$AH17)+SUMIFS(Dati!$I$2:$I$451,Dati!$H$2:$H$451,$H17,Dati!$A$2:$A$451,$AH17),"-")</f>
        <v/>
      </c>
      <c r="AV17" s="21">
        <f>$C17</f>
        <v/>
      </c>
      <c r="AW17" s="22">
        <f>IF(AND($H17&lt;&gt;"",$Y17&lt;&gt;"",$H17&lt;&gt;$Y17,IFERROR(VLOOKUP($H17,areaCercaPuntiClassificaSquadra,3,FALSE),-1)=IFERROR(VLOOKUP($Y17,areaCercaPuntiClassificaSquadra,3,FALSE),-2)),SUMIFS(Dati!$D$2:$D$451,Dati!$A$2:$A$451,$H17,Dati!$H$2:$H$451,$Y17)+SUMIFS(Dati!$K$2:$K$451,Dati!$H$2:$H$451,$H17,Dati!$A$2:$A$451,$Y17)+SUMIFS(Dati!$C$2:$C$451,Dati!$A$2:$A$451,$H17,Dati!$H$2:$H$451,$Y17)+SUMIFS(Dati!$J$2:$J$451,Dati!$H$2:$H$451,$H17,Dati!$A$2:$A$451,$Y17),"-")</f>
        <v/>
      </c>
      <c r="AX17" s="22">
        <f>IF(AND($H17&lt;&gt;"",$Z17&lt;&gt;"",$H17&lt;&gt;$Z17,IFERROR(VLOOKUP($H17,areaCercaPuntiClassificaSquadra,3,FALSE),-1)=IFERROR(VLOOKUP($Z17,areaCercaPuntiClassificaSquadra,3,FALSE),-2)),SUMIFS(Dati!$D$2:$D$451,Dati!$A$2:$A$451,$H17,Dati!$H$2:$H$451,$Z17)+SUMIFS(Dati!$K$2:$K$451,Dati!$H$2:$H$451,$H17,Dati!$A$2:$A$451,$Z17)+SUMIFS(Dati!$C$2:$C$451,Dati!$A$2:$A$451,$H17,Dati!$H$2:$H$451,$Z17)+SUMIFS(Dati!$J$2:$J$451,Dati!$H$2:$H$451,$H17,Dati!$A$2:$A$451,$Z17),"-")</f>
        <v/>
      </c>
      <c r="AY17" s="22">
        <f>IF(AND($H17&lt;&gt;"",$AA17&lt;&gt;"",$H17&lt;&gt;$AA17,IFERROR(VLOOKUP($H17,areaCercaPuntiClassificaSquadra,3,FALSE),-1)=IFERROR(VLOOKUP($AA17,areaCercaPuntiClassificaSquadra,3,FALSE),-2)),SUMIFS(Dati!$D$2:$D$451,Dati!$A$2:$A$451,$H17,Dati!$H$2:$H$451,$AA17)+SUMIFS(Dati!$K$2:$K$451,Dati!$H$2:$H$451,$H17,Dati!$A$2:$A$451,$AA17)+SUMIFS(Dati!$C$2:$C$451,Dati!$A$2:$A$451,$H17,Dati!$H$2:$H$451,$AA17)+SUMIFS(Dati!$J$2:$J$451,Dati!$H$2:$H$451,$H17,Dati!$A$2:$A$451,$AA17),"-")</f>
        <v/>
      </c>
      <c r="AZ17" s="22">
        <f>IF(AND($H17&lt;&gt;"",$AB17&lt;&gt;"",$H17&lt;&gt;$AB17,IFERROR(VLOOKUP($H17,areaCercaPuntiClassificaSquadra,3,FALSE),-1)=IFERROR(VLOOKUP($AB17,areaCercaPuntiClassificaSquadra,3,FALSE),-2)),SUMIFS(Dati!$D$2:$D$451,Dati!$A$2:$A$451,$H17,Dati!$H$2:$H$451,$AB17)+SUMIFS(Dati!$K$2:$K$451,Dati!$H$2:$H$451,$H17,Dati!$A$2:$A$451,$AB17)+SUMIFS(Dati!$C$2:$C$451,Dati!$A$2:$A$451,$H17,Dati!$H$2:$H$451,$AB17)+SUMIFS(Dati!$J$2:$J$451,Dati!$H$2:$H$451,$H17,Dati!$A$2:$A$451,$AB17),"-")</f>
        <v/>
      </c>
      <c r="BA17" s="22">
        <f>IF(AND($H17&lt;&gt;"",$AC17&lt;&gt;"",$H17&lt;&gt;$AC17,IFERROR(VLOOKUP($H17,areaCercaPuntiClassificaSquadra,3,FALSE),-1)=IFERROR(VLOOKUP($AC17,areaCercaPuntiClassificaSquadra,3,FALSE),-2)),SUMIFS(Dati!$D$2:$D$451,Dati!$A$2:$A$451,$H17,Dati!$H$2:$H$451,$AC17)+SUMIFS(Dati!$K$2:$K$451,Dati!$H$2:$H$451,$H17,Dati!$A$2:$A$451,$AC17)+SUMIFS(Dati!$C$2:$C$451,Dati!$A$2:$A$451,$H17,Dati!$H$2:$H$451,$AC17)+SUMIFS(Dati!$J$2:$J$451,Dati!$H$2:$H$451,$H17,Dati!$A$2:$A$451,$AC17),"-")</f>
        <v/>
      </c>
      <c r="BB17" s="22">
        <f>IF(AND($H17&lt;&gt;"",$AD17&lt;&gt;"",$H17&lt;&gt;$AD17,IFERROR(VLOOKUP($H17,areaCercaPuntiClassificaSquadra,3,FALSE),-1)=IFERROR(VLOOKUP($AD17,areaCercaPuntiClassificaSquadra,3,FALSE),-2)),SUMIFS(Dati!$D$2:$D$451,Dati!$A$2:$A$451,$H17,Dati!$H$2:$H$451,$AD17)+SUMIFS(Dati!$K$2:$K$451,Dati!$H$2:$H$451,$H17,Dati!$A$2:$A$451,$AD17)+SUMIFS(Dati!$C$2:$C$451,Dati!$A$2:$A$451,$H17,Dati!$H$2:$H$451,$AD17)+SUMIFS(Dati!$J$2:$J$451,Dati!$H$2:$H$451,$H17,Dati!$A$2:$A$451,$AD17),"-")</f>
        <v/>
      </c>
      <c r="BC17" s="22">
        <f>IF(AND($H17&lt;&gt;"",$AE17&lt;&gt;"",$H17&lt;&gt;$AE17,IFERROR(VLOOKUP($H17,areaCercaPuntiClassificaSquadra,3,FALSE),-1)=IFERROR(VLOOKUP($AE17,areaCercaPuntiClassificaSquadra,3,FALSE),-2)),SUMIFS(Dati!$D$2:$D$451,Dati!$A$2:$A$451,$H17,Dati!$H$2:$H$451,$AE17)+SUMIFS(Dati!$K$2:$K$451,Dati!$H$2:$H$451,$H17,Dati!$A$2:$A$451,$AE17)+SUMIFS(Dati!$C$2:$C$451,Dati!$A$2:$A$451,$H17,Dati!$H$2:$H$451,$AE17)+SUMIFS(Dati!$J$2:$J$451,Dati!$H$2:$H$451,$H17,Dati!$A$2:$A$451,$AE17),"-")</f>
        <v/>
      </c>
      <c r="BD17" s="22">
        <f>IF(AND($H17&lt;&gt;"",$AF17&lt;&gt;"",$H17&lt;&gt;$AF17,IFERROR(VLOOKUP($H17,areaCercaPuntiClassificaSquadra,3,FALSE),-1)=IFERROR(VLOOKUP($AF17,areaCercaPuntiClassificaSquadra,3,FALSE),-2)),SUMIFS(Dati!$D$2:$D$451,Dati!$A$2:$A$451,$H17,Dati!$H$2:$H$451,$AF17)+SUMIFS(Dati!$K$2:$K$451,Dati!$H$2:$H$451,$H17,Dati!$A$2:$A$451,$AF17)+SUMIFS(Dati!$C$2:$C$451,Dati!$A$2:$A$451,$H17,Dati!$H$2:$H$451,$AF17)+SUMIFS(Dati!$J$2:$J$451,Dati!$H$2:$H$451,$H17,Dati!$A$2:$A$451,$AF17),"-")</f>
        <v/>
      </c>
      <c r="BE17" s="22">
        <f>IF(AND($H17&lt;&gt;"",$AG17&lt;&gt;"",$H17&lt;&gt;$AG17,IFERROR(VLOOKUP($H17,areaCercaPuntiClassificaSquadra,3,FALSE),-1)=IFERROR(VLOOKUP($AG17,areaCercaPuntiClassificaSquadra,3,FALSE),-2)),SUMIFS(Dati!$D$2:$D$451,Dati!$A$2:$A$451,$H17,Dati!$H$2:$H$451,$AG17)+SUMIFS(Dati!$K$2:$K$451,Dati!$H$2:$H$451,$H17,Dati!$A$2:$A$451,$AG17)+SUMIFS(Dati!$C$2:$C$451,Dati!$A$2:$A$451,$H17,Dati!$H$2:$H$451,$AG17)+SUMIFS(Dati!$J$2:$J$451,Dati!$H$2:$H$451,$H17,Dati!$A$2:$A$451,$AG17),"-")</f>
        <v/>
      </c>
      <c r="BF17" s="22">
        <f>IF(AND($H17&lt;&gt;"",$AH17&lt;&gt;"",$H17&lt;&gt;$AH17,IFERROR(VLOOKUP($H17,areaCercaPuntiClassificaSquadra,3,FALSE),-1)=IFERROR(VLOOKUP($AH17,areaCercaPuntiClassificaSquadra,3,FALSE),-2)),SUMIFS(Dati!$D$2:$D$451,Dati!$A$2:$A$451,$H17,Dati!$H$2:$H$451,$AH17)+SUMIFS(Dati!$K$2:$K$451,Dati!$H$2:$H$451,$H17,Dati!$A$2:$A$451,$AH17)+SUMIFS(Dati!$C$2:$C$451,Dati!$A$2:$A$451,$H17,Dati!$H$2:$H$451,$AH17)+SUMIFS(Dati!$J$2:$J$451,Dati!$H$2:$H$451,$H17,Dati!$A$2:$A$451,$AH17),"-")</f>
        <v/>
      </c>
      <c r="BH17" s="21">
        <f>$C17</f>
        <v/>
      </c>
      <c r="BI17" s="22">
        <f>IF(AND($H17&lt;&gt;"",$Y17&lt;&gt;"",$H17&lt;&gt;$Y17,IFERROR(VLOOKUP($H17,areaCercaPuntiClassificaSquadra,3,FALSE),-1)=IFERROR(VLOOKUP($Y17,areaCercaPuntiClassificaSquadra,3,FALSE),-2)),SUMIFS(Dati!$E$2:$E$451,Dati!$A$2:$A$451,$H17,Dati!$H$2:$H$451,$Y17)+SUMIFS(Dati!$L$2:$L$451,Dati!$H$2:$H$451,$H17,Dati!$A$2:$A$451,$Y17),"-")</f>
        <v/>
      </c>
      <c r="BJ17" s="22">
        <f>IF(AND($H17&lt;&gt;"",$Z17&lt;&gt;"",$H17&lt;&gt;$Z17,IFERROR(VLOOKUP($H17,areaCercaPuntiClassificaSquadra,3,FALSE),-1)=IFERROR(VLOOKUP($Z17,areaCercaPuntiClassificaSquadra,3,FALSE),-2)),SUMIFS(Dati!$E$2:$E$451,Dati!$A$2:$A$451,$H17,Dati!$H$2:$H$451,$Z17)+SUMIFS(Dati!$L$2:$L$451,Dati!$H$2:$H$451,$H17,Dati!$A$2:$A$451,$Z17),"-")</f>
        <v/>
      </c>
      <c r="BK17" s="22">
        <f>IF(AND($H17&lt;&gt;"",$AA17&lt;&gt;"",$H17&lt;&gt;$AA17,IFERROR(VLOOKUP($H17,areaCercaPuntiClassificaSquadra,3,FALSE),-1)=IFERROR(VLOOKUP($AA17,areaCercaPuntiClassificaSquadra,3,FALSE),-2)),SUMIFS(Dati!$E$2:$E$451,Dati!$A$2:$A$451,$H17,Dati!$H$2:$H$451,$AA17)+SUMIFS(Dati!$L$2:$L$451,Dati!$H$2:$H$451,$H17,Dati!$A$2:$A$451,$AA17),"-")</f>
        <v/>
      </c>
      <c r="BL17" s="22">
        <f>IF(AND($H17&lt;&gt;"",$AB17&lt;&gt;"",$H17&lt;&gt;$AB17,IFERROR(VLOOKUP($H17,areaCercaPuntiClassificaSquadra,3,FALSE),-1)=IFERROR(VLOOKUP($AB17,areaCercaPuntiClassificaSquadra,3,FALSE),-2)),SUMIFS(Dati!$E$2:$E$451,Dati!$A$2:$A$451,$H17,Dati!$H$2:$H$451,$AB17)+SUMIFS(Dati!$L$2:$L$451,Dati!$H$2:$H$451,$H17,Dati!$A$2:$A$451,$AB17),"-")</f>
        <v/>
      </c>
      <c r="BM17" s="22">
        <f>IF(AND($H17&lt;&gt;"",$AC17&lt;&gt;"",$H17&lt;&gt;$AC17,IFERROR(VLOOKUP($H17,areaCercaPuntiClassificaSquadra,3,FALSE),-1)=IFERROR(VLOOKUP($AC17,areaCercaPuntiClassificaSquadra,3,FALSE),-2)),SUMIFS(Dati!$E$2:$E$451,Dati!$A$2:$A$451,$H17,Dati!$H$2:$H$451,$AC17)+SUMIFS(Dati!$L$2:$L$451,Dati!$H$2:$H$451,$H17,Dati!$A$2:$A$451,$AC17),"-")</f>
        <v/>
      </c>
      <c r="BN17" s="22">
        <f>IF(AND($H17&lt;&gt;"",$AD17&lt;&gt;"",$H17&lt;&gt;$AD17,IFERROR(VLOOKUP($H17,areaCercaPuntiClassificaSquadra,3,FALSE),-1)=IFERROR(VLOOKUP($AD17,areaCercaPuntiClassificaSquadra,3,FALSE),-2)),SUMIFS(Dati!$E$2:$E$451,Dati!$A$2:$A$451,$H17,Dati!$H$2:$H$451,$AD17)+SUMIFS(Dati!$L$2:$L$451,Dati!$H$2:$H$451,$H17,Dati!$A$2:$A$451,$AD17),"-")</f>
        <v/>
      </c>
      <c r="BO17" s="22">
        <f>IF(AND($H17&lt;&gt;"",$AE17&lt;&gt;"",$H17&lt;&gt;$AE17,IFERROR(VLOOKUP($H17,areaCercaPuntiClassificaSquadra,3,FALSE),-1)=IFERROR(VLOOKUP($AE17,areaCercaPuntiClassificaSquadra,3,FALSE),-2)),SUMIFS(Dati!$E$2:$E$451,Dati!$A$2:$A$451,$H17,Dati!$H$2:$H$451,$AE17)+SUMIFS(Dati!$L$2:$L$451,Dati!$H$2:$H$451,$H17,Dati!$A$2:$A$451,$AE17),"-")</f>
        <v/>
      </c>
      <c r="BP17" s="22">
        <f>IF(AND($H17&lt;&gt;"",$AF17&lt;&gt;"",$H17&lt;&gt;$AF17,IFERROR(VLOOKUP($H17,areaCercaPuntiClassificaSquadra,3,FALSE),-1)=IFERROR(VLOOKUP($AF17,areaCercaPuntiClassificaSquadra,3,FALSE),-2)),SUMIFS(Dati!$E$2:$E$451,Dati!$A$2:$A$451,$H17,Dati!$H$2:$H$451,$AF17)+SUMIFS(Dati!$L$2:$L$451,Dati!$H$2:$H$451,$H17,Dati!$A$2:$A$451,$AF17),"-")</f>
        <v/>
      </c>
      <c r="BQ17" s="22">
        <f>IF(AND($H17&lt;&gt;"",$AG17&lt;&gt;"",$H17&lt;&gt;$AG17,IFERROR(VLOOKUP($H17,areaCercaPuntiClassificaSquadra,3,FALSE),-1)=IFERROR(VLOOKUP($AG17,areaCercaPuntiClassificaSquadra,3,FALSE),-2)),SUMIFS(Dati!$E$2:$E$451,Dati!$A$2:$A$451,$H17,Dati!$H$2:$H$451,$AG17)+SUMIFS(Dati!$L$2:$L$451,Dati!$H$2:$H$451,$H17,Dati!$A$2:$A$451,$AG17),"-")</f>
        <v/>
      </c>
      <c r="BR17" s="22">
        <f>IF(AND($H17&lt;&gt;"",$AH17&lt;&gt;"",$H17&lt;&gt;$AH17,IFERROR(VLOOKUP($H17,areaCercaPuntiClassificaSquadra,3,FALSE),-1)=IFERROR(VLOOKUP($AH17,areaCercaPuntiClassificaSquadra,3,FALSE),-2)),SUMIFS(Dati!$E$2:$E$451,Dati!$A$2:$A$451,$H17,Dati!$H$2:$H$451,$AH17)+SUMIFS(Dati!$L$2:$L$451,Dati!$H$2:$H$451,$H17,Dati!$A$2:$A$451,$AH17),"-")</f>
        <v/>
      </c>
      <c r="BT17" s="21">
        <f>$C17</f>
        <v/>
      </c>
      <c r="BU17" s="22">
        <f>IF(AND($H17&lt;&gt;"",$Y17&lt;&gt;"",$H17&lt;&gt;$Y17,IFERROR(VLOOKUP($H17,areaCercaPuntiClassificaSquadra,3,FALSE),-1)=IFERROR(VLOOKUP($Y17,areaCercaPuntiClassificaSquadra,3,FALSE),-2)),SUMIFS(Dati!$F$2:$F$451,Dati!$A$2:$A$451,$H17,Dati!$H$2:$H$451,$Y17)+SUMIFS(Dati!$M$2:$M$451,Dati!$H$2:$H$451,$H17,Dati!$A$2:$A$451,$Y17),"-")</f>
        <v/>
      </c>
      <c r="BV17" s="22">
        <f>IF(AND($H17&lt;&gt;"",$Z17&lt;&gt;"",$H17&lt;&gt;$Z17,IFERROR(VLOOKUP($H17,areaCercaPuntiClassificaSquadra,3,FALSE),-1)=IFERROR(VLOOKUP($Z17,areaCercaPuntiClassificaSquadra,3,FALSE),-2)),SUMIFS(Dati!$F$2:$F$451,Dati!$A$2:$A$451,$H17,Dati!$H$2:$H$451,$Z17)+SUMIFS(Dati!$M$2:$M$451,Dati!$H$2:$H$451,$H17,Dati!$A$2:$A$451,$Z17),"-")</f>
        <v/>
      </c>
      <c r="BW17" s="22">
        <f>IF(AND($H17&lt;&gt;"",$AA17&lt;&gt;"",$H17&lt;&gt;$AA17,IFERROR(VLOOKUP($H17,areaCercaPuntiClassificaSquadra,3,FALSE),-1)=IFERROR(VLOOKUP($AA17,areaCercaPuntiClassificaSquadra,3,FALSE),-2)),SUMIFS(Dati!$F$2:$F$451,Dati!$A$2:$A$451,$H17,Dati!$H$2:$H$451,$AA17)+SUMIFS(Dati!$M$2:$M$451,Dati!$H$2:$H$451,$H17,Dati!$A$2:$A$451,$AA17),"-")</f>
        <v/>
      </c>
      <c r="BX17" s="22">
        <f>IF(AND($H17&lt;&gt;"",$AB17&lt;&gt;"",$H17&lt;&gt;$AB17,IFERROR(VLOOKUP($H17,areaCercaPuntiClassificaSquadra,3,FALSE),-1)=IFERROR(VLOOKUP($AB17,areaCercaPuntiClassificaSquadra,3,FALSE),-2)),SUMIFS(Dati!$F$2:$F$451,Dati!$A$2:$A$451,$H17,Dati!$H$2:$H$451,$AB17)+SUMIFS(Dati!$M$2:$M$451,Dati!$H$2:$H$451,$H17,Dati!$A$2:$A$451,$AB17),"-")</f>
        <v/>
      </c>
      <c r="BY17" s="22">
        <f>IF(AND($H17&lt;&gt;"",$AC17&lt;&gt;"",$H17&lt;&gt;$AC17,IFERROR(VLOOKUP($H17,areaCercaPuntiClassificaSquadra,3,FALSE),-1)=IFERROR(VLOOKUP($AC17,areaCercaPuntiClassificaSquadra,3,FALSE),-2)),SUMIFS(Dati!$F$2:$F$451,Dati!$A$2:$A$451,$H17,Dati!$H$2:$H$451,$AC17)+SUMIFS(Dati!$M$2:$M$451,Dati!$H$2:$H$451,$H17,Dati!$A$2:$A$451,$AC17),"-")</f>
        <v/>
      </c>
      <c r="BZ17" s="22">
        <f>IF(AND($H17&lt;&gt;"",$AD17&lt;&gt;"",$H17&lt;&gt;$AD17,IFERROR(VLOOKUP($H17,areaCercaPuntiClassificaSquadra,3,FALSE),-1)=IFERROR(VLOOKUP($AD17,areaCercaPuntiClassificaSquadra,3,FALSE),-2)),SUMIFS(Dati!$F$2:$F$451,Dati!$A$2:$A$451,$H17,Dati!$H$2:$H$451,$AD17)+SUMIFS(Dati!$M$2:$M$451,Dati!$H$2:$H$451,$H17,Dati!$A$2:$A$451,$AD17),"-")</f>
        <v/>
      </c>
      <c r="CA17" s="22">
        <f>IF(AND($H17&lt;&gt;"",$AE17&lt;&gt;"",$H17&lt;&gt;$AE17,IFERROR(VLOOKUP($H17,areaCercaPuntiClassificaSquadra,3,FALSE),-1)=IFERROR(VLOOKUP($AE17,areaCercaPuntiClassificaSquadra,3,FALSE),-2)),SUMIFS(Dati!$F$2:$F$451,Dati!$A$2:$A$451,$H17,Dati!$H$2:$H$451,$AE17)+SUMIFS(Dati!$M$2:$M$451,Dati!$H$2:$H$451,$H17,Dati!$A$2:$A$451,$AE17),"-")</f>
        <v/>
      </c>
      <c r="CB17" s="22">
        <f>IF(AND($H17&lt;&gt;"",$AF17&lt;&gt;"",$H17&lt;&gt;$AF17,IFERROR(VLOOKUP($H17,areaCercaPuntiClassificaSquadra,3,FALSE),-1)=IFERROR(VLOOKUP($AF17,areaCercaPuntiClassificaSquadra,3,FALSE),-2)),SUMIFS(Dati!$F$2:$F$451,Dati!$A$2:$A$451,$H17,Dati!$H$2:$H$451,$AF17)+SUMIFS(Dati!$M$2:$M$451,Dati!$H$2:$H$451,$H17,Dati!$A$2:$A$451,$AF17),"-")</f>
        <v/>
      </c>
      <c r="CC17" s="22">
        <f>IF(AND($H17&lt;&gt;"",$AG17&lt;&gt;"",$H17&lt;&gt;$AG17,IFERROR(VLOOKUP($H17,areaCercaPuntiClassificaSquadra,3,FALSE),-1)=IFERROR(VLOOKUP($AG17,areaCercaPuntiClassificaSquadra,3,FALSE),-2)),SUMIFS(Dati!$F$2:$F$451,Dati!$A$2:$A$451,$H17,Dati!$H$2:$H$451,$AG17)+SUMIFS(Dati!$M$2:$M$451,Dati!$H$2:$H$451,$H17,Dati!$A$2:$A$451,$AG17),"-")</f>
        <v/>
      </c>
      <c r="CD17" s="22">
        <f>IF(AND($H17&lt;&gt;"",$AH17&lt;&gt;"",$H17&lt;&gt;$AH17,IFERROR(VLOOKUP($H17,areaCercaPuntiClassificaSquadra,3,FALSE),-1)=IFERROR(VLOOKUP($AH17,areaCercaPuntiClassificaSquadra,3,FALSE),-2)),SUMIFS(Dati!$F$2:$F$451,Dati!$A$2:$A$451,$H17,Dati!$H$2:$H$451,$AH17)+SUMIFS(Dati!$M$2:$M$451,Dati!$H$2:$H$451,$H17,Dati!$A$2:$A$451,$AH17),"-")</f>
        <v/>
      </c>
      <c r="CF17" s="22">
        <f>IF($C17="","",SUM(AK17:AT17))</f>
        <v/>
      </c>
    </row>
    <row r="18">
      <c r="B18" s="12" t="inlineStr">
        <is>
          <t>A05</t>
        </is>
      </c>
      <c r="C18" s="13" t="n"/>
      <c r="D18" s="14" t="n"/>
      <c r="E18" s="15" t="inlineStr">
        <is>
          <t>A</t>
        </is>
      </c>
      <c r="G18" s="16">
        <f>IF($C18="","",$E18&amp;(COUNTIFS(I$14:I$113,"&gt;"&amp;I18,E$14:E$113,"="&amp;E18,C$14:C$113,"&lt;&gt;")+COUNTIFS(I$14:I$113,"="&amp;I18,H$14:H$113,"&lt;="&amp;H18,E$14:E$113,"="&amp;E18,C$14:C$113,"&lt;&gt;")))</f>
        <v/>
      </c>
      <c r="H18" s="17">
        <f>IF($C18="","",IFERROR(LEFT($C18,FIND("-",$C18)-1),$C18))</f>
        <v/>
      </c>
      <c r="I18" s="12">
        <f>TEXT(1000000000+J18,"|0000000000|")&amp;TEXT(SUM(AK18:AT18),"0000000000|")&amp;IF(SUM(BU18:CD18)=0,"0000000000|",TEXT(ROUND(SUM(BI18:BR18)/SUM(BU18:CD18),4)*100000,"0000000000|"))&amp;IF(P18=0,"0000000000|",TEXT(ROUND(O18/P18,4)*100000,"0000000000|"))</f>
        <v/>
      </c>
      <c r="J18" s="16">
        <f>L18*constPuntiVittoria+M18*constPuntiSconfitta+N18*constPuntiForfait+IF(D18="",0,D18)</f>
        <v/>
      </c>
      <c r="K18" s="12">
        <f>SUM(L18:N18)</f>
        <v/>
      </c>
      <c r="L18" s="12">
        <f>IF($H18="",0,SUMIF(Dati!$A$2:$A$451,$H18,Dati!$B$2:$B$451)+SUMIF(Dati!$H$2:$H$451,$H18,Dati!$I$2:$I$451))</f>
        <v/>
      </c>
      <c r="M18" s="12">
        <f>IF($H18="",0,SUMIF(Dati!$A$2:$A$451,$H18,Dati!$D$2:$D$451)+SUMIF(Dati!$H$2:$H$451,$H18,Dati!$K$2:$K$451))</f>
        <v/>
      </c>
      <c r="N18" s="12">
        <f>IF($H18="",0,SUMIF(Dati!$A$2:$A$451,$H18,Dati!$C$2:$C$451)+SUMIF(Dati!$H$2:$H$451,$H18,Dati!$J$2:$J$451))</f>
        <v/>
      </c>
      <c r="O18" s="12">
        <f>IF($H18="",0,SUMIF(Dati!$A$2:$A$451,$H18,Dati!$E$2:$E$451)+SUMIF(Dati!$H$2:$H$451,$H18,Dati!$L$2:$L$451))</f>
        <v/>
      </c>
      <c r="P18" s="12">
        <f>IF($H18="",0,SUMIF(Dati!$A$2:$A$451,$H18,Dati!$F$2:$F$451)+SUMIF(Dati!$H$2:$H$451,$H18,Dati!$M$2:$M$451))</f>
        <v/>
      </c>
      <c r="Q18" s="12">
        <f>IF($H18="",0,SUMIF(Dati!$A$2:$A$451,$H18,Dati!$G$2:$G$451)+SUMIF(Dati!$H$2:$H$451,$H18,Dati!$N$2:$N$451))</f>
        <v/>
      </c>
      <c r="R18" s="12">
        <f>IF(K18=0,0,ROUND(O18/K18,2))</f>
        <v/>
      </c>
      <c r="S18" s="12">
        <f>IF(K18=0,0,ROUND(P18/K18,2))</f>
        <v/>
      </c>
      <c r="T18" s="12">
        <f>IF(K18=0,0,ROUND(Q18/K18,2))</f>
        <v/>
      </c>
      <c r="U18" s="12">
        <f>IF(COUNTIFS($E$14:$E$113,$E18,$J$14:$J$113,$J18,$C$14:$C$113,"&lt;&gt;")&lt;=1,"-",SUM(AK18:AT18)&amp;"-"&amp;SUM(AW18:BF18))</f>
        <v/>
      </c>
      <c r="V18" s="18">
        <f>IF(COUNTIFS($E$14:$E$113,$E18,$J$14:$J$113,$J18,$C$14:$C$113,"&lt;&gt;",$CF$14:$CF$113,$CF18)&lt;=1,"-",IF(SUM(BU18:CD18)=0,0,ROUND(SUM(BI18:BR18)/SUM(BU18:CD18),3)))</f>
        <v/>
      </c>
      <c r="W18" s="18">
        <f>IF(COUNTIFS($E$14:$E$113,$E18,$J$14:$J$113,$J18,$C$14:$C$113,"&lt;&gt;",$CF$14:$CF$113,$CF18,$V$14:$V$113,$V18)&lt;=1,"-",IF(P18=0,0,ROUND(O18/P18,3)))</f>
        <v/>
      </c>
      <c r="X18" s="19">
        <f>IF($C18="","",$E18&amp;"#"&amp;COUNTIFS($E$14:$E18,$E18,$C$14:$C18,"&lt;&gt;"))</f>
        <v/>
      </c>
      <c r="Y18" s="20">
        <f>IFERROR(INDEX($H$14:$H$113,MATCH($E18&amp;"#1",$X$14:$X$113,0)),"")</f>
        <v/>
      </c>
      <c r="Z18" s="20">
        <f>IFERROR(INDEX($H$14:$H$113,MATCH($E18&amp;"#2",$X$14:$X$113,0)),"")</f>
        <v/>
      </c>
      <c r="AA18" s="20">
        <f>IFERROR(INDEX($H$14:$H$113,MATCH($E18&amp;"#3",$X$14:$X$113,0)),"")</f>
        <v/>
      </c>
      <c r="AB18" s="20">
        <f>IFERROR(INDEX($H$14:$H$113,MATCH($E18&amp;"#4",$X$14:$X$113,0)),"")</f>
        <v/>
      </c>
      <c r="AC18" s="20">
        <f>IFERROR(INDEX($H$14:$H$113,MATCH($E18&amp;"#5",$X$14:$X$113,0)),"")</f>
        <v/>
      </c>
      <c r="AD18" s="20">
        <f>IFERROR(INDEX($H$14:$H$113,MATCH($E18&amp;"#6",$X$14:$X$113,0)),"")</f>
        <v/>
      </c>
      <c r="AE18" s="20">
        <f>IFERROR(INDEX($H$14:$H$113,MATCH($E18&amp;"#7",$X$14:$X$113,0)),"")</f>
        <v/>
      </c>
      <c r="AF18" s="20">
        <f>IFERROR(INDEX($H$14:$H$113,MATCH($E18&amp;"#8",$X$14:$X$113,0)),"")</f>
        <v/>
      </c>
      <c r="AG18" s="20">
        <f>IFERROR(INDEX($H$14:$H$113,MATCH($E18&amp;"#9",$X$14:$X$113,0)),"")</f>
        <v/>
      </c>
      <c r="AH18" s="20">
        <f>IFERROR(INDEX($H$14:$H$113,MATCH($E18&amp;"#10",$X$14:$X$113,0)),"")</f>
        <v/>
      </c>
      <c r="AJ18" s="21">
        <f>$C18</f>
        <v/>
      </c>
      <c r="AK18" s="22">
        <f>IF(AND($H18&lt;&gt;"",$Y18&lt;&gt;"",$H18&lt;&gt;$Y18,IFERROR(VLOOKUP($H18,areaCercaPuntiClassificaSquadra,3,FALSE),-1)=IFERROR(VLOOKUP($Y18,areaCercaPuntiClassificaSquadra,3,FALSE),-2)),SUMIFS(Dati!$B$2:$B$451,Dati!$A$2:$A$451,$H18,Dati!$H$2:$H$451,$Y18)+SUMIFS(Dati!$I$2:$I$451,Dati!$H$2:$H$451,$H18,Dati!$A$2:$A$451,$Y18),"-")</f>
        <v/>
      </c>
      <c r="AL18" s="22">
        <f>IF(AND($H18&lt;&gt;"",$Z18&lt;&gt;"",$H18&lt;&gt;$Z18,IFERROR(VLOOKUP($H18,areaCercaPuntiClassificaSquadra,3,FALSE),-1)=IFERROR(VLOOKUP($Z18,areaCercaPuntiClassificaSquadra,3,FALSE),-2)),SUMIFS(Dati!$B$2:$B$451,Dati!$A$2:$A$451,$H18,Dati!$H$2:$H$451,$Z18)+SUMIFS(Dati!$I$2:$I$451,Dati!$H$2:$H$451,$H18,Dati!$A$2:$A$451,$Z18),"-")</f>
        <v/>
      </c>
      <c r="AM18" s="22">
        <f>IF(AND($H18&lt;&gt;"",$AA18&lt;&gt;"",$H18&lt;&gt;$AA18,IFERROR(VLOOKUP($H18,areaCercaPuntiClassificaSquadra,3,FALSE),-1)=IFERROR(VLOOKUP($AA18,areaCercaPuntiClassificaSquadra,3,FALSE),-2)),SUMIFS(Dati!$B$2:$B$451,Dati!$A$2:$A$451,$H18,Dati!$H$2:$H$451,$AA18)+SUMIFS(Dati!$I$2:$I$451,Dati!$H$2:$H$451,$H18,Dati!$A$2:$A$451,$AA18),"-")</f>
        <v/>
      </c>
      <c r="AN18" s="22">
        <f>IF(AND($H18&lt;&gt;"",$AB18&lt;&gt;"",$H18&lt;&gt;$AB18,IFERROR(VLOOKUP($H18,areaCercaPuntiClassificaSquadra,3,FALSE),-1)=IFERROR(VLOOKUP($AB18,areaCercaPuntiClassificaSquadra,3,FALSE),-2)),SUMIFS(Dati!$B$2:$B$451,Dati!$A$2:$A$451,$H18,Dati!$H$2:$H$451,$AB18)+SUMIFS(Dati!$I$2:$I$451,Dati!$H$2:$H$451,$H18,Dati!$A$2:$A$451,$AB18),"-")</f>
        <v/>
      </c>
      <c r="AO18" s="22">
        <f>IF(AND($H18&lt;&gt;"",$AC18&lt;&gt;"",$H18&lt;&gt;$AC18,IFERROR(VLOOKUP($H18,areaCercaPuntiClassificaSquadra,3,FALSE),-1)=IFERROR(VLOOKUP($AC18,areaCercaPuntiClassificaSquadra,3,FALSE),-2)),SUMIFS(Dati!$B$2:$B$451,Dati!$A$2:$A$451,$H18,Dati!$H$2:$H$451,$AC18)+SUMIFS(Dati!$I$2:$I$451,Dati!$H$2:$H$451,$H18,Dati!$A$2:$A$451,$AC18),"-")</f>
        <v/>
      </c>
      <c r="AP18" s="22">
        <f>IF(AND($H18&lt;&gt;"",$AD18&lt;&gt;"",$H18&lt;&gt;$AD18,IFERROR(VLOOKUP($H18,areaCercaPuntiClassificaSquadra,3,FALSE),-1)=IFERROR(VLOOKUP($AD18,areaCercaPuntiClassificaSquadra,3,FALSE),-2)),SUMIFS(Dati!$B$2:$B$451,Dati!$A$2:$A$451,$H18,Dati!$H$2:$H$451,$AD18)+SUMIFS(Dati!$I$2:$I$451,Dati!$H$2:$H$451,$H18,Dati!$A$2:$A$451,$AD18),"-")</f>
        <v/>
      </c>
      <c r="AQ18" s="22">
        <f>IF(AND($H18&lt;&gt;"",$AE18&lt;&gt;"",$H18&lt;&gt;$AE18,IFERROR(VLOOKUP($H18,areaCercaPuntiClassificaSquadra,3,FALSE),-1)=IFERROR(VLOOKUP($AE18,areaCercaPuntiClassificaSquadra,3,FALSE),-2)),SUMIFS(Dati!$B$2:$B$451,Dati!$A$2:$A$451,$H18,Dati!$H$2:$H$451,$AE18)+SUMIFS(Dati!$I$2:$I$451,Dati!$H$2:$H$451,$H18,Dati!$A$2:$A$451,$AE18),"-")</f>
        <v/>
      </c>
      <c r="AR18" s="22">
        <f>IF(AND($H18&lt;&gt;"",$AF18&lt;&gt;"",$H18&lt;&gt;$AF18,IFERROR(VLOOKUP($H18,areaCercaPuntiClassificaSquadra,3,FALSE),-1)=IFERROR(VLOOKUP($AF18,areaCercaPuntiClassificaSquadra,3,FALSE),-2)),SUMIFS(Dati!$B$2:$B$451,Dati!$A$2:$A$451,$H18,Dati!$H$2:$H$451,$AF18)+SUMIFS(Dati!$I$2:$I$451,Dati!$H$2:$H$451,$H18,Dati!$A$2:$A$451,$AF18),"-")</f>
        <v/>
      </c>
      <c r="AS18" s="22">
        <f>IF(AND($H18&lt;&gt;"",$AG18&lt;&gt;"",$H18&lt;&gt;$AG18,IFERROR(VLOOKUP($H18,areaCercaPuntiClassificaSquadra,3,FALSE),-1)=IFERROR(VLOOKUP($AG18,areaCercaPuntiClassificaSquadra,3,FALSE),-2)),SUMIFS(Dati!$B$2:$B$451,Dati!$A$2:$A$451,$H18,Dati!$H$2:$H$451,$AG18)+SUMIFS(Dati!$I$2:$I$451,Dati!$H$2:$H$451,$H18,Dati!$A$2:$A$451,$AG18),"-")</f>
        <v/>
      </c>
      <c r="AT18" s="22">
        <f>IF(AND($H18&lt;&gt;"",$AH18&lt;&gt;"",$H18&lt;&gt;$AH18,IFERROR(VLOOKUP($H18,areaCercaPuntiClassificaSquadra,3,FALSE),-1)=IFERROR(VLOOKUP($AH18,areaCercaPuntiClassificaSquadra,3,FALSE),-2)),SUMIFS(Dati!$B$2:$B$451,Dati!$A$2:$A$451,$H18,Dati!$H$2:$H$451,$AH18)+SUMIFS(Dati!$I$2:$I$451,Dati!$H$2:$H$451,$H18,Dati!$A$2:$A$451,$AH18),"-")</f>
        <v/>
      </c>
      <c r="AV18" s="21">
        <f>$C18</f>
        <v/>
      </c>
      <c r="AW18" s="22">
        <f>IF(AND($H18&lt;&gt;"",$Y18&lt;&gt;"",$H18&lt;&gt;$Y18,IFERROR(VLOOKUP($H18,areaCercaPuntiClassificaSquadra,3,FALSE),-1)=IFERROR(VLOOKUP($Y18,areaCercaPuntiClassificaSquadra,3,FALSE),-2)),SUMIFS(Dati!$D$2:$D$451,Dati!$A$2:$A$451,$H18,Dati!$H$2:$H$451,$Y18)+SUMIFS(Dati!$K$2:$K$451,Dati!$H$2:$H$451,$H18,Dati!$A$2:$A$451,$Y18)+SUMIFS(Dati!$C$2:$C$451,Dati!$A$2:$A$451,$H18,Dati!$H$2:$H$451,$Y18)+SUMIFS(Dati!$J$2:$J$451,Dati!$H$2:$H$451,$H18,Dati!$A$2:$A$451,$Y18),"-")</f>
        <v/>
      </c>
      <c r="AX18" s="22">
        <f>IF(AND($H18&lt;&gt;"",$Z18&lt;&gt;"",$H18&lt;&gt;$Z18,IFERROR(VLOOKUP($H18,areaCercaPuntiClassificaSquadra,3,FALSE),-1)=IFERROR(VLOOKUP($Z18,areaCercaPuntiClassificaSquadra,3,FALSE),-2)),SUMIFS(Dati!$D$2:$D$451,Dati!$A$2:$A$451,$H18,Dati!$H$2:$H$451,$Z18)+SUMIFS(Dati!$K$2:$K$451,Dati!$H$2:$H$451,$H18,Dati!$A$2:$A$451,$Z18)+SUMIFS(Dati!$C$2:$C$451,Dati!$A$2:$A$451,$H18,Dati!$H$2:$H$451,$Z18)+SUMIFS(Dati!$J$2:$J$451,Dati!$H$2:$H$451,$H18,Dati!$A$2:$A$451,$Z18),"-")</f>
        <v/>
      </c>
      <c r="AY18" s="22">
        <f>IF(AND($H18&lt;&gt;"",$AA18&lt;&gt;"",$H18&lt;&gt;$AA18,IFERROR(VLOOKUP($H18,areaCercaPuntiClassificaSquadra,3,FALSE),-1)=IFERROR(VLOOKUP($AA18,areaCercaPuntiClassificaSquadra,3,FALSE),-2)),SUMIFS(Dati!$D$2:$D$451,Dati!$A$2:$A$451,$H18,Dati!$H$2:$H$451,$AA18)+SUMIFS(Dati!$K$2:$K$451,Dati!$H$2:$H$451,$H18,Dati!$A$2:$A$451,$AA18)+SUMIFS(Dati!$C$2:$C$451,Dati!$A$2:$A$451,$H18,Dati!$H$2:$H$451,$AA18)+SUMIFS(Dati!$J$2:$J$451,Dati!$H$2:$H$451,$H18,Dati!$A$2:$A$451,$AA18),"-")</f>
        <v/>
      </c>
      <c r="AZ18" s="22">
        <f>IF(AND($H18&lt;&gt;"",$AB18&lt;&gt;"",$H18&lt;&gt;$AB18,IFERROR(VLOOKUP($H18,areaCercaPuntiClassificaSquadra,3,FALSE),-1)=IFERROR(VLOOKUP($AB18,areaCercaPuntiClassificaSquadra,3,FALSE),-2)),SUMIFS(Dati!$D$2:$D$451,Dati!$A$2:$A$451,$H18,Dati!$H$2:$H$451,$AB18)+SUMIFS(Dati!$K$2:$K$451,Dati!$H$2:$H$451,$H18,Dati!$A$2:$A$451,$AB18)+SUMIFS(Dati!$C$2:$C$451,Dati!$A$2:$A$451,$H18,Dati!$H$2:$H$451,$AB18)+SUMIFS(Dati!$J$2:$J$451,Dati!$H$2:$H$451,$H18,Dati!$A$2:$A$451,$AB18),"-")</f>
        <v/>
      </c>
      <c r="BA18" s="22">
        <f>IF(AND($H18&lt;&gt;"",$AC18&lt;&gt;"",$H18&lt;&gt;$AC18,IFERROR(VLOOKUP($H18,areaCercaPuntiClassificaSquadra,3,FALSE),-1)=IFERROR(VLOOKUP($AC18,areaCercaPuntiClassificaSquadra,3,FALSE),-2)),SUMIFS(Dati!$D$2:$D$451,Dati!$A$2:$A$451,$H18,Dati!$H$2:$H$451,$AC18)+SUMIFS(Dati!$K$2:$K$451,Dati!$H$2:$H$451,$H18,Dati!$A$2:$A$451,$AC18)+SUMIFS(Dati!$C$2:$C$451,Dati!$A$2:$A$451,$H18,Dati!$H$2:$H$451,$AC18)+SUMIFS(Dati!$J$2:$J$451,Dati!$H$2:$H$451,$H18,Dati!$A$2:$A$451,$AC18),"-")</f>
        <v/>
      </c>
      <c r="BB18" s="22">
        <f>IF(AND($H18&lt;&gt;"",$AD18&lt;&gt;"",$H18&lt;&gt;$AD18,IFERROR(VLOOKUP($H18,areaCercaPuntiClassificaSquadra,3,FALSE),-1)=IFERROR(VLOOKUP($AD18,areaCercaPuntiClassificaSquadra,3,FALSE),-2)),SUMIFS(Dati!$D$2:$D$451,Dati!$A$2:$A$451,$H18,Dati!$H$2:$H$451,$AD18)+SUMIFS(Dati!$K$2:$K$451,Dati!$H$2:$H$451,$H18,Dati!$A$2:$A$451,$AD18)+SUMIFS(Dati!$C$2:$C$451,Dati!$A$2:$A$451,$H18,Dati!$H$2:$H$451,$AD18)+SUMIFS(Dati!$J$2:$J$451,Dati!$H$2:$H$451,$H18,Dati!$A$2:$A$451,$AD18),"-")</f>
        <v/>
      </c>
      <c r="BC18" s="22">
        <f>IF(AND($H18&lt;&gt;"",$AE18&lt;&gt;"",$H18&lt;&gt;$AE18,IFERROR(VLOOKUP($H18,areaCercaPuntiClassificaSquadra,3,FALSE),-1)=IFERROR(VLOOKUP($AE18,areaCercaPuntiClassificaSquadra,3,FALSE),-2)),SUMIFS(Dati!$D$2:$D$451,Dati!$A$2:$A$451,$H18,Dati!$H$2:$H$451,$AE18)+SUMIFS(Dati!$K$2:$K$451,Dati!$H$2:$H$451,$H18,Dati!$A$2:$A$451,$AE18)+SUMIFS(Dati!$C$2:$C$451,Dati!$A$2:$A$451,$H18,Dati!$H$2:$H$451,$AE18)+SUMIFS(Dati!$J$2:$J$451,Dati!$H$2:$H$451,$H18,Dati!$A$2:$A$451,$AE18),"-")</f>
        <v/>
      </c>
      <c r="BD18" s="22">
        <f>IF(AND($H18&lt;&gt;"",$AF18&lt;&gt;"",$H18&lt;&gt;$AF18,IFERROR(VLOOKUP($H18,areaCercaPuntiClassificaSquadra,3,FALSE),-1)=IFERROR(VLOOKUP($AF18,areaCercaPuntiClassificaSquadra,3,FALSE),-2)),SUMIFS(Dati!$D$2:$D$451,Dati!$A$2:$A$451,$H18,Dati!$H$2:$H$451,$AF18)+SUMIFS(Dati!$K$2:$K$451,Dati!$H$2:$H$451,$H18,Dati!$A$2:$A$451,$AF18)+SUMIFS(Dati!$C$2:$C$451,Dati!$A$2:$A$451,$H18,Dati!$H$2:$H$451,$AF18)+SUMIFS(Dati!$J$2:$J$451,Dati!$H$2:$H$451,$H18,Dati!$A$2:$A$451,$AF18),"-")</f>
        <v/>
      </c>
      <c r="BE18" s="22">
        <f>IF(AND($H18&lt;&gt;"",$AG18&lt;&gt;"",$H18&lt;&gt;$AG18,IFERROR(VLOOKUP($H18,areaCercaPuntiClassificaSquadra,3,FALSE),-1)=IFERROR(VLOOKUP($AG18,areaCercaPuntiClassificaSquadra,3,FALSE),-2)),SUMIFS(Dati!$D$2:$D$451,Dati!$A$2:$A$451,$H18,Dati!$H$2:$H$451,$AG18)+SUMIFS(Dati!$K$2:$K$451,Dati!$H$2:$H$451,$H18,Dati!$A$2:$A$451,$AG18)+SUMIFS(Dati!$C$2:$C$451,Dati!$A$2:$A$451,$H18,Dati!$H$2:$H$451,$AG18)+SUMIFS(Dati!$J$2:$J$451,Dati!$H$2:$H$451,$H18,Dati!$A$2:$A$451,$AG18),"-")</f>
        <v/>
      </c>
      <c r="BF18" s="22">
        <f>IF(AND($H18&lt;&gt;"",$AH18&lt;&gt;"",$H18&lt;&gt;$AH18,IFERROR(VLOOKUP($H18,areaCercaPuntiClassificaSquadra,3,FALSE),-1)=IFERROR(VLOOKUP($AH18,areaCercaPuntiClassificaSquadra,3,FALSE),-2)),SUMIFS(Dati!$D$2:$D$451,Dati!$A$2:$A$451,$H18,Dati!$H$2:$H$451,$AH18)+SUMIFS(Dati!$K$2:$K$451,Dati!$H$2:$H$451,$H18,Dati!$A$2:$A$451,$AH18)+SUMIFS(Dati!$C$2:$C$451,Dati!$A$2:$A$451,$H18,Dati!$H$2:$H$451,$AH18)+SUMIFS(Dati!$J$2:$J$451,Dati!$H$2:$H$451,$H18,Dati!$A$2:$A$451,$AH18),"-")</f>
        <v/>
      </c>
      <c r="BH18" s="21">
        <f>$C18</f>
        <v/>
      </c>
      <c r="BI18" s="22">
        <f>IF(AND($H18&lt;&gt;"",$Y18&lt;&gt;"",$H18&lt;&gt;$Y18,IFERROR(VLOOKUP($H18,areaCercaPuntiClassificaSquadra,3,FALSE),-1)=IFERROR(VLOOKUP($Y18,areaCercaPuntiClassificaSquadra,3,FALSE),-2)),SUMIFS(Dati!$E$2:$E$451,Dati!$A$2:$A$451,$H18,Dati!$H$2:$H$451,$Y18)+SUMIFS(Dati!$L$2:$L$451,Dati!$H$2:$H$451,$H18,Dati!$A$2:$A$451,$Y18),"-")</f>
        <v/>
      </c>
      <c r="BJ18" s="22">
        <f>IF(AND($H18&lt;&gt;"",$Z18&lt;&gt;"",$H18&lt;&gt;$Z18,IFERROR(VLOOKUP($H18,areaCercaPuntiClassificaSquadra,3,FALSE),-1)=IFERROR(VLOOKUP($Z18,areaCercaPuntiClassificaSquadra,3,FALSE),-2)),SUMIFS(Dati!$E$2:$E$451,Dati!$A$2:$A$451,$H18,Dati!$H$2:$H$451,$Z18)+SUMIFS(Dati!$L$2:$L$451,Dati!$H$2:$H$451,$H18,Dati!$A$2:$A$451,$Z18),"-")</f>
        <v/>
      </c>
      <c r="BK18" s="22">
        <f>IF(AND($H18&lt;&gt;"",$AA18&lt;&gt;"",$H18&lt;&gt;$AA18,IFERROR(VLOOKUP($H18,areaCercaPuntiClassificaSquadra,3,FALSE),-1)=IFERROR(VLOOKUP($AA18,areaCercaPuntiClassificaSquadra,3,FALSE),-2)),SUMIFS(Dati!$E$2:$E$451,Dati!$A$2:$A$451,$H18,Dati!$H$2:$H$451,$AA18)+SUMIFS(Dati!$L$2:$L$451,Dati!$H$2:$H$451,$H18,Dati!$A$2:$A$451,$AA18),"-")</f>
        <v/>
      </c>
      <c r="BL18" s="22">
        <f>IF(AND($H18&lt;&gt;"",$AB18&lt;&gt;"",$H18&lt;&gt;$AB18,IFERROR(VLOOKUP($H18,areaCercaPuntiClassificaSquadra,3,FALSE),-1)=IFERROR(VLOOKUP($AB18,areaCercaPuntiClassificaSquadra,3,FALSE),-2)),SUMIFS(Dati!$E$2:$E$451,Dati!$A$2:$A$451,$H18,Dati!$H$2:$H$451,$AB18)+SUMIFS(Dati!$L$2:$L$451,Dati!$H$2:$H$451,$H18,Dati!$A$2:$A$451,$AB18),"-")</f>
        <v/>
      </c>
      <c r="BM18" s="22">
        <f>IF(AND($H18&lt;&gt;"",$AC18&lt;&gt;"",$H18&lt;&gt;$AC18,IFERROR(VLOOKUP($H18,areaCercaPuntiClassificaSquadra,3,FALSE),-1)=IFERROR(VLOOKUP($AC18,areaCercaPuntiClassificaSquadra,3,FALSE),-2)),SUMIFS(Dati!$E$2:$E$451,Dati!$A$2:$A$451,$H18,Dati!$H$2:$H$451,$AC18)+SUMIFS(Dati!$L$2:$L$451,Dati!$H$2:$H$451,$H18,Dati!$A$2:$A$451,$AC18),"-")</f>
        <v/>
      </c>
      <c r="BN18" s="22">
        <f>IF(AND($H18&lt;&gt;"",$AD18&lt;&gt;"",$H18&lt;&gt;$AD18,IFERROR(VLOOKUP($H18,areaCercaPuntiClassificaSquadra,3,FALSE),-1)=IFERROR(VLOOKUP($AD18,areaCercaPuntiClassificaSquadra,3,FALSE),-2)),SUMIFS(Dati!$E$2:$E$451,Dati!$A$2:$A$451,$H18,Dati!$H$2:$H$451,$AD18)+SUMIFS(Dati!$L$2:$L$451,Dati!$H$2:$H$451,$H18,Dati!$A$2:$A$451,$AD18),"-")</f>
        <v/>
      </c>
      <c r="BO18" s="22">
        <f>IF(AND($H18&lt;&gt;"",$AE18&lt;&gt;"",$H18&lt;&gt;$AE18,IFERROR(VLOOKUP($H18,areaCercaPuntiClassificaSquadra,3,FALSE),-1)=IFERROR(VLOOKUP($AE18,areaCercaPuntiClassificaSquadra,3,FALSE),-2)),SUMIFS(Dati!$E$2:$E$451,Dati!$A$2:$A$451,$H18,Dati!$H$2:$H$451,$AE18)+SUMIFS(Dati!$L$2:$L$451,Dati!$H$2:$H$451,$H18,Dati!$A$2:$A$451,$AE18),"-")</f>
        <v/>
      </c>
      <c r="BP18" s="22">
        <f>IF(AND($H18&lt;&gt;"",$AF18&lt;&gt;"",$H18&lt;&gt;$AF18,IFERROR(VLOOKUP($H18,areaCercaPuntiClassificaSquadra,3,FALSE),-1)=IFERROR(VLOOKUP($AF18,areaCercaPuntiClassificaSquadra,3,FALSE),-2)),SUMIFS(Dati!$E$2:$E$451,Dati!$A$2:$A$451,$H18,Dati!$H$2:$H$451,$AF18)+SUMIFS(Dati!$L$2:$L$451,Dati!$H$2:$H$451,$H18,Dati!$A$2:$A$451,$AF18),"-")</f>
        <v/>
      </c>
      <c r="BQ18" s="22">
        <f>IF(AND($H18&lt;&gt;"",$AG18&lt;&gt;"",$H18&lt;&gt;$AG18,IFERROR(VLOOKUP($H18,areaCercaPuntiClassificaSquadra,3,FALSE),-1)=IFERROR(VLOOKUP($AG18,areaCercaPuntiClassificaSquadra,3,FALSE),-2)),SUMIFS(Dati!$E$2:$E$451,Dati!$A$2:$A$451,$H18,Dati!$H$2:$H$451,$AG18)+SUMIFS(Dati!$L$2:$L$451,Dati!$H$2:$H$451,$H18,Dati!$A$2:$A$451,$AG18),"-")</f>
        <v/>
      </c>
      <c r="BR18" s="22">
        <f>IF(AND($H18&lt;&gt;"",$AH18&lt;&gt;"",$H18&lt;&gt;$AH18,IFERROR(VLOOKUP($H18,areaCercaPuntiClassificaSquadra,3,FALSE),-1)=IFERROR(VLOOKUP($AH18,areaCercaPuntiClassificaSquadra,3,FALSE),-2)),SUMIFS(Dati!$E$2:$E$451,Dati!$A$2:$A$451,$H18,Dati!$H$2:$H$451,$AH18)+SUMIFS(Dati!$L$2:$L$451,Dati!$H$2:$H$451,$H18,Dati!$A$2:$A$451,$AH18),"-")</f>
        <v/>
      </c>
      <c r="BT18" s="21">
        <f>$C18</f>
        <v/>
      </c>
      <c r="BU18" s="22">
        <f>IF(AND($H18&lt;&gt;"",$Y18&lt;&gt;"",$H18&lt;&gt;$Y18,IFERROR(VLOOKUP($H18,areaCercaPuntiClassificaSquadra,3,FALSE),-1)=IFERROR(VLOOKUP($Y18,areaCercaPuntiClassificaSquadra,3,FALSE),-2)),SUMIFS(Dati!$F$2:$F$451,Dati!$A$2:$A$451,$H18,Dati!$H$2:$H$451,$Y18)+SUMIFS(Dati!$M$2:$M$451,Dati!$H$2:$H$451,$H18,Dati!$A$2:$A$451,$Y18),"-")</f>
        <v/>
      </c>
      <c r="BV18" s="22">
        <f>IF(AND($H18&lt;&gt;"",$Z18&lt;&gt;"",$H18&lt;&gt;$Z18,IFERROR(VLOOKUP($H18,areaCercaPuntiClassificaSquadra,3,FALSE),-1)=IFERROR(VLOOKUP($Z18,areaCercaPuntiClassificaSquadra,3,FALSE),-2)),SUMIFS(Dati!$F$2:$F$451,Dati!$A$2:$A$451,$H18,Dati!$H$2:$H$451,$Z18)+SUMIFS(Dati!$M$2:$M$451,Dati!$H$2:$H$451,$H18,Dati!$A$2:$A$451,$Z18),"-")</f>
        <v/>
      </c>
      <c r="BW18" s="22">
        <f>IF(AND($H18&lt;&gt;"",$AA18&lt;&gt;"",$H18&lt;&gt;$AA18,IFERROR(VLOOKUP($H18,areaCercaPuntiClassificaSquadra,3,FALSE),-1)=IFERROR(VLOOKUP($AA18,areaCercaPuntiClassificaSquadra,3,FALSE),-2)),SUMIFS(Dati!$F$2:$F$451,Dati!$A$2:$A$451,$H18,Dati!$H$2:$H$451,$AA18)+SUMIFS(Dati!$M$2:$M$451,Dati!$H$2:$H$451,$H18,Dati!$A$2:$A$451,$AA18),"-")</f>
        <v/>
      </c>
      <c r="BX18" s="22">
        <f>IF(AND($H18&lt;&gt;"",$AB18&lt;&gt;"",$H18&lt;&gt;$AB18,IFERROR(VLOOKUP($H18,areaCercaPuntiClassificaSquadra,3,FALSE),-1)=IFERROR(VLOOKUP($AB18,areaCercaPuntiClassificaSquadra,3,FALSE),-2)),SUMIFS(Dati!$F$2:$F$451,Dati!$A$2:$A$451,$H18,Dati!$H$2:$H$451,$AB18)+SUMIFS(Dati!$M$2:$M$451,Dati!$H$2:$H$451,$H18,Dati!$A$2:$A$451,$AB18),"-")</f>
        <v/>
      </c>
      <c r="BY18" s="22">
        <f>IF(AND($H18&lt;&gt;"",$AC18&lt;&gt;"",$H18&lt;&gt;$AC18,IFERROR(VLOOKUP($H18,areaCercaPuntiClassificaSquadra,3,FALSE),-1)=IFERROR(VLOOKUP($AC18,areaCercaPuntiClassificaSquadra,3,FALSE),-2)),SUMIFS(Dati!$F$2:$F$451,Dati!$A$2:$A$451,$H18,Dati!$H$2:$H$451,$AC18)+SUMIFS(Dati!$M$2:$M$451,Dati!$H$2:$H$451,$H18,Dati!$A$2:$A$451,$AC18),"-")</f>
        <v/>
      </c>
      <c r="BZ18" s="22">
        <f>IF(AND($H18&lt;&gt;"",$AD18&lt;&gt;"",$H18&lt;&gt;$AD18,IFERROR(VLOOKUP($H18,areaCercaPuntiClassificaSquadra,3,FALSE),-1)=IFERROR(VLOOKUP($AD18,areaCercaPuntiClassificaSquadra,3,FALSE),-2)),SUMIFS(Dati!$F$2:$F$451,Dati!$A$2:$A$451,$H18,Dati!$H$2:$H$451,$AD18)+SUMIFS(Dati!$M$2:$M$451,Dati!$H$2:$H$451,$H18,Dati!$A$2:$A$451,$AD18),"-")</f>
        <v/>
      </c>
      <c r="CA18" s="22">
        <f>IF(AND($H18&lt;&gt;"",$AE18&lt;&gt;"",$H18&lt;&gt;$AE18,IFERROR(VLOOKUP($H18,areaCercaPuntiClassificaSquadra,3,FALSE),-1)=IFERROR(VLOOKUP($AE18,areaCercaPuntiClassificaSquadra,3,FALSE),-2)),SUMIFS(Dati!$F$2:$F$451,Dati!$A$2:$A$451,$H18,Dati!$H$2:$H$451,$AE18)+SUMIFS(Dati!$M$2:$M$451,Dati!$H$2:$H$451,$H18,Dati!$A$2:$A$451,$AE18),"-")</f>
        <v/>
      </c>
      <c r="CB18" s="22">
        <f>IF(AND($H18&lt;&gt;"",$AF18&lt;&gt;"",$H18&lt;&gt;$AF18,IFERROR(VLOOKUP($H18,areaCercaPuntiClassificaSquadra,3,FALSE),-1)=IFERROR(VLOOKUP($AF18,areaCercaPuntiClassificaSquadra,3,FALSE),-2)),SUMIFS(Dati!$F$2:$F$451,Dati!$A$2:$A$451,$H18,Dati!$H$2:$H$451,$AF18)+SUMIFS(Dati!$M$2:$M$451,Dati!$H$2:$H$451,$H18,Dati!$A$2:$A$451,$AF18),"-")</f>
        <v/>
      </c>
      <c r="CC18" s="22">
        <f>IF(AND($H18&lt;&gt;"",$AG18&lt;&gt;"",$H18&lt;&gt;$AG18,IFERROR(VLOOKUP($H18,areaCercaPuntiClassificaSquadra,3,FALSE),-1)=IFERROR(VLOOKUP($AG18,areaCercaPuntiClassificaSquadra,3,FALSE),-2)),SUMIFS(Dati!$F$2:$F$451,Dati!$A$2:$A$451,$H18,Dati!$H$2:$H$451,$AG18)+SUMIFS(Dati!$M$2:$M$451,Dati!$H$2:$H$451,$H18,Dati!$A$2:$A$451,$AG18),"-")</f>
        <v/>
      </c>
      <c r="CD18" s="22">
        <f>IF(AND($H18&lt;&gt;"",$AH18&lt;&gt;"",$H18&lt;&gt;$AH18,IFERROR(VLOOKUP($H18,areaCercaPuntiClassificaSquadra,3,FALSE),-1)=IFERROR(VLOOKUP($AH18,areaCercaPuntiClassificaSquadra,3,FALSE),-2)),SUMIFS(Dati!$F$2:$F$451,Dati!$A$2:$A$451,$H18,Dati!$H$2:$H$451,$AH18)+SUMIFS(Dati!$M$2:$M$451,Dati!$H$2:$H$451,$H18,Dati!$A$2:$A$451,$AH18),"-")</f>
        <v/>
      </c>
      <c r="CF18" s="22">
        <f>IF($C18="","",SUM(AK18:AT18))</f>
        <v/>
      </c>
    </row>
    <row r="19">
      <c r="B19" s="12" t="inlineStr">
        <is>
          <t>A06</t>
        </is>
      </c>
      <c r="C19" s="13" t="n"/>
      <c r="D19" s="14" t="n"/>
      <c r="E19" s="15" t="inlineStr">
        <is>
          <t>A</t>
        </is>
      </c>
      <c r="G19" s="16">
        <f>IF($C19="","",$E19&amp;(COUNTIFS(I$14:I$113,"&gt;"&amp;I19,E$14:E$113,"="&amp;E19,C$14:C$113,"&lt;&gt;")+COUNTIFS(I$14:I$113,"="&amp;I19,H$14:H$113,"&lt;="&amp;H19,E$14:E$113,"="&amp;E19,C$14:C$113,"&lt;&gt;")))</f>
        <v/>
      </c>
      <c r="H19" s="17">
        <f>IF($C19="","",IFERROR(LEFT($C19,FIND("-",$C19)-1),$C19))</f>
        <v/>
      </c>
      <c r="I19" s="12">
        <f>TEXT(1000000000+J19,"|0000000000|")&amp;TEXT(SUM(AK19:AT19),"0000000000|")&amp;IF(SUM(BU19:CD19)=0,"0000000000|",TEXT(ROUND(SUM(BI19:BR19)/SUM(BU19:CD19),4)*100000,"0000000000|"))&amp;IF(P19=0,"0000000000|",TEXT(ROUND(O19/P19,4)*100000,"0000000000|"))</f>
        <v/>
      </c>
      <c r="J19" s="16">
        <f>L19*constPuntiVittoria+M19*constPuntiSconfitta+N19*constPuntiForfait+IF(D19="",0,D19)</f>
        <v/>
      </c>
      <c r="K19" s="12">
        <f>SUM(L19:N19)</f>
        <v/>
      </c>
      <c r="L19" s="12">
        <f>IF($H19="",0,SUMIF(Dati!$A$2:$A$451,$H19,Dati!$B$2:$B$451)+SUMIF(Dati!$H$2:$H$451,$H19,Dati!$I$2:$I$451))</f>
        <v/>
      </c>
      <c r="M19" s="12">
        <f>IF($H19="",0,SUMIF(Dati!$A$2:$A$451,$H19,Dati!$D$2:$D$451)+SUMIF(Dati!$H$2:$H$451,$H19,Dati!$K$2:$K$451))</f>
        <v/>
      </c>
      <c r="N19" s="12">
        <f>IF($H19="",0,SUMIF(Dati!$A$2:$A$451,$H19,Dati!$C$2:$C$451)+SUMIF(Dati!$H$2:$H$451,$H19,Dati!$J$2:$J$451))</f>
        <v/>
      </c>
      <c r="O19" s="12">
        <f>IF($H19="",0,SUMIF(Dati!$A$2:$A$451,$H19,Dati!$E$2:$E$451)+SUMIF(Dati!$H$2:$H$451,$H19,Dati!$L$2:$L$451))</f>
        <v/>
      </c>
      <c r="P19" s="12">
        <f>IF($H19="",0,SUMIF(Dati!$A$2:$A$451,$H19,Dati!$F$2:$F$451)+SUMIF(Dati!$H$2:$H$451,$H19,Dati!$M$2:$M$451))</f>
        <v/>
      </c>
      <c r="Q19" s="12">
        <f>IF($H19="",0,SUMIF(Dati!$A$2:$A$451,$H19,Dati!$G$2:$G$451)+SUMIF(Dati!$H$2:$H$451,$H19,Dati!$N$2:$N$451))</f>
        <v/>
      </c>
      <c r="R19" s="12">
        <f>IF(K19=0,0,ROUND(O19/K19,2))</f>
        <v/>
      </c>
      <c r="S19" s="12">
        <f>IF(K19=0,0,ROUND(P19/K19,2))</f>
        <v/>
      </c>
      <c r="T19" s="12">
        <f>IF(K19=0,0,ROUND(Q19/K19,2))</f>
        <v/>
      </c>
      <c r="U19" s="12">
        <f>IF(COUNTIFS($E$14:$E$113,$E19,$J$14:$J$113,$J19,$C$14:$C$113,"&lt;&gt;")&lt;=1,"-",SUM(AK19:AT19)&amp;"-"&amp;SUM(AW19:BF19))</f>
        <v/>
      </c>
      <c r="V19" s="18">
        <f>IF(COUNTIFS($E$14:$E$113,$E19,$J$14:$J$113,$J19,$C$14:$C$113,"&lt;&gt;",$CF$14:$CF$113,$CF19)&lt;=1,"-",IF(SUM(BU19:CD19)=0,0,ROUND(SUM(BI19:BR19)/SUM(BU19:CD19),3)))</f>
        <v/>
      </c>
      <c r="W19" s="18">
        <f>IF(COUNTIFS($E$14:$E$113,$E19,$J$14:$J$113,$J19,$C$14:$C$113,"&lt;&gt;",$CF$14:$CF$113,$CF19,$V$14:$V$113,$V19)&lt;=1,"-",IF(P19=0,0,ROUND(O19/P19,3)))</f>
        <v/>
      </c>
      <c r="X19" s="19">
        <f>IF($C19="","",$E19&amp;"#"&amp;COUNTIFS($E$14:$E19,$E19,$C$14:$C19,"&lt;&gt;"))</f>
        <v/>
      </c>
      <c r="Y19" s="20">
        <f>IFERROR(INDEX($H$14:$H$113,MATCH($E19&amp;"#1",$X$14:$X$113,0)),"")</f>
        <v/>
      </c>
      <c r="Z19" s="20">
        <f>IFERROR(INDEX($H$14:$H$113,MATCH($E19&amp;"#2",$X$14:$X$113,0)),"")</f>
        <v/>
      </c>
      <c r="AA19" s="20">
        <f>IFERROR(INDEX($H$14:$H$113,MATCH($E19&amp;"#3",$X$14:$X$113,0)),"")</f>
        <v/>
      </c>
      <c r="AB19" s="20">
        <f>IFERROR(INDEX($H$14:$H$113,MATCH($E19&amp;"#4",$X$14:$X$113,0)),"")</f>
        <v/>
      </c>
      <c r="AC19" s="20">
        <f>IFERROR(INDEX($H$14:$H$113,MATCH($E19&amp;"#5",$X$14:$X$113,0)),"")</f>
        <v/>
      </c>
      <c r="AD19" s="20">
        <f>IFERROR(INDEX($H$14:$H$113,MATCH($E19&amp;"#6",$X$14:$X$113,0)),"")</f>
        <v/>
      </c>
      <c r="AE19" s="20">
        <f>IFERROR(INDEX($H$14:$H$113,MATCH($E19&amp;"#7",$X$14:$X$113,0)),"")</f>
        <v/>
      </c>
      <c r="AF19" s="20">
        <f>IFERROR(INDEX($H$14:$H$113,MATCH($E19&amp;"#8",$X$14:$X$113,0)),"")</f>
        <v/>
      </c>
      <c r="AG19" s="20">
        <f>IFERROR(INDEX($H$14:$H$113,MATCH($E19&amp;"#9",$X$14:$X$113,0)),"")</f>
        <v/>
      </c>
      <c r="AH19" s="20">
        <f>IFERROR(INDEX($H$14:$H$113,MATCH($E19&amp;"#10",$X$14:$X$113,0)),"")</f>
        <v/>
      </c>
      <c r="AJ19" s="21">
        <f>$C19</f>
        <v/>
      </c>
      <c r="AK19" s="22">
        <f>IF(AND($H19&lt;&gt;"",$Y19&lt;&gt;"",$H19&lt;&gt;$Y19,IFERROR(VLOOKUP($H19,areaCercaPuntiClassificaSquadra,3,FALSE),-1)=IFERROR(VLOOKUP($Y19,areaCercaPuntiClassificaSquadra,3,FALSE),-2)),SUMIFS(Dati!$B$2:$B$451,Dati!$A$2:$A$451,$H19,Dati!$H$2:$H$451,$Y19)+SUMIFS(Dati!$I$2:$I$451,Dati!$H$2:$H$451,$H19,Dati!$A$2:$A$451,$Y19),"-")</f>
        <v/>
      </c>
      <c r="AL19" s="22">
        <f>IF(AND($H19&lt;&gt;"",$Z19&lt;&gt;"",$H19&lt;&gt;$Z19,IFERROR(VLOOKUP($H19,areaCercaPuntiClassificaSquadra,3,FALSE),-1)=IFERROR(VLOOKUP($Z19,areaCercaPuntiClassificaSquadra,3,FALSE),-2)),SUMIFS(Dati!$B$2:$B$451,Dati!$A$2:$A$451,$H19,Dati!$H$2:$H$451,$Z19)+SUMIFS(Dati!$I$2:$I$451,Dati!$H$2:$H$451,$H19,Dati!$A$2:$A$451,$Z19),"-")</f>
        <v/>
      </c>
      <c r="AM19" s="22">
        <f>IF(AND($H19&lt;&gt;"",$AA19&lt;&gt;"",$H19&lt;&gt;$AA19,IFERROR(VLOOKUP($H19,areaCercaPuntiClassificaSquadra,3,FALSE),-1)=IFERROR(VLOOKUP($AA19,areaCercaPuntiClassificaSquadra,3,FALSE),-2)),SUMIFS(Dati!$B$2:$B$451,Dati!$A$2:$A$451,$H19,Dati!$H$2:$H$451,$AA19)+SUMIFS(Dati!$I$2:$I$451,Dati!$H$2:$H$451,$H19,Dati!$A$2:$A$451,$AA19),"-")</f>
        <v/>
      </c>
      <c r="AN19" s="22">
        <f>IF(AND($H19&lt;&gt;"",$AB19&lt;&gt;"",$H19&lt;&gt;$AB19,IFERROR(VLOOKUP($H19,areaCercaPuntiClassificaSquadra,3,FALSE),-1)=IFERROR(VLOOKUP($AB19,areaCercaPuntiClassificaSquadra,3,FALSE),-2)),SUMIFS(Dati!$B$2:$B$451,Dati!$A$2:$A$451,$H19,Dati!$H$2:$H$451,$AB19)+SUMIFS(Dati!$I$2:$I$451,Dati!$H$2:$H$451,$H19,Dati!$A$2:$A$451,$AB19),"-")</f>
        <v/>
      </c>
      <c r="AO19" s="22">
        <f>IF(AND($H19&lt;&gt;"",$AC19&lt;&gt;"",$H19&lt;&gt;$AC19,IFERROR(VLOOKUP($H19,areaCercaPuntiClassificaSquadra,3,FALSE),-1)=IFERROR(VLOOKUP($AC19,areaCercaPuntiClassificaSquadra,3,FALSE),-2)),SUMIFS(Dati!$B$2:$B$451,Dati!$A$2:$A$451,$H19,Dati!$H$2:$H$451,$AC19)+SUMIFS(Dati!$I$2:$I$451,Dati!$H$2:$H$451,$H19,Dati!$A$2:$A$451,$AC19),"-")</f>
        <v/>
      </c>
      <c r="AP19" s="22">
        <f>IF(AND($H19&lt;&gt;"",$AD19&lt;&gt;"",$H19&lt;&gt;$AD19,IFERROR(VLOOKUP($H19,areaCercaPuntiClassificaSquadra,3,FALSE),-1)=IFERROR(VLOOKUP($AD19,areaCercaPuntiClassificaSquadra,3,FALSE),-2)),SUMIFS(Dati!$B$2:$B$451,Dati!$A$2:$A$451,$H19,Dati!$H$2:$H$451,$AD19)+SUMIFS(Dati!$I$2:$I$451,Dati!$H$2:$H$451,$H19,Dati!$A$2:$A$451,$AD19),"-")</f>
        <v/>
      </c>
      <c r="AQ19" s="22">
        <f>IF(AND($H19&lt;&gt;"",$AE19&lt;&gt;"",$H19&lt;&gt;$AE19,IFERROR(VLOOKUP($H19,areaCercaPuntiClassificaSquadra,3,FALSE),-1)=IFERROR(VLOOKUP($AE19,areaCercaPuntiClassificaSquadra,3,FALSE),-2)),SUMIFS(Dati!$B$2:$B$451,Dati!$A$2:$A$451,$H19,Dati!$H$2:$H$451,$AE19)+SUMIFS(Dati!$I$2:$I$451,Dati!$H$2:$H$451,$H19,Dati!$A$2:$A$451,$AE19),"-")</f>
        <v/>
      </c>
      <c r="AR19" s="22">
        <f>IF(AND($H19&lt;&gt;"",$AF19&lt;&gt;"",$H19&lt;&gt;$AF19,IFERROR(VLOOKUP($H19,areaCercaPuntiClassificaSquadra,3,FALSE),-1)=IFERROR(VLOOKUP($AF19,areaCercaPuntiClassificaSquadra,3,FALSE),-2)),SUMIFS(Dati!$B$2:$B$451,Dati!$A$2:$A$451,$H19,Dati!$H$2:$H$451,$AF19)+SUMIFS(Dati!$I$2:$I$451,Dati!$H$2:$H$451,$H19,Dati!$A$2:$A$451,$AF19),"-")</f>
        <v/>
      </c>
      <c r="AS19" s="22">
        <f>IF(AND($H19&lt;&gt;"",$AG19&lt;&gt;"",$H19&lt;&gt;$AG19,IFERROR(VLOOKUP($H19,areaCercaPuntiClassificaSquadra,3,FALSE),-1)=IFERROR(VLOOKUP($AG19,areaCercaPuntiClassificaSquadra,3,FALSE),-2)),SUMIFS(Dati!$B$2:$B$451,Dati!$A$2:$A$451,$H19,Dati!$H$2:$H$451,$AG19)+SUMIFS(Dati!$I$2:$I$451,Dati!$H$2:$H$451,$H19,Dati!$A$2:$A$451,$AG19),"-")</f>
        <v/>
      </c>
      <c r="AT19" s="22">
        <f>IF(AND($H19&lt;&gt;"",$AH19&lt;&gt;"",$H19&lt;&gt;$AH19,IFERROR(VLOOKUP($H19,areaCercaPuntiClassificaSquadra,3,FALSE),-1)=IFERROR(VLOOKUP($AH19,areaCercaPuntiClassificaSquadra,3,FALSE),-2)),SUMIFS(Dati!$B$2:$B$451,Dati!$A$2:$A$451,$H19,Dati!$H$2:$H$451,$AH19)+SUMIFS(Dati!$I$2:$I$451,Dati!$H$2:$H$451,$H19,Dati!$A$2:$A$451,$AH19),"-")</f>
        <v/>
      </c>
      <c r="AV19" s="21">
        <f>$C19</f>
        <v/>
      </c>
      <c r="AW19" s="22">
        <f>IF(AND($H19&lt;&gt;"",$Y19&lt;&gt;"",$H19&lt;&gt;$Y19,IFERROR(VLOOKUP($H19,areaCercaPuntiClassificaSquadra,3,FALSE),-1)=IFERROR(VLOOKUP($Y19,areaCercaPuntiClassificaSquadra,3,FALSE),-2)),SUMIFS(Dati!$D$2:$D$451,Dati!$A$2:$A$451,$H19,Dati!$H$2:$H$451,$Y19)+SUMIFS(Dati!$K$2:$K$451,Dati!$H$2:$H$451,$H19,Dati!$A$2:$A$451,$Y19)+SUMIFS(Dati!$C$2:$C$451,Dati!$A$2:$A$451,$H19,Dati!$H$2:$H$451,$Y19)+SUMIFS(Dati!$J$2:$J$451,Dati!$H$2:$H$451,$H19,Dati!$A$2:$A$451,$Y19),"-")</f>
        <v/>
      </c>
      <c r="AX19" s="22">
        <f>IF(AND($H19&lt;&gt;"",$Z19&lt;&gt;"",$H19&lt;&gt;$Z19,IFERROR(VLOOKUP($H19,areaCercaPuntiClassificaSquadra,3,FALSE),-1)=IFERROR(VLOOKUP($Z19,areaCercaPuntiClassificaSquadra,3,FALSE),-2)),SUMIFS(Dati!$D$2:$D$451,Dati!$A$2:$A$451,$H19,Dati!$H$2:$H$451,$Z19)+SUMIFS(Dati!$K$2:$K$451,Dati!$H$2:$H$451,$H19,Dati!$A$2:$A$451,$Z19)+SUMIFS(Dati!$C$2:$C$451,Dati!$A$2:$A$451,$H19,Dati!$H$2:$H$451,$Z19)+SUMIFS(Dati!$J$2:$J$451,Dati!$H$2:$H$451,$H19,Dati!$A$2:$A$451,$Z19),"-")</f>
        <v/>
      </c>
      <c r="AY19" s="22">
        <f>IF(AND($H19&lt;&gt;"",$AA19&lt;&gt;"",$H19&lt;&gt;$AA19,IFERROR(VLOOKUP($H19,areaCercaPuntiClassificaSquadra,3,FALSE),-1)=IFERROR(VLOOKUP($AA19,areaCercaPuntiClassificaSquadra,3,FALSE),-2)),SUMIFS(Dati!$D$2:$D$451,Dati!$A$2:$A$451,$H19,Dati!$H$2:$H$451,$AA19)+SUMIFS(Dati!$K$2:$K$451,Dati!$H$2:$H$451,$H19,Dati!$A$2:$A$451,$AA19)+SUMIFS(Dati!$C$2:$C$451,Dati!$A$2:$A$451,$H19,Dati!$H$2:$H$451,$AA19)+SUMIFS(Dati!$J$2:$J$451,Dati!$H$2:$H$451,$H19,Dati!$A$2:$A$451,$AA19),"-")</f>
        <v/>
      </c>
      <c r="AZ19" s="22">
        <f>IF(AND($H19&lt;&gt;"",$AB19&lt;&gt;"",$H19&lt;&gt;$AB19,IFERROR(VLOOKUP($H19,areaCercaPuntiClassificaSquadra,3,FALSE),-1)=IFERROR(VLOOKUP($AB19,areaCercaPuntiClassificaSquadra,3,FALSE),-2)),SUMIFS(Dati!$D$2:$D$451,Dati!$A$2:$A$451,$H19,Dati!$H$2:$H$451,$AB19)+SUMIFS(Dati!$K$2:$K$451,Dati!$H$2:$H$451,$H19,Dati!$A$2:$A$451,$AB19)+SUMIFS(Dati!$C$2:$C$451,Dati!$A$2:$A$451,$H19,Dati!$H$2:$H$451,$AB19)+SUMIFS(Dati!$J$2:$J$451,Dati!$H$2:$H$451,$H19,Dati!$A$2:$A$451,$AB19),"-")</f>
        <v/>
      </c>
      <c r="BA19" s="22">
        <f>IF(AND($H19&lt;&gt;"",$AC19&lt;&gt;"",$H19&lt;&gt;$AC19,IFERROR(VLOOKUP($H19,areaCercaPuntiClassificaSquadra,3,FALSE),-1)=IFERROR(VLOOKUP($AC19,areaCercaPuntiClassificaSquadra,3,FALSE),-2)),SUMIFS(Dati!$D$2:$D$451,Dati!$A$2:$A$451,$H19,Dati!$H$2:$H$451,$AC19)+SUMIFS(Dati!$K$2:$K$451,Dati!$H$2:$H$451,$H19,Dati!$A$2:$A$451,$AC19)+SUMIFS(Dati!$C$2:$C$451,Dati!$A$2:$A$451,$H19,Dati!$H$2:$H$451,$AC19)+SUMIFS(Dati!$J$2:$J$451,Dati!$H$2:$H$451,$H19,Dati!$A$2:$A$451,$AC19),"-")</f>
        <v/>
      </c>
      <c r="BB19" s="22">
        <f>IF(AND($H19&lt;&gt;"",$AD19&lt;&gt;"",$H19&lt;&gt;$AD19,IFERROR(VLOOKUP($H19,areaCercaPuntiClassificaSquadra,3,FALSE),-1)=IFERROR(VLOOKUP($AD19,areaCercaPuntiClassificaSquadra,3,FALSE),-2)),SUMIFS(Dati!$D$2:$D$451,Dati!$A$2:$A$451,$H19,Dati!$H$2:$H$451,$AD19)+SUMIFS(Dati!$K$2:$K$451,Dati!$H$2:$H$451,$H19,Dati!$A$2:$A$451,$AD19)+SUMIFS(Dati!$C$2:$C$451,Dati!$A$2:$A$451,$H19,Dati!$H$2:$H$451,$AD19)+SUMIFS(Dati!$J$2:$J$451,Dati!$H$2:$H$451,$H19,Dati!$A$2:$A$451,$AD19),"-")</f>
        <v/>
      </c>
      <c r="BC19" s="22">
        <f>IF(AND($H19&lt;&gt;"",$AE19&lt;&gt;"",$H19&lt;&gt;$AE19,IFERROR(VLOOKUP($H19,areaCercaPuntiClassificaSquadra,3,FALSE),-1)=IFERROR(VLOOKUP($AE19,areaCercaPuntiClassificaSquadra,3,FALSE),-2)),SUMIFS(Dati!$D$2:$D$451,Dati!$A$2:$A$451,$H19,Dati!$H$2:$H$451,$AE19)+SUMIFS(Dati!$K$2:$K$451,Dati!$H$2:$H$451,$H19,Dati!$A$2:$A$451,$AE19)+SUMIFS(Dati!$C$2:$C$451,Dati!$A$2:$A$451,$H19,Dati!$H$2:$H$451,$AE19)+SUMIFS(Dati!$J$2:$J$451,Dati!$H$2:$H$451,$H19,Dati!$A$2:$A$451,$AE19),"-")</f>
        <v/>
      </c>
      <c r="BD19" s="22">
        <f>IF(AND($H19&lt;&gt;"",$AF19&lt;&gt;"",$H19&lt;&gt;$AF19,IFERROR(VLOOKUP($H19,areaCercaPuntiClassificaSquadra,3,FALSE),-1)=IFERROR(VLOOKUP($AF19,areaCercaPuntiClassificaSquadra,3,FALSE),-2)),SUMIFS(Dati!$D$2:$D$451,Dati!$A$2:$A$451,$H19,Dati!$H$2:$H$451,$AF19)+SUMIFS(Dati!$K$2:$K$451,Dati!$H$2:$H$451,$H19,Dati!$A$2:$A$451,$AF19)+SUMIFS(Dati!$C$2:$C$451,Dati!$A$2:$A$451,$H19,Dati!$H$2:$H$451,$AF19)+SUMIFS(Dati!$J$2:$J$451,Dati!$H$2:$H$451,$H19,Dati!$A$2:$A$451,$AF19),"-")</f>
        <v/>
      </c>
      <c r="BE19" s="22">
        <f>IF(AND($H19&lt;&gt;"",$AG19&lt;&gt;"",$H19&lt;&gt;$AG19,IFERROR(VLOOKUP($H19,areaCercaPuntiClassificaSquadra,3,FALSE),-1)=IFERROR(VLOOKUP($AG19,areaCercaPuntiClassificaSquadra,3,FALSE),-2)),SUMIFS(Dati!$D$2:$D$451,Dati!$A$2:$A$451,$H19,Dati!$H$2:$H$451,$AG19)+SUMIFS(Dati!$K$2:$K$451,Dati!$H$2:$H$451,$H19,Dati!$A$2:$A$451,$AG19)+SUMIFS(Dati!$C$2:$C$451,Dati!$A$2:$A$451,$H19,Dati!$H$2:$H$451,$AG19)+SUMIFS(Dati!$J$2:$J$451,Dati!$H$2:$H$451,$H19,Dati!$A$2:$A$451,$AG19),"-")</f>
        <v/>
      </c>
      <c r="BF19" s="22">
        <f>IF(AND($H19&lt;&gt;"",$AH19&lt;&gt;"",$H19&lt;&gt;$AH19,IFERROR(VLOOKUP($H19,areaCercaPuntiClassificaSquadra,3,FALSE),-1)=IFERROR(VLOOKUP($AH19,areaCercaPuntiClassificaSquadra,3,FALSE),-2)),SUMIFS(Dati!$D$2:$D$451,Dati!$A$2:$A$451,$H19,Dati!$H$2:$H$451,$AH19)+SUMIFS(Dati!$K$2:$K$451,Dati!$H$2:$H$451,$H19,Dati!$A$2:$A$451,$AH19)+SUMIFS(Dati!$C$2:$C$451,Dati!$A$2:$A$451,$H19,Dati!$H$2:$H$451,$AH19)+SUMIFS(Dati!$J$2:$J$451,Dati!$H$2:$H$451,$H19,Dati!$A$2:$A$451,$AH19),"-")</f>
        <v/>
      </c>
      <c r="BH19" s="21">
        <f>$C19</f>
        <v/>
      </c>
      <c r="BI19" s="22">
        <f>IF(AND($H19&lt;&gt;"",$Y19&lt;&gt;"",$H19&lt;&gt;$Y19,IFERROR(VLOOKUP($H19,areaCercaPuntiClassificaSquadra,3,FALSE),-1)=IFERROR(VLOOKUP($Y19,areaCercaPuntiClassificaSquadra,3,FALSE),-2)),SUMIFS(Dati!$E$2:$E$451,Dati!$A$2:$A$451,$H19,Dati!$H$2:$H$451,$Y19)+SUMIFS(Dati!$L$2:$L$451,Dati!$H$2:$H$451,$H19,Dati!$A$2:$A$451,$Y19),"-")</f>
        <v/>
      </c>
      <c r="BJ19" s="22">
        <f>IF(AND($H19&lt;&gt;"",$Z19&lt;&gt;"",$H19&lt;&gt;$Z19,IFERROR(VLOOKUP($H19,areaCercaPuntiClassificaSquadra,3,FALSE),-1)=IFERROR(VLOOKUP($Z19,areaCercaPuntiClassificaSquadra,3,FALSE),-2)),SUMIFS(Dati!$E$2:$E$451,Dati!$A$2:$A$451,$H19,Dati!$H$2:$H$451,$Z19)+SUMIFS(Dati!$L$2:$L$451,Dati!$H$2:$H$451,$H19,Dati!$A$2:$A$451,$Z19),"-")</f>
        <v/>
      </c>
      <c r="BK19" s="22">
        <f>IF(AND($H19&lt;&gt;"",$AA19&lt;&gt;"",$H19&lt;&gt;$AA19,IFERROR(VLOOKUP($H19,areaCercaPuntiClassificaSquadra,3,FALSE),-1)=IFERROR(VLOOKUP($AA19,areaCercaPuntiClassificaSquadra,3,FALSE),-2)),SUMIFS(Dati!$E$2:$E$451,Dati!$A$2:$A$451,$H19,Dati!$H$2:$H$451,$AA19)+SUMIFS(Dati!$L$2:$L$451,Dati!$H$2:$H$451,$H19,Dati!$A$2:$A$451,$AA19),"-")</f>
        <v/>
      </c>
      <c r="BL19" s="22">
        <f>IF(AND($H19&lt;&gt;"",$AB19&lt;&gt;"",$H19&lt;&gt;$AB19,IFERROR(VLOOKUP($H19,areaCercaPuntiClassificaSquadra,3,FALSE),-1)=IFERROR(VLOOKUP($AB19,areaCercaPuntiClassificaSquadra,3,FALSE),-2)),SUMIFS(Dati!$E$2:$E$451,Dati!$A$2:$A$451,$H19,Dati!$H$2:$H$451,$AB19)+SUMIFS(Dati!$L$2:$L$451,Dati!$H$2:$H$451,$H19,Dati!$A$2:$A$451,$AB19),"-")</f>
        <v/>
      </c>
      <c r="BM19" s="22">
        <f>IF(AND($H19&lt;&gt;"",$AC19&lt;&gt;"",$H19&lt;&gt;$AC19,IFERROR(VLOOKUP($H19,areaCercaPuntiClassificaSquadra,3,FALSE),-1)=IFERROR(VLOOKUP($AC19,areaCercaPuntiClassificaSquadra,3,FALSE),-2)),SUMIFS(Dati!$E$2:$E$451,Dati!$A$2:$A$451,$H19,Dati!$H$2:$H$451,$AC19)+SUMIFS(Dati!$L$2:$L$451,Dati!$H$2:$H$451,$H19,Dati!$A$2:$A$451,$AC19),"-")</f>
        <v/>
      </c>
      <c r="BN19" s="22">
        <f>IF(AND($H19&lt;&gt;"",$AD19&lt;&gt;"",$H19&lt;&gt;$AD19,IFERROR(VLOOKUP($H19,areaCercaPuntiClassificaSquadra,3,FALSE),-1)=IFERROR(VLOOKUP($AD19,areaCercaPuntiClassificaSquadra,3,FALSE),-2)),SUMIFS(Dati!$E$2:$E$451,Dati!$A$2:$A$451,$H19,Dati!$H$2:$H$451,$AD19)+SUMIFS(Dati!$L$2:$L$451,Dati!$H$2:$H$451,$H19,Dati!$A$2:$A$451,$AD19),"-")</f>
        <v/>
      </c>
      <c r="BO19" s="22">
        <f>IF(AND($H19&lt;&gt;"",$AE19&lt;&gt;"",$H19&lt;&gt;$AE19,IFERROR(VLOOKUP($H19,areaCercaPuntiClassificaSquadra,3,FALSE),-1)=IFERROR(VLOOKUP($AE19,areaCercaPuntiClassificaSquadra,3,FALSE),-2)),SUMIFS(Dati!$E$2:$E$451,Dati!$A$2:$A$451,$H19,Dati!$H$2:$H$451,$AE19)+SUMIFS(Dati!$L$2:$L$451,Dati!$H$2:$H$451,$H19,Dati!$A$2:$A$451,$AE19),"-")</f>
        <v/>
      </c>
      <c r="BP19" s="22">
        <f>IF(AND($H19&lt;&gt;"",$AF19&lt;&gt;"",$H19&lt;&gt;$AF19,IFERROR(VLOOKUP($H19,areaCercaPuntiClassificaSquadra,3,FALSE),-1)=IFERROR(VLOOKUP($AF19,areaCercaPuntiClassificaSquadra,3,FALSE),-2)),SUMIFS(Dati!$E$2:$E$451,Dati!$A$2:$A$451,$H19,Dati!$H$2:$H$451,$AF19)+SUMIFS(Dati!$L$2:$L$451,Dati!$H$2:$H$451,$H19,Dati!$A$2:$A$451,$AF19),"-")</f>
        <v/>
      </c>
      <c r="BQ19" s="22">
        <f>IF(AND($H19&lt;&gt;"",$AG19&lt;&gt;"",$H19&lt;&gt;$AG19,IFERROR(VLOOKUP($H19,areaCercaPuntiClassificaSquadra,3,FALSE),-1)=IFERROR(VLOOKUP($AG19,areaCercaPuntiClassificaSquadra,3,FALSE),-2)),SUMIFS(Dati!$E$2:$E$451,Dati!$A$2:$A$451,$H19,Dati!$H$2:$H$451,$AG19)+SUMIFS(Dati!$L$2:$L$451,Dati!$H$2:$H$451,$H19,Dati!$A$2:$A$451,$AG19),"-")</f>
        <v/>
      </c>
      <c r="BR19" s="22">
        <f>IF(AND($H19&lt;&gt;"",$AH19&lt;&gt;"",$H19&lt;&gt;$AH19,IFERROR(VLOOKUP($H19,areaCercaPuntiClassificaSquadra,3,FALSE),-1)=IFERROR(VLOOKUP($AH19,areaCercaPuntiClassificaSquadra,3,FALSE),-2)),SUMIFS(Dati!$E$2:$E$451,Dati!$A$2:$A$451,$H19,Dati!$H$2:$H$451,$AH19)+SUMIFS(Dati!$L$2:$L$451,Dati!$H$2:$H$451,$H19,Dati!$A$2:$A$451,$AH19),"-")</f>
        <v/>
      </c>
      <c r="BT19" s="21">
        <f>$C19</f>
        <v/>
      </c>
      <c r="BU19" s="22">
        <f>IF(AND($H19&lt;&gt;"",$Y19&lt;&gt;"",$H19&lt;&gt;$Y19,IFERROR(VLOOKUP($H19,areaCercaPuntiClassificaSquadra,3,FALSE),-1)=IFERROR(VLOOKUP($Y19,areaCercaPuntiClassificaSquadra,3,FALSE),-2)),SUMIFS(Dati!$F$2:$F$451,Dati!$A$2:$A$451,$H19,Dati!$H$2:$H$451,$Y19)+SUMIFS(Dati!$M$2:$M$451,Dati!$H$2:$H$451,$H19,Dati!$A$2:$A$451,$Y19),"-")</f>
        <v/>
      </c>
      <c r="BV19" s="22">
        <f>IF(AND($H19&lt;&gt;"",$Z19&lt;&gt;"",$H19&lt;&gt;$Z19,IFERROR(VLOOKUP($H19,areaCercaPuntiClassificaSquadra,3,FALSE),-1)=IFERROR(VLOOKUP($Z19,areaCercaPuntiClassificaSquadra,3,FALSE),-2)),SUMIFS(Dati!$F$2:$F$451,Dati!$A$2:$A$451,$H19,Dati!$H$2:$H$451,$Z19)+SUMIFS(Dati!$M$2:$M$451,Dati!$H$2:$H$451,$H19,Dati!$A$2:$A$451,$Z19),"-")</f>
        <v/>
      </c>
      <c r="BW19" s="22">
        <f>IF(AND($H19&lt;&gt;"",$AA19&lt;&gt;"",$H19&lt;&gt;$AA19,IFERROR(VLOOKUP($H19,areaCercaPuntiClassificaSquadra,3,FALSE),-1)=IFERROR(VLOOKUP($AA19,areaCercaPuntiClassificaSquadra,3,FALSE),-2)),SUMIFS(Dati!$F$2:$F$451,Dati!$A$2:$A$451,$H19,Dati!$H$2:$H$451,$AA19)+SUMIFS(Dati!$M$2:$M$451,Dati!$H$2:$H$451,$H19,Dati!$A$2:$A$451,$AA19),"-")</f>
        <v/>
      </c>
      <c r="BX19" s="22">
        <f>IF(AND($H19&lt;&gt;"",$AB19&lt;&gt;"",$H19&lt;&gt;$AB19,IFERROR(VLOOKUP($H19,areaCercaPuntiClassificaSquadra,3,FALSE),-1)=IFERROR(VLOOKUP($AB19,areaCercaPuntiClassificaSquadra,3,FALSE),-2)),SUMIFS(Dati!$F$2:$F$451,Dati!$A$2:$A$451,$H19,Dati!$H$2:$H$451,$AB19)+SUMIFS(Dati!$M$2:$M$451,Dati!$H$2:$H$451,$H19,Dati!$A$2:$A$451,$AB19),"-")</f>
        <v/>
      </c>
      <c r="BY19" s="22">
        <f>IF(AND($H19&lt;&gt;"",$AC19&lt;&gt;"",$H19&lt;&gt;$AC19,IFERROR(VLOOKUP($H19,areaCercaPuntiClassificaSquadra,3,FALSE),-1)=IFERROR(VLOOKUP($AC19,areaCercaPuntiClassificaSquadra,3,FALSE),-2)),SUMIFS(Dati!$F$2:$F$451,Dati!$A$2:$A$451,$H19,Dati!$H$2:$H$451,$AC19)+SUMIFS(Dati!$M$2:$M$451,Dati!$H$2:$H$451,$H19,Dati!$A$2:$A$451,$AC19),"-")</f>
        <v/>
      </c>
      <c r="BZ19" s="22">
        <f>IF(AND($H19&lt;&gt;"",$AD19&lt;&gt;"",$H19&lt;&gt;$AD19,IFERROR(VLOOKUP($H19,areaCercaPuntiClassificaSquadra,3,FALSE),-1)=IFERROR(VLOOKUP($AD19,areaCercaPuntiClassificaSquadra,3,FALSE),-2)),SUMIFS(Dati!$F$2:$F$451,Dati!$A$2:$A$451,$H19,Dati!$H$2:$H$451,$AD19)+SUMIFS(Dati!$M$2:$M$451,Dati!$H$2:$H$451,$H19,Dati!$A$2:$A$451,$AD19),"-")</f>
        <v/>
      </c>
      <c r="CA19" s="22">
        <f>IF(AND($H19&lt;&gt;"",$AE19&lt;&gt;"",$H19&lt;&gt;$AE19,IFERROR(VLOOKUP($H19,areaCercaPuntiClassificaSquadra,3,FALSE),-1)=IFERROR(VLOOKUP($AE19,areaCercaPuntiClassificaSquadra,3,FALSE),-2)),SUMIFS(Dati!$F$2:$F$451,Dati!$A$2:$A$451,$H19,Dati!$H$2:$H$451,$AE19)+SUMIFS(Dati!$M$2:$M$451,Dati!$H$2:$H$451,$H19,Dati!$A$2:$A$451,$AE19),"-")</f>
        <v/>
      </c>
      <c r="CB19" s="22">
        <f>IF(AND($H19&lt;&gt;"",$AF19&lt;&gt;"",$H19&lt;&gt;$AF19,IFERROR(VLOOKUP($H19,areaCercaPuntiClassificaSquadra,3,FALSE),-1)=IFERROR(VLOOKUP($AF19,areaCercaPuntiClassificaSquadra,3,FALSE),-2)),SUMIFS(Dati!$F$2:$F$451,Dati!$A$2:$A$451,$H19,Dati!$H$2:$H$451,$AF19)+SUMIFS(Dati!$M$2:$M$451,Dati!$H$2:$H$451,$H19,Dati!$A$2:$A$451,$AF19),"-")</f>
        <v/>
      </c>
      <c r="CC19" s="22">
        <f>IF(AND($H19&lt;&gt;"",$AG19&lt;&gt;"",$H19&lt;&gt;$AG19,IFERROR(VLOOKUP($H19,areaCercaPuntiClassificaSquadra,3,FALSE),-1)=IFERROR(VLOOKUP($AG19,areaCercaPuntiClassificaSquadra,3,FALSE),-2)),SUMIFS(Dati!$F$2:$F$451,Dati!$A$2:$A$451,$H19,Dati!$H$2:$H$451,$AG19)+SUMIFS(Dati!$M$2:$M$451,Dati!$H$2:$H$451,$H19,Dati!$A$2:$A$451,$AG19),"-")</f>
        <v/>
      </c>
      <c r="CD19" s="22">
        <f>IF(AND($H19&lt;&gt;"",$AH19&lt;&gt;"",$H19&lt;&gt;$AH19,IFERROR(VLOOKUP($H19,areaCercaPuntiClassificaSquadra,3,FALSE),-1)=IFERROR(VLOOKUP($AH19,areaCercaPuntiClassificaSquadra,3,FALSE),-2)),SUMIFS(Dati!$F$2:$F$451,Dati!$A$2:$A$451,$H19,Dati!$H$2:$H$451,$AH19)+SUMIFS(Dati!$M$2:$M$451,Dati!$H$2:$H$451,$H19,Dati!$A$2:$A$451,$AH19),"-")</f>
        <v/>
      </c>
      <c r="CF19" s="22">
        <f>IF($C19="","",SUM(AK19:AT19))</f>
        <v/>
      </c>
    </row>
    <row r="20">
      <c r="B20" s="12" t="inlineStr">
        <is>
          <t>A07</t>
        </is>
      </c>
      <c r="C20" s="13" t="n"/>
      <c r="D20" s="14" t="n"/>
      <c r="E20" s="15" t="inlineStr">
        <is>
          <t>A</t>
        </is>
      </c>
      <c r="G20" s="16">
        <f>IF($C20="","",$E20&amp;(COUNTIFS(I$14:I$113,"&gt;"&amp;I20,E$14:E$113,"="&amp;E20,C$14:C$113,"&lt;&gt;")+COUNTIFS(I$14:I$113,"="&amp;I20,H$14:H$113,"&lt;="&amp;H20,E$14:E$113,"="&amp;E20,C$14:C$113,"&lt;&gt;")))</f>
        <v/>
      </c>
      <c r="H20" s="17">
        <f>IF($C20="","",IFERROR(LEFT($C20,FIND("-",$C20)-1),$C20))</f>
        <v/>
      </c>
      <c r="I20" s="12">
        <f>TEXT(1000000000+J20,"|0000000000|")&amp;TEXT(SUM(AK20:AT20),"0000000000|")&amp;IF(SUM(BU20:CD20)=0,"0000000000|",TEXT(ROUND(SUM(BI20:BR20)/SUM(BU20:CD20),4)*100000,"0000000000|"))&amp;IF(P20=0,"0000000000|",TEXT(ROUND(O20/P20,4)*100000,"0000000000|"))</f>
        <v/>
      </c>
      <c r="J20" s="16">
        <f>L20*constPuntiVittoria+M20*constPuntiSconfitta+N20*constPuntiForfait+IF(D20="",0,D20)</f>
        <v/>
      </c>
      <c r="K20" s="12">
        <f>SUM(L20:N20)</f>
        <v/>
      </c>
      <c r="L20" s="12">
        <f>IF($H20="",0,SUMIF(Dati!$A$2:$A$451,$H20,Dati!$B$2:$B$451)+SUMIF(Dati!$H$2:$H$451,$H20,Dati!$I$2:$I$451))</f>
        <v/>
      </c>
      <c r="M20" s="12">
        <f>IF($H20="",0,SUMIF(Dati!$A$2:$A$451,$H20,Dati!$D$2:$D$451)+SUMIF(Dati!$H$2:$H$451,$H20,Dati!$K$2:$K$451))</f>
        <v/>
      </c>
      <c r="N20" s="12">
        <f>IF($H20="",0,SUMIF(Dati!$A$2:$A$451,$H20,Dati!$C$2:$C$451)+SUMIF(Dati!$H$2:$H$451,$H20,Dati!$J$2:$J$451))</f>
        <v/>
      </c>
      <c r="O20" s="12">
        <f>IF($H20="",0,SUMIF(Dati!$A$2:$A$451,$H20,Dati!$E$2:$E$451)+SUMIF(Dati!$H$2:$H$451,$H20,Dati!$L$2:$L$451))</f>
        <v/>
      </c>
      <c r="P20" s="12">
        <f>IF($H20="",0,SUMIF(Dati!$A$2:$A$451,$H20,Dati!$F$2:$F$451)+SUMIF(Dati!$H$2:$H$451,$H20,Dati!$M$2:$M$451))</f>
        <v/>
      </c>
      <c r="Q20" s="12">
        <f>IF($H20="",0,SUMIF(Dati!$A$2:$A$451,$H20,Dati!$G$2:$G$451)+SUMIF(Dati!$H$2:$H$451,$H20,Dati!$N$2:$N$451))</f>
        <v/>
      </c>
      <c r="R20" s="12">
        <f>IF(K20=0,0,ROUND(O20/K20,2))</f>
        <v/>
      </c>
      <c r="S20" s="12">
        <f>IF(K20=0,0,ROUND(P20/K20,2))</f>
        <v/>
      </c>
      <c r="T20" s="12">
        <f>IF(K20=0,0,ROUND(Q20/K20,2))</f>
        <v/>
      </c>
      <c r="U20" s="12">
        <f>IF(COUNTIFS($E$14:$E$113,$E20,$J$14:$J$113,$J20,$C$14:$C$113,"&lt;&gt;")&lt;=1,"-",SUM(AK20:AT20)&amp;"-"&amp;SUM(AW20:BF20))</f>
        <v/>
      </c>
      <c r="V20" s="18">
        <f>IF(COUNTIFS($E$14:$E$113,$E20,$J$14:$J$113,$J20,$C$14:$C$113,"&lt;&gt;",$CF$14:$CF$113,$CF20)&lt;=1,"-",IF(SUM(BU20:CD20)=0,0,ROUND(SUM(BI20:BR20)/SUM(BU20:CD20),3)))</f>
        <v/>
      </c>
      <c r="W20" s="18">
        <f>IF(COUNTIFS($E$14:$E$113,$E20,$J$14:$J$113,$J20,$C$14:$C$113,"&lt;&gt;",$CF$14:$CF$113,$CF20,$V$14:$V$113,$V20)&lt;=1,"-",IF(P20=0,0,ROUND(O20/P20,3)))</f>
        <v/>
      </c>
      <c r="X20" s="19">
        <f>IF($C20="","",$E20&amp;"#"&amp;COUNTIFS($E$14:$E20,$E20,$C$14:$C20,"&lt;&gt;"))</f>
        <v/>
      </c>
      <c r="Y20" s="20">
        <f>IFERROR(INDEX($H$14:$H$113,MATCH($E20&amp;"#1",$X$14:$X$113,0)),"")</f>
        <v/>
      </c>
      <c r="Z20" s="20">
        <f>IFERROR(INDEX($H$14:$H$113,MATCH($E20&amp;"#2",$X$14:$X$113,0)),"")</f>
        <v/>
      </c>
      <c r="AA20" s="20">
        <f>IFERROR(INDEX($H$14:$H$113,MATCH($E20&amp;"#3",$X$14:$X$113,0)),"")</f>
        <v/>
      </c>
      <c r="AB20" s="20">
        <f>IFERROR(INDEX($H$14:$H$113,MATCH($E20&amp;"#4",$X$14:$X$113,0)),"")</f>
        <v/>
      </c>
      <c r="AC20" s="20">
        <f>IFERROR(INDEX($H$14:$H$113,MATCH($E20&amp;"#5",$X$14:$X$113,0)),"")</f>
        <v/>
      </c>
      <c r="AD20" s="20">
        <f>IFERROR(INDEX($H$14:$H$113,MATCH($E20&amp;"#6",$X$14:$X$113,0)),"")</f>
        <v/>
      </c>
      <c r="AE20" s="20">
        <f>IFERROR(INDEX($H$14:$H$113,MATCH($E20&amp;"#7",$X$14:$X$113,0)),"")</f>
        <v/>
      </c>
      <c r="AF20" s="20">
        <f>IFERROR(INDEX($H$14:$H$113,MATCH($E20&amp;"#8",$X$14:$X$113,0)),"")</f>
        <v/>
      </c>
      <c r="AG20" s="20">
        <f>IFERROR(INDEX($H$14:$H$113,MATCH($E20&amp;"#9",$X$14:$X$113,0)),"")</f>
        <v/>
      </c>
      <c r="AH20" s="20">
        <f>IFERROR(INDEX($H$14:$H$113,MATCH($E20&amp;"#10",$X$14:$X$113,0)),"")</f>
        <v/>
      </c>
      <c r="AJ20" s="21">
        <f>$C20</f>
        <v/>
      </c>
      <c r="AK20" s="22">
        <f>IF(AND($H20&lt;&gt;"",$Y20&lt;&gt;"",$H20&lt;&gt;$Y20,IFERROR(VLOOKUP($H20,areaCercaPuntiClassificaSquadra,3,FALSE),-1)=IFERROR(VLOOKUP($Y20,areaCercaPuntiClassificaSquadra,3,FALSE),-2)),SUMIFS(Dati!$B$2:$B$451,Dati!$A$2:$A$451,$H20,Dati!$H$2:$H$451,$Y20)+SUMIFS(Dati!$I$2:$I$451,Dati!$H$2:$H$451,$H20,Dati!$A$2:$A$451,$Y20),"-")</f>
        <v/>
      </c>
      <c r="AL20" s="22">
        <f>IF(AND($H20&lt;&gt;"",$Z20&lt;&gt;"",$H20&lt;&gt;$Z20,IFERROR(VLOOKUP($H20,areaCercaPuntiClassificaSquadra,3,FALSE),-1)=IFERROR(VLOOKUP($Z20,areaCercaPuntiClassificaSquadra,3,FALSE),-2)),SUMIFS(Dati!$B$2:$B$451,Dati!$A$2:$A$451,$H20,Dati!$H$2:$H$451,$Z20)+SUMIFS(Dati!$I$2:$I$451,Dati!$H$2:$H$451,$H20,Dati!$A$2:$A$451,$Z20),"-")</f>
        <v/>
      </c>
      <c r="AM20" s="22">
        <f>IF(AND($H20&lt;&gt;"",$AA20&lt;&gt;"",$H20&lt;&gt;$AA20,IFERROR(VLOOKUP($H20,areaCercaPuntiClassificaSquadra,3,FALSE),-1)=IFERROR(VLOOKUP($AA20,areaCercaPuntiClassificaSquadra,3,FALSE),-2)),SUMIFS(Dati!$B$2:$B$451,Dati!$A$2:$A$451,$H20,Dati!$H$2:$H$451,$AA20)+SUMIFS(Dati!$I$2:$I$451,Dati!$H$2:$H$451,$H20,Dati!$A$2:$A$451,$AA20),"-")</f>
        <v/>
      </c>
      <c r="AN20" s="22">
        <f>IF(AND($H20&lt;&gt;"",$AB20&lt;&gt;"",$H20&lt;&gt;$AB20,IFERROR(VLOOKUP($H20,areaCercaPuntiClassificaSquadra,3,FALSE),-1)=IFERROR(VLOOKUP($AB20,areaCercaPuntiClassificaSquadra,3,FALSE),-2)),SUMIFS(Dati!$B$2:$B$451,Dati!$A$2:$A$451,$H20,Dati!$H$2:$H$451,$AB20)+SUMIFS(Dati!$I$2:$I$451,Dati!$H$2:$H$451,$H20,Dati!$A$2:$A$451,$AB20),"-")</f>
        <v/>
      </c>
      <c r="AO20" s="22">
        <f>IF(AND($H20&lt;&gt;"",$AC20&lt;&gt;"",$H20&lt;&gt;$AC20,IFERROR(VLOOKUP($H20,areaCercaPuntiClassificaSquadra,3,FALSE),-1)=IFERROR(VLOOKUP($AC20,areaCercaPuntiClassificaSquadra,3,FALSE),-2)),SUMIFS(Dati!$B$2:$B$451,Dati!$A$2:$A$451,$H20,Dati!$H$2:$H$451,$AC20)+SUMIFS(Dati!$I$2:$I$451,Dati!$H$2:$H$451,$H20,Dati!$A$2:$A$451,$AC20),"-")</f>
        <v/>
      </c>
      <c r="AP20" s="22">
        <f>IF(AND($H20&lt;&gt;"",$AD20&lt;&gt;"",$H20&lt;&gt;$AD20,IFERROR(VLOOKUP($H20,areaCercaPuntiClassificaSquadra,3,FALSE),-1)=IFERROR(VLOOKUP($AD20,areaCercaPuntiClassificaSquadra,3,FALSE),-2)),SUMIFS(Dati!$B$2:$B$451,Dati!$A$2:$A$451,$H20,Dati!$H$2:$H$451,$AD20)+SUMIFS(Dati!$I$2:$I$451,Dati!$H$2:$H$451,$H20,Dati!$A$2:$A$451,$AD20),"-")</f>
        <v/>
      </c>
      <c r="AQ20" s="22">
        <f>IF(AND($H20&lt;&gt;"",$AE20&lt;&gt;"",$H20&lt;&gt;$AE20,IFERROR(VLOOKUP($H20,areaCercaPuntiClassificaSquadra,3,FALSE),-1)=IFERROR(VLOOKUP($AE20,areaCercaPuntiClassificaSquadra,3,FALSE),-2)),SUMIFS(Dati!$B$2:$B$451,Dati!$A$2:$A$451,$H20,Dati!$H$2:$H$451,$AE20)+SUMIFS(Dati!$I$2:$I$451,Dati!$H$2:$H$451,$H20,Dati!$A$2:$A$451,$AE20),"-")</f>
        <v/>
      </c>
      <c r="AR20" s="22">
        <f>IF(AND($H20&lt;&gt;"",$AF20&lt;&gt;"",$H20&lt;&gt;$AF20,IFERROR(VLOOKUP($H20,areaCercaPuntiClassificaSquadra,3,FALSE),-1)=IFERROR(VLOOKUP($AF20,areaCercaPuntiClassificaSquadra,3,FALSE),-2)),SUMIFS(Dati!$B$2:$B$451,Dati!$A$2:$A$451,$H20,Dati!$H$2:$H$451,$AF20)+SUMIFS(Dati!$I$2:$I$451,Dati!$H$2:$H$451,$H20,Dati!$A$2:$A$451,$AF20),"-")</f>
        <v/>
      </c>
      <c r="AS20" s="22">
        <f>IF(AND($H20&lt;&gt;"",$AG20&lt;&gt;"",$H20&lt;&gt;$AG20,IFERROR(VLOOKUP($H20,areaCercaPuntiClassificaSquadra,3,FALSE),-1)=IFERROR(VLOOKUP($AG20,areaCercaPuntiClassificaSquadra,3,FALSE),-2)),SUMIFS(Dati!$B$2:$B$451,Dati!$A$2:$A$451,$H20,Dati!$H$2:$H$451,$AG20)+SUMIFS(Dati!$I$2:$I$451,Dati!$H$2:$H$451,$H20,Dati!$A$2:$A$451,$AG20),"-")</f>
        <v/>
      </c>
      <c r="AT20" s="22">
        <f>IF(AND($H20&lt;&gt;"",$AH20&lt;&gt;"",$H20&lt;&gt;$AH20,IFERROR(VLOOKUP($H20,areaCercaPuntiClassificaSquadra,3,FALSE),-1)=IFERROR(VLOOKUP($AH20,areaCercaPuntiClassificaSquadra,3,FALSE),-2)),SUMIFS(Dati!$B$2:$B$451,Dati!$A$2:$A$451,$H20,Dati!$H$2:$H$451,$AH20)+SUMIFS(Dati!$I$2:$I$451,Dati!$H$2:$H$451,$H20,Dati!$A$2:$A$451,$AH20),"-")</f>
        <v/>
      </c>
      <c r="AV20" s="21">
        <f>$C20</f>
        <v/>
      </c>
      <c r="AW20" s="22">
        <f>IF(AND($H20&lt;&gt;"",$Y20&lt;&gt;"",$H20&lt;&gt;$Y20,IFERROR(VLOOKUP($H20,areaCercaPuntiClassificaSquadra,3,FALSE),-1)=IFERROR(VLOOKUP($Y20,areaCercaPuntiClassificaSquadra,3,FALSE),-2)),SUMIFS(Dati!$D$2:$D$451,Dati!$A$2:$A$451,$H20,Dati!$H$2:$H$451,$Y20)+SUMIFS(Dati!$K$2:$K$451,Dati!$H$2:$H$451,$H20,Dati!$A$2:$A$451,$Y20)+SUMIFS(Dati!$C$2:$C$451,Dati!$A$2:$A$451,$H20,Dati!$H$2:$H$451,$Y20)+SUMIFS(Dati!$J$2:$J$451,Dati!$H$2:$H$451,$H20,Dati!$A$2:$A$451,$Y20),"-")</f>
        <v/>
      </c>
      <c r="AX20" s="22">
        <f>IF(AND($H20&lt;&gt;"",$Z20&lt;&gt;"",$H20&lt;&gt;$Z20,IFERROR(VLOOKUP($H20,areaCercaPuntiClassificaSquadra,3,FALSE),-1)=IFERROR(VLOOKUP($Z20,areaCercaPuntiClassificaSquadra,3,FALSE),-2)),SUMIFS(Dati!$D$2:$D$451,Dati!$A$2:$A$451,$H20,Dati!$H$2:$H$451,$Z20)+SUMIFS(Dati!$K$2:$K$451,Dati!$H$2:$H$451,$H20,Dati!$A$2:$A$451,$Z20)+SUMIFS(Dati!$C$2:$C$451,Dati!$A$2:$A$451,$H20,Dati!$H$2:$H$451,$Z20)+SUMIFS(Dati!$J$2:$J$451,Dati!$H$2:$H$451,$H20,Dati!$A$2:$A$451,$Z20),"-")</f>
        <v/>
      </c>
      <c r="AY20" s="22">
        <f>IF(AND($H20&lt;&gt;"",$AA20&lt;&gt;"",$H20&lt;&gt;$AA20,IFERROR(VLOOKUP($H20,areaCercaPuntiClassificaSquadra,3,FALSE),-1)=IFERROR(VLOOKUP($AA20,areaCercaPuntiClassificaSquadra,3,FALSE),-2)),SUMIFS(Dati!$D$2:$D$451,Dati!$A$2:$A$451,$H20,Dati!$H$2:$H$451,$AA20)+SUMIFS(Dati!$K$2:$K$451,Dati!$H$2:$H$451,$H20,Dati!$A$2:$A$451,$AA20)+SUMIFS(Dati!$C$2:$C$451,Dati!$A$2:$A$451,$H20,Dati!$H$2:$H$451,$AA20)+SUMIFS(Dati!$J$2:$J$451,Dati!$H$2:$H$451,$H20,Dati!$A$2:$A$451,$AA20),"-")</f>
        <v/>
      </c>
      <c r="AZ20" s="22">
        <f>IF(AND($H20&lt;&gt;"",$AB20&lt;&gt;"",$H20&lt;&gt;$AB20,IFERROR(VLOOKUP($H20,areaCercaPuntiClassificaSquadra,3,FALSE),-1)=IFERROR(VLOOKUP($AB20,areaCercaPuntiClassificaSquadra,3,FALSE),-2)),SUMIFS(Dati!$D$2:$D$451,Dati!$A$2:$A$451,$H20,Dati!$H$2:$H$451,$AB20)+SUMIFS(Dati!$K$2:$K$451,Dati!$H$2:$H$451,$H20,Dati!$A$2:$A$451,$AB20)+SUMIFS(Dati!$C$2:$C$451,Dati!$A$2:$A$451,$H20,Dati!$H$2:$H$451,$AB20)+SUMIFS(Dati!$J$2:$J$451,Dati!$H$2:$H$451,$H20,Dati!$A$2:$A$451,$AB20),"-")</f>
        <v/>
      </c>
      <c r="BA20" s="22">
        <f>IF(AND($H20&lt;&gt;"",$AC20&lt;&gt;"",$H20&lt;&gt;$AC20,IFERROR(VLOOKUP($H20,areaCercaPuntiClassificaSquadra,3,FALSE),-1)=IFERROR(VLOOKUP($AC20,areaCercaPuntiClassificaSquadra,3,FALSE),-2)),SUMIFS(Dati!$D$2:$D$451,Dati!$A$2:$A$451,$H20,Dati!$H$2:$H$451,$AC20)+SUMIFS(Dati!$K$2:$K$451,Dati!$H$2:$H$451,$H20,Dati!$A$2:$A$451,$AC20)+SUMIFS(Dati!$C$2:$C$451,Dati!$A$2:$A$451,$H20,Dati!$H$2:$H$451,$AC20)+SUMIFS(Dati!$J$2:$J$451,Dati!$H$2:$H$451,$H20,Dati!$A$2:$A$451,$AC20),"-")</f>
        <v/>
      </c>
      <c r="BB20" s="22">
        <f>IF(AND($H20&lt;&gt;"",$AD20&lt;&gt;"",$H20&lt;&gt;$AD20,IFERROR(VLOOKUP($H20,areaCercaPuntiClassificaSquadra,3,FALSE),-1)=IFERROR(VLOOKUP($AD20,areaCercaPuntiClassificaSquadra,3,FALSE),-2)),SUMIFS(Dati!$D$2:$D$451,Dati!$A$2:$A$451,$H20,Dati!$H$2:$H$451,$AD20)+SUMIFS(Dati!$K$2:$K$451,Dati!$H$2:$H$451,$H20,Dati!$A$2:$A$451,$AD20)+SUMIFS(Dati!$C$2:$C$451,Dati!$A$2:$A$451,$H20,Dati!$H$2:$H$451,$AD20)+SUMIFS(Dati!$J$2:$J$451,Dati!$H$2:$H$451,$H20,Dati!$A$2:$A$451,$AD20),"-")</f>
        <v/>
      </c>
      <c r="BC20" s="22">
        <f>IF(AND($H20&lt;&gt;"",$AE20&lt;&gt;"",$H20&lt;&gt;$AE20,IFERROR(VLOOKUP($H20,areaCercaPuntiClassificaSquadra,3,FALSE),-1)=IFERROR(VLOOKUP($AE20,areaCercaPuntiClassificaSquadra,3,FALSE),-2)),SUMIFS(Dati!$D$2:$D$451,Dati!$A$2:$A$451,$H20,Dati!$H$2:$H$451,$AE20)+SUMIFS(Dati!$K$2:$K$451,Dati!$H$2:$H$451,$H20,Dati!$A$2:$A$451,$AE20)+SUMIFS(Dati!$C$2:$C$451,Dati!$A$2:$A$451,$H20,Dati!$H$2:$H$451,$AE20)+SUMIFS(Dati!$J$2:$J$451,Dati!$H$2:$H$451,$H20,Dati!$A$2:$A$451,$AE20),"-")</f>
        <v/>
      </c>
      <c r="BD20" s="22">
        <f>IF(AND($H20&lt;&gt;"",$AF20&lt;&gt;"",$H20&lt;&gt;$AF20,IFERROR(VLOOKUP($H20,areaCercaPuntiClassificaSquadra,3,FALSE),-1)=IFERROR(VLOOKUP($AF20,areaCercaPuntiClassificaSquadra,3,FALSE),-2)),SUMIFS(Dati!$D$2:$D$451,Dati!$A$2:$A$451,$H20,Dati!$H$2:$H$451,$AF20)+SUMIFS(Dati!$K$2:$K$451,Dati!$H$2:$H$451,$H20,Dati!$A$2:$A$451,$AF20)+SUMIFS(Dati!$C$2:$C$451,Dati!$A$2:$A$451,$H20,Dati!$H$2:$H$451,$AF20)+SUMIFS(Dati!$J$2:$J$451,Dati!$H$2:$H$451,$H20,Dati!$A$2:$A$451,$AF20),"-")</f>
        <v/>
      </c>
      <c r="BE20" s="22">
        <f>IF(AND($H20&lt;&gt;"",$AG20&lt;&gt;"",$H20&lt;&gt;$AG20,IFERROR(VLOOKUP($H20,areaCercaPuntiClassificaSquadra,3,FALSE),-1)=IFERROR(VLOOKUP($AG20,areaCercaPuntiClassificaSquadra,3,FALSE),-2)),SUMIFS(Dati!$D$2:$D$451,Dati!$A$2:$A$451,$H20,Dati!$H$2:$H$451,$AG20)+SUMIFS(Dati!$K$2:$K$451,Dati!$H$2:$H$451,$H20,Dati!$A$2:$A$451,$AG20)+SUMIFS(Dati!$C$2:$C$451,Dati!$A$2:$A$451,$H20,Dati!$H$2:$H$451,$AG20)+SUMIFS(Dati!$J$2:$J$451,Dati!$H$2:$H$451,$H20,Dati!$A$2:$A$451,$AG20),"-")</f>
        <v/>
      </c>
      <c r="BF20" s="22">
        <f>IF(AND($H20&lt;&gt;"",$AH20&lt;&gt;"",$H20&lt;&gt;$AH20,IFERROR(VLOOKUP($H20,areaCercaPuntiClassificaSquadra,3,FALSE),-1)=IFERROR(VLOOKUP($AH20,areaCercaPuntiClassificaSquadra,3,FALSE),-2)),SUMIFS(Dati!$D$2:$D$451,Dati!$A$2:$A$451,$H20,Dati!$H$2:$H$451,$AH20)+SUMIFS(Dati!$K$2:$K$451,Dati!$H$2:$H$451,$H20,Dati!$A$2:$A$451,$AH20)+SUMIFS(Dati!$C$2:$C$451,Dati!$A$2:$A$451,$H20,Dati!$H$2:$H$451,$AH20)+SUMIFS(Dati!$J$2:$J$451,Dati!$H$2:$H$451,$H20,Dati!$A$2:$A$451,$AH20),"-")</f>
        <v/>
      </c>
      <c r="BH20" s="21">
        <f>$C20</f>
        <v/>
      </c>
      <c r="BI20" s="22">
        <f>IF(AND($H20&lt;&gt;"",$Y20&lt;&gt;"",$H20&lt;&gt;$Y20,IFERROR(VLOOKUP($H20,areaCercaPuntiClassificaSquadra,3,FALSE),-1)=IFERROR(VLOOKUP($Y20,areaCercaPuntiClassificaSquadra,3,FALSE),-2)),SUMIFS(Dati!$E$2:$E$451,Dati!$A$2:$A$451,$H20,Dati!$H$2:$H$451,$Y20)+SUMIFS(Dati!$L$2:$L$451,Dati!$H$2:$H$451,$H20,Dati!$A$2:$A$451,$Y20),"-")</f>
        <v/>
      </c>
      <c r="BJ20" s="22">
        <f>IF(AND($H20&lt;&gt;"",$Z20&lt;&gt;"",$H20&lt;&gt;$Z20,IFERROR(VLOOKUP($H20,areaCercaPuntiClassificaSquadra,3,FALSE),-1)=IFERROR(VLOOKUP($Z20,areaCercaPuntiClassificaSquadra,3,FALSE),-2)),SUMIFS(Dati!$E$2:$E$451,Dati!$A$2:$A$451,$H20,Dati!$H$2:$H$451,$Z20)+SUMIFS(Dati!$L$2:$L$451,Dati!$H$2:$H$451,$H20,Dati!$A$2:$A$451,$Z20),"-")</f>
        <v/>
      </c>
      <c r="BK20" s="22">
        <f>IF(AND($H20&lt;&gt;"",$AA20&lt;&gt;"",$H20&lt;&gt;$AA20,IFERROR(VLOOKUP($H20,areaCercaPuntiClassificaSquadra,3,FALSE),-1)=IFERROR(VLOOKUP($AA20,areaCercaPuntiClassificaSquadra,3,FALSE),-2)),SUMIFS(Dati!$E$2:$E$451,Dati!$A$2:$A$451,$H20,Dati!$H$2:$H$451,$AA20)+SUMIFS(Dati!$L$2:$L$451,Dati!$H$2:$H$451,$H20,Dati!$A$2:$A$451,$AA20),"-")</f>
        <v/>
      </c>
      <c r="BL20" s="22">
        <f>IF(AND($H20&lt;&gt;"",$AB20&lt;&gt;"",$H20&lt;&gt;$AB20,IFERROR(VLOOKUP($H20,areaCercaPuntiClassificaSquadra,3,FALSE),-1)=IFERROR(VLOOKUP($AB20,areaCercaPuntiClassificaSquadra,3,FALSE),-2)),SUMIFS(Dati!$E$2:$E$451,Dati!$A$2:$A$451,$H20,Dati!$H$2:$H$451,$AB20)+SUMIFS(Dati!$L$2:$L$451,Dati!$H$2:$H$451,$H20,Dati!$A$2:$A$451,$AB20),"-")</f>
        <v/>
      </c>
      <c r="BM20" s="22">
        <f>IF(AND($H20&lt;&gt;"",$AC20&lt;&gt;"",$H20&lt;&gt;$AC20,IFERROR(VLOOKUP($H20,areaCercaPuntiClassificaSquadra,3,FALSE),-1)=IFERROR(VLOOKUP($AC20,areaCercaPuntiClassificaSquadra,3,FALSE),-2)),SUMIFS(Dati!$E$2:$E$451,Dati!$A$2:$A$451,$H20,Dati!$H$2:$H$451,$AC20)+SUMIFS(Dati!$L$2:$L$451,Dati!$H$2:$H$451,$H20,Dati!$A$2:$A$451,$AC20),"-")</f>
        <v/>
      </c>
      <c r="BN20" s="22">
        <f>IF(AND($H20&lt;&gt;"",$AD20&lt;&gt;"",$H20&lt;&gt;$AD20,IFERROR(VLOOKUP($H20,areaCercaPuntiClassificaSquadra,3,FALSE),-1)=IFERROR(VLOOKUP($AD20,areaCercaPuntiClassificaSquadra,3,FALSE),-2)),SUMIFS(Dati!$E$2:$E$451,Dati!$A$2:$A$451,$H20,Dati!$H$2:$H$451,$AD20)+SUMIFS(Dati!$L$2:$L$451,Dati!$H$2:$H$451,$H20,Dati!$A$2:$A$451,$AD20),"-")</f>
        <v/>
      </c>
      <c r="BO20" s="22">
        <f>IF(AND($H20&lt;&gt;"",$AE20&lt;&gt;"",$H20&lt;&gt;$AE20,IFERROR(VLOOKUP($H20,areaCercaPuntiClassificaSquadra,3,FALSE),-1)=IFERROR(VLOOKUP($AE20,areaCercaPuntiClassificaSquadra,3,FALSE),-2)),SUMIFS(Dati!$E$2:$E$451,Dati!$A$2:$A$451,$H20,Dati!$H$2:$H$451,$AE20)+SUMIFS(Dati!$L$2:$L$451,Dati!$H$2:$H$451,$H20,Dati!$A$2:$A$451,$AE20),"-")</f>
        <v/>
      </c>
      <c r="BP20" s="22">
        <f>IF(AND($H20&lt;&gt;"",$AF20&lt;&gt;"",$H20&lt;&gt;$AF20,IFERROR(VLOOKUP($H20,areaCercaPuntiClassificaSquadra,3,FALSE),-1)=IFERROR(VLOOKUP($AF20,areaCercaPuntiClassificaSquadra,3,FALSE),-2)),SUMIFS(Dati!$E$2:$E$451,Dati!$A$2:$A$451,$H20,Dati!$H$2:$H$451,$AF20)+SUMIFS(Dati!$L$2:$L$451,Dati!$H$2:$H$451,$H20,Dati!$A$2:$A$451,$AF20),"-")</f>
        <v/>
      </c>
      <c r="BQ20" s="22">
        <f>IF(AND($H20&lt;&gt;"",$AG20&lt;&gt;"",$H20&lt;&gt;$AG20,IFERROR(VLOOKUP($H20,areaCercaPuntiClassificaSquadra,3,FALSE),-1)=IFERROR(VLOOKUP($AG20,areaCercaPuntiClassificaSquadra,3,FALSE),-2)),SUMIFS(Dati!$E$2:$E$451,Dati!$A$2:$A$451,$H20,Dati!$H$2:$H$451,$AG20)+SUMIFS(Dati!$L$2:$L$451,Dati!$H$2:$H$451,$H20,Dati!$A$2:$A$451,$AG20),"-")</f>
        <v/>
      </c>
      <c r="BR20" s="22">
        <f>IF(AND($H20&lt;&gt;"",$AH20&lt;&gt;"",$H20&lt;&gt;$AH20,IFERROR(VLOOKUP($H20,areaCercaPuntiClassificaSquadra,3,FALSE),-1)=IFERROR(VLOOKUP($AH20,areaCercaPuntiClassificaSquadra,3,FALSE),-2)),SUMIFS(Dati!$E$2:$E$451,Dati!$A$2:$A$451,$H20,Dati!$H$2:$H$451,$AH20)+SUMIFS(Dati!$L$2:$L$451,Dati!$H$2:$H$451,$H20,Dati!$A$2:$A$451,$AH20),"-")</f>
        <v/>
      </c>
      <c r="BT20" s="21">
        <f>$C20</f>
        <v/>
      </c>
      <c r="BU20" s="22">
        <f>IF(AND($H20&lt;&gt;"",$Y20&lt;&gt;"",$H20&lt;&gt;$Y20,IFERROR(VLOOKUP($H20,areaCercaPuntiClassificaSquadra,3,FALSE),-1)=IFERROR(VLOOKUP($Y20,areaCercaPuntiClassificaSquadra,3,FALSE),-2)),SUMIFS(Dati!$F$2:$F$451,Dati!$A$2:$A$451,$H20,Dati!$H$2:$H$451,$Y20)+SUMIFS(Dati!$M$2:$M$451,Dati!$H$2:$H$451,$H20,Dati!$A$2:$A$451,$Y20),"-")</f>
        <v/>
      </c>
      <c r="BV20" s="22">
        <f>IF(AND($H20&lt;&gt;"",$Z20&lt;&gt;"",$H20&lt;&gt;$Z20,IFERROR(VLOOKUP($H20,areaCercaPuntiClassificaSquadra,3,FALSE),-1)=IFERROR(VLOOKUP($Z20,areaCercaPuntiClassificaSquadra,3,FALSE),-2)),SUMIFS(Dati!$F$2:$F$451,Dati!$A$2:$A$451,$H20,Dati!$H$2:$H$451,$Z20)+SUMIFS(Dati!$M$2:$M$451,Dati!$H$2:$H$451,$H20,Dati!$A$2:$A$451,$Z20),"-")</f>
        <v/>
      </c>
      <c r="BW20" s="22">
        <f>IF(AND($H20&lt;&gt;"",$AA20&lt;&gt;"",$H20&lt;&gt;$AA20,IFERROR(VLOOKUP($H20,areaCercaPuntiClassificaSquadra,3,FALSE),-1)=IFERROR(VLOOKUP($AA20,areaCercaPuntiClassificaSquadra,3,FALSE),-2)),SUMIFS(Dati!$F$2:$F$451,Dati!$A$2:$A$451,$H20,Dati!$H$2:$H$451,$AA20)+SUMIFS(Dati!$M$2:$M$451,Dati!$H$2:$H$451,$H20,Dati!$A$2:$A$451,$AA20),"-")</f>
        <v/>
      </c>
      <c r="BX20" s="22">
        <f>IF(AND($H20&lt;&gt;"",$AB20&lt;&gt;"",$H20&lt;&gt;$AB20,IFERROR(VLOOKUP($H20,areaCercaPuntiClassificaSquadra,3,FALSE),-1)=IFERROR(VLOOKUP($AB20,areaCercaPuntiClassificaSquadra,3,FALSE),-2)),SUMIFS(Dati!$F$2:$F$451,Dati!$A$2:$A$451,$H20,Dati!$H$2:$H$451,$AB20)+SUMIFS(Dati!$M$2:$M$451,Dati!$H$2:$H$451,$H20,Dati!$A$2:$A$451,$AB20),"-")</f>
        <v/>
      </c>
      <c r="BY20" s="22">
        <f>IF(AND($H20&lt;&gt;"",$AC20&lt;&gt;"",$H20&lt;&gt;$AC20,IFERROR(VLOOKUP($H20,areaCercaPuntiClassificaSquadra,3,FALSE),-1)=IFERROR(VLOOKUP($AC20,areaCercaPuntiClassificaSquadra,3,FALSE),-2)),SUMIFS(Dati!$F$2:$F$451,Dati!$A$2:$A$451,$H20,Dati!$H$2:$H$451,$AC20)+SUMIFS(Dati!$M$2:$M$451,Dati!$H$2:$H$451,$H20,Dati!$A$2:$A$451,$AC20),"-")</f>
        <v/>
      </c>
      <c r="BZ20" s="22">
        <f>IF(AND($H20&lt;&gt;"",$AD20&lt;&gt;"",$H20&lt;&gt;$AD20,IFERROR(VLOOKUP($H20,areaCercaPuntiClassificaSquadra,3,FALSE),-1)=IFERROR(VLOOKUP($AD20,areaCercaPuntiClassificaSquadra,3,FALSE),-2)),SUMIFS(Dati!$F$2:$F$451,Dati!$A$2:$A$451,$H20,Dati!$H$2:$H$451,$AD20)+SUMIFS(Dati!$M$2:$M$451,Dati!$H$2:$H$451,$H20,Dati!$A$2:$A$451,$AD20),"-")</f>
        <v/>
      </c>
      <c r="CA20" s="22">
        <f>IF(AND($H20&lt;&gt;"",$AE20&lt;&gt;"",$H20&lt;&gt;$AE20,IFERROR(VLOOKUP($H20,areaCercaPuntiClassificaSquadra,3,FALSE),-1)=IFERROR(VLOOKUP($AE20,areaCercaPuntiClassificaSquadra,3,FALSE),-2)),SUMIFS(Dati!$F$2:$F$451,Dati!$A$2:$A$451,$H20,Dati!$H$2:$H$451,$AE20)+SUMIFS(Dati!$M$2:$M$451,Dati!$H$2:$H$451,$H20,Dati!$A$2:$A$451,$AE20),"-")</f>
        <v/>
      </c>
      <c r="CB20" s="22">
        <f>IF(AND($H20&lt;&gt;"",$AF20&lt;&gt;"",$H20&lt;&gt;$AF20,IFERROR(VLOOKUP($H20,areaCercaPuntiClassificaSquadra,3,FALSE),-1)=IFERROR(VLOOKUP($AF20,areaCercaPuntiClassificaSquadra,3,FALSE),-2)),SUMIFS(Dati!$F$2:$F$451,Dati!$A$2:$A$451,$H20,Dati!$H$2:$H$451,$AF20)+SUMIFS(Dati!$M$2:$M$451,Dati!$H$2:$H$451,$H20,Dati!$A$2:$A$451,$AF20),"-")</f>
        <v/>
      </c>
      <c r="CC20" s="22">
        <f>IF(AND($H20&lt;&gt;"",$AG20&lt;&gt;"",$H20&lt;&gt;$AG20,IFERROR(VLOOKUP($H20,areaCercaPuntiClassificaSquadra,3,FALSE),-1)=IFERROR(VLOOKUP($AG20,areaCercaPuntiClassificaSquadra,3,FALSE),-2)),SUMIFS(Dati!$F$2:$F$451,Dati!$A$2:$A$451,$H20,Dati!$H$2:$H$451,$AG20)+SUMIFS(Dati!$M$2:$M$451,Dati!$H$2:$H$451,$H20,Dati!$A$2:$A$451,$AG20),"-")</f>
        <v/>
      </c>
      <c r="CD20" s="22">
        <f>IF(AND($H20&lt;&gt;"",$AH20&lt;&gt;"",$H20&lt;&gt;$AH20,IFERROR(VLOOKUP($H20,areaCercaPuntiClassificaSquadra,3,FALSE),-1)=IFERROR(VLOOKUP($AH20,areaCercaPuntiClassificaSquadra,3,FALSE),-2)),SUMIFS(Dati!$F$2:$F$451,Dati!$A$2:$A$451,$H20,Dati!$H$2:$H$451,$AH20)+SUMIFS(Dati!$M$2:$M$451,Dati!$H$2:$H$451,$H20,Dati!$A$2:$A$451,$AH20),"-")</f>
        <v/>
      </c>
      <c r="CF20" s="22">
        <f>IF($C20="","",SUM(AK20:AT20))</f>
        <v/>
      </c>
    </row>
    <row r="21">
      <c r="B21" s="12" t="inlineStr">
        <is>
          <t>A08</t>
        </is>
      </c>
      <c r="C21" s="13" t="n"/>
      <c r="D21" s="14" t="n"/>
      <c r="E21" s="15" t="inlineStr">
        <is>
          <t>A</t>
        </is>
      </c>
      <c r="G21" s="16">
        <f>IF($C21="","",$E21&amp;(COUNTIFS(I$14:I$113,"&gt;"&amp;I21,E$14:E$113,"="&amp;E21,C$14:C$113,"&lt;&gt;")+COUNTIFS(I$14:I$113,"="&amp;I21,H$14:H$113,"&lt;="&amp;H21,E$14:E$113,"="&amp;E21,C$14:C$113,"&lt;&gt;")))</f>
        <v/>
      </c>
      <c r="H21" s="17">
        <f>IF($C21="","",IFERROR(LEFT($C21,FIND("-",$C21)-1),$C21))</f>
        <v/>
      </c>
      <c r="I21" s="12">
        <f>TEXT(1000000000+J21,"|0000000000|")&amp;TEXT(SUM(AK21:AT21),"0000000000|")&amp;IF(SUM(BU21:CD21)=0,"0000000000|",TEXT(ROUND(SUM(BI21:BR21)/SUM(BU21:CD21),4)*100000,"0000000000|"))&amp;IF(P21=0,"0000000000|",TEXT(ROUND(O21/P21,4)*100000,"0000000000|"))</f>
        <v/>
      </c>
      <c r="J21" s="16">
        <f>L21*constPuntiVittoria+M21*constPuntiSconfitta+N21*constPuntiForfait+IF(D21="",0,D21)</f>
        <v/>
      </c>
      <c r="K21" s="12">
        <f>SUM(L21:N21)</f>
        <v/>
      </c>
      <c r="L21" s="12">
        <f>IF($H21="",0,SUMIF(Dati!$A$2:$A$451,$H21,Dati!$B$2:$B$451)+SUMIF(Dati!$H$2:$H$451,$H21,Dati!$I$2:$I$451))</f>
        <v/>
      </c>
      <c r="M21" s="12">
        <f>IF($H21="",0,SUMIF(Dati!$A$2:$A$451,$H21,Dati!$D$2:$D$451)+SUMIF(Dati!$H$2:$H$451,$H21,Dati!$K$2:$K$451))</f>
        <v/>
      </c>
      <c r="N21" s="12">
        <f>IF($H21="",0,SUMIF(Dati!$A$2:$A$451,$H21,Dati!$C$2:$C$451)+SUMIF(Dati!$H$2:$H$451,$H21,Dati!$J$2:$J$451))</f>
        <v/>
      </c>
      <c r="O21" s="12">
        <f>IF($H21="",0,SUMIF(Dati!$A$2:$A$451,$H21,Dati!$E$2:$E$451)+SUMIF(Dati!$H$2:$H$451,$H21,Dati!$L$2:$L$451))</f>
        <v/>
      </c>
      <c r="P21" s="12">
        <f>IF($H21="",0,SUMIF(Dati!$A$2:$A$451,$H21,Dati!$F$2:$F$451)+SUMIF(Dati!$H$2:$H$451,$H21,Dati!$M$2:$M$451))</f>
        <v/>
      </c>
      <c r="Q21" s="12">
        <f>IF($H21="",0,SUMIF(Dati!$A$2:$A$451,$H21,Dati!$G$2:$G$451)+SUMIF(Dati!$H$2:$H$451,$H21,Dati!$N$2:$N$451))</f>
        <v/>
      </c>
      <c r="R21" s="12">
        <f>IF(K21=0,0,ROUND(O21/K21,2))</f>
        <v/>
      </c>
      <c r="S21" s="12">
        <f>IF(K21=0,0,ROUND(P21/K21,2))</f>
        <v/>
      </c>
      <c r="T21" s="12">
        <f>IF(K21=0,0,ROUND(Q21/K21,2))</f>
        <v/>
      </c>
      <c r="U21" s="12">
        <f>IF(COUNTIFS($E$14:$E$113,$E21,$J$14:$J$113,$J21,$C$14:$C$113,"&lt;&gt;")&lt;=1,"-",SUM(AK21:AT21)&amp;"-"&amp;SUM(AW21:BF21))</f>
        <v/>
      </c>
      <c r="V21" s="18">
        <f>IF(COUNTIFS($E$14:$E$113,$E21,$J$14:$J$113,$J21,$C$14:$C$113,"&lt;&gt;",$CF$14:$CF$113,$CF21)&lt;=1,"-",IF(SUM(BU21:CD21)=0,0,ROUND(SUM(BI21:BR21)/SUM(BU21:CD21),3)))</f>
        <v/>
      </c>
      <c r="W21" s="18">
        <f>IF(COUNTIFS($E$14:$E$113,$E21,$J$14:$J$113,$J21,$C$14:$C$113,"&lt;&gt;",$CF$14:$CF$113,$CF21,$V$14:$V$113,$V21)&lt;=1,"-",IF(P21=0,0,ROUND(O21/P21,3)))</f>
        <v/>
      </c>
      <c r="X21" s="19">
        <f>IF($C21="","",$E21&amp;"#"&amp;COUNTIFS($E$14:$E21,$E21,$C$14:$C21,"&lt;&gt;"))</f>
        <v/>
      </c>
      <c r="Y21" s="20">
        <f>IFERROR(INDEX($H$14:$H$113,MATCH($E21&amp;"#1",$X$14:$X$113,0)),"")</f>
        <v/>
      </c>
      <c r="Z21" s="20">
        <f>IFERROR(INDEX($H$14:$H$113,MATCH($E21&amp;"#2",$X$14:$X$113,0)),"")</f>
        <v/>
      </c>
      <c r="AA21" s="20">
        <f>IFERROR(INDEX($H$14:$H$113,MATCH($E21&amp;"#3",$X$14:$X$113,0)),"")</f>
        <v/>
      </c>
      <c r="AB21" s="20">
        <f>IFERROR(INDEX($H$14:$H$113,MATCH($E21&amp;"#4",$X$14:$X$113,0)),"")</f>
        <v/>
      </c>
      <c r="AC21" s="20">
        <f>IFERROR(INDEX($H$14:$H$113,MATCH($E21&amp;"#5",$X$14:$X$113,0)),"")</f>
        <v/>
      </c>
      <c r="AD21" s="20">
        <f>IFERROR(INDEX($H$14:$H$113,MATCH($E21&amp;"#6",$X$14:$X$113,0)),"")</f>
        <v/>
      </c>
      <c r="AE21" s="20">
        <f>IFERROR(INDEX($H$14:$H$113,MATCH($E21&amp;"#7",$X$14:$X$113,0)),"")</f>
        <v/>
      </c>
      <c r="AF21" s="20">
        <f>IFERROR(INDEX($H$14:$H$113,MATCH($E21&amp;"#8",$X$14:$X$113,0)),"")</f>
        <v/>
      </c>
      <c r="AG21" s="20">
        <f>IFERROR(INDEX($H$14:$H$113,MATCH($E21&amp;"#9",$X$14:$X$113,0)),"")</f>
        <v/>
      </c>
      <c r="AH21" s="20">
        <f>IFERROR(INDEX($H$14:$H$113,MATCH($E21&amp;"#10",$X$14:$X$113,0)),"")</f>
        <v/>
      </c>
      <c r="AJ21" s="21">
        <f>$C21</f>
        <v/>
      </c>
      <c r="AK21" s="22">
        <f>IF(AND($H21&lt;&gt;"",$Y21&lt;&gt;"",$H21&lt;&gt;$Y21,IFERROR(VLOOKUP($H21,areaCercaPuntiClassificaSquadra,3,FALSE),-1)=IFERROR(VLOOKUP($Y21,areaCercaPuntiClassificaSquadra,3,FALSE),-2)),SUMIFS(Dati!$B$2:$B$451,Dati!$A$2:$A$451,$H21,Dati!$H$2:$H$451,$Y21)+SUMIFS(Dati!$I$2:$I$451,Dati!$H$2:$H$451,$H21,Dati!$A$2:$A$451,$Y21),"-")</f>
        <v/>
      </c>
      <c r="AL21" s="22">
        <f>IF(AND($H21&lt;&gt;"",$Z21&lt;&gt;"",$H21&lt;&gt;$Z21,IFERROR(VLOOKUP($H21,areaCercaPuntiClassificaSquadra,3,FALSE),-1)=IFERROR(VLOOKUP($Z21,areaCercaPuntiClassificaSquadra,3,FALSE),-2)),SUMIFS(Dati!$B$2:$B$451,Dati!$A$2:$A$451,$H21,Dati!$H$2:$H$451,$Z21)+SUMIFS(Dati!$I$2:$I$451,Dati!$H$2:$H$451,$H21,Dati!$A$2:$A$451,$Z21),"-")</f>
        <v/>
      </c>
      <c r="AM21" s="22">
        <f>IF(AND($H21&lt;&gt;"",$AA21&lt;&gt;"",$H21&lt;&gt;$AA21,IFERROR(VLOOKUP($H21,areaCercaPuntiClassificaSquadra,3,FALSE),-1)=IFERROR(VLOOKUP($AA21,areaCercaPuntiClassificaSquadra,3,FALSE),-2)),SUMIFS(Dati!$B$2:$B$451,Dati!$A$2:$A$451,$H21,Dati!$H$2:$H$451,$AA21)+SUMIFS(Dati!$I$2:$I$451,Dati!$H$2:$H$451,$H21,Dati!$A$2:$A$451,$AA21),"-")</f>
        <v/>
      </c>
      <c r="AN21" s="22">
        <f>IF(AND($H21&lt;&gt;"",$AB21&lt;&gt;"",$H21&lt;&gt;$AB21,IFERROR(VLOOKUP($H21,areaCercaPuntiClassificaSquadra,3,FALSE),-1)=IFERROR(VLOOKUP($AB21,areaCercaPuntiClassificaSquadra,3,FALSE),-2)),SUMIFS(Dati!$B$2:$B$451,Dati!$A$2:$A$451,$H21,Dati!$H$2:$H$451,$AB21)+SUMIFS(Dati!$I$2:$I$451,Dati!$H$2:$H$451,$H21,Dati!$A$2:$A$451,$AB21),"-")</f>
        <v/>
      </c>
      <c r="AO21" s="22">
        <f>IF(AND($H21&lt;&gt;"",$AC21&lt;&gt;"",$H21&lt;&gt;$AC21,IFERROR(VLOOKUP($H21,areaCercaPuntiClassificaSquadra,3,FALSE),-1)=IFERROR(VLOOKUP($AC21,areaCercaPuntiClassificaSquadra,3,FALSE),-2)),SUMIFS(Dati!$B$2:$B$451,Dati!$A$2:$A$451,$H21,Dati!$H$2:$H$451,$AC21)+SUMIFS(Dati!$I$2:$I$451,Dati!$H$2:$H$451,$H21,Dati!$A$2:$A$451,$AC21),"-")</f>
        <v/>
      </c>
      <c r="AP21" s="22">
        <f>IF(AND($H21&lt;&gt;"",$AD21&lt;&gt;"",$H21&lt;&gt;$AD21,IFERROR(VLOOKUP($H21,areaCercaPuntiClassificaSquadra,3,FALSE),-1)=IFERROR(VLOOKUP($AD21,areaCercaPuntiClassificaSquadra,3,FALSE),-2)),SUMIFS(Dati!$B$2:$B$451,Dati!$A$2:$A$451,$H21,Dati!$H$2:$H$451,$AD21)+SUMIFS(Dati!$I$2:$I$451,Dati!$H$2:$H$451,$H21,Dati!$A$2:$A$451,$AD21),"-")</f>
        <v/>
      </c>
      <c r="AQ21" s="22">
        <f>IF(AND($H21&lt;&gt;"",$AE21&lt;&gt;"",$H21&lt;&gt;$AE21,IFERROR(VLOOKUP($H21,areaCercaPuntiClassificaSquadra,3,FALSE),-1)=IFERROR(VLOOKUP($AE21,areaCercaPuntiClassificaSquadra,3,FALSE),-2)),SUMIFS(Dati!$B$2:$B$451,Dati!$A$2:$A$451,$H21,Dati!$H$2:$H$451,$AE21)+SUMIFS(Dati!$I$2:$I$451,Dati!$H$2:$H$451,$H21,Dati!$A$2:$A$451,$AE21),"-")</f>
        <v/>
      </c>
      <c r="AR21" s="22">
        <f>IF(AND($H21&lt;&gt;"",$AF21&lt;&gt;"",$H21&lt;&gt;$AF21,IFERROR(VLOOKUP($H21,areaCercaPuntiClassificaSquadra,3,FALSE),-1)=IFERROR(VLOOKUP($AF21,areaCercaPuntiClassificaSquadra,3,FALSE),-2)),SUMIFS(Dati!$B$2:$B$451,Dati!$A$2:$A$451,$H21,Dati!$H$2:$H$451,$AF21)+SUMIFS(Dati!$I$2:$I$451,Dati!$H$2:$H$451,$H21,Dati!$A$2:$A$451,$AF21),"-")</f>
        <v/>
      </c>
      <c r="AS21" s="22">
        <f>IF(AND($H21&lt;&gt;"",$AG21&lt;&gt;"",$H21&lt;&gt;$AG21,IFERROR(VLOOKUP($H21,areaCercaPuntiClassificaSquadra,3,FALSE),-1)=IFERROR(VLOOKUP($AG21,areaCercaPuntiClassificaSquadra,3,FALSE),-2)),SUMIFS(Dati!$B$2:$B$451,Dati!$A$2:$A$451,$H21,Dati!$H$2:$H$451,$AG21)+SUMIFS(Dati!$I$2:$I$451,Dati!$H$2:$H$451,$H21,Dati!$A$2:$A$451,$AG21),"-")</f>
        <v/>
      </c>
      <c r="AT21" s="22">
        <f>IF(AND($H21&lt;&gt;"",$AH21&lt;&gt;"",$H21&lt;&gt;$AH21,IFERROR(VLOOKUP($H21,areaCercaPuntiClassificaSquadra,3,FALSE),-1)=IFERROR(VLOOKUP($AH21,areaCercaPuntiClassificaSquadra,3,FALSE),-2)),SUMIFS(Dati!$B$2:$B$451,Dati!$A$2:$A$451,$H21,Dati!$H$2:$H$451,$AH21)+SUMIFS(Dati!$I$2:$I$451,Dati!$H$2:$H$451,$H21,Dati!$A$2:$A$451,$AH21),"-")</f>
        <v/>
      </c>
      <c r="AV21" s="21">
        <f>$C21</f>
        <v/>
      </c>
      <c r="AW21" s="22">
        <f>IF(AND($H21&lt;&gt;"",$Y21&lt;&gt;"",$H21&lt;&gt;$Y21,IFERROR(VLOOKUP($H21,areaCercaPuntiClassificaSquadra,3,FALSE),-1)=IFERROR(VLOOKUP($Y21,areaCercaPuntiClassificaSquadra,3,FALSE),-2)),SUMIFS(Dati!$D$2:$D$451,Dati!$A$2:$A$451,$H21,Dati!$H$2:$H$451,$Y21)+SUMIFS(Dati!$K$2:$K$451,Dati!$H$2:$H$451,$H21,Dati!$A$2:$A$451,$Y21)+SUMIFS(Dati!$C$2:$C$451,Dati!$A$2:$A$451,$H21,Dati!$H$2:$H$451,$Y21)+SUMIFS(Dati!$J$2:$J$451,Dati!$H$2:$H$451,$H21,Dati!$A$2:$A$451,$Y21),"-")</f>
        <v/>
      </c>
      <c r="AX21" s="22">
        <f>IF(AND($H21&lt;&gt;"",$Z21&lt;&gt;"",$H21&lt;&gt;$Z21,IFERROR(VLOOKUP($H21,areaCercaPuntiClassificaSquadra,3,FALSE),-1)=IFERROR(VLOOKUP($Z21,areaCercaPuntiClassificaSquadra,3,FALSE),-2)),SUMIFS(Dati!$D$2:$D$451,Dati!$A$2:$A$451,$H21,Dati!$H$2:$H$451,$Z21)+SUMIFS(Dati!$K$2:$K$451,Dati!$H$2:$H$451,$H21,Dati!$A$2:$A$451,$Z21)+SUMIFS(Dati!$C$2:$C$451,Dati!$A$2:$A$451,$H21,Dati!$H$2:$H$451,$Z21)+SUMIFS(Dati!$J$2:$J$451,Dati!$H$2:$H$451,$H21,Dati!$A$2:$A$451,$Z21),"-")</f>
        <v/>
      </c>
      <c r="AY21" s="22">
        <f>IF(AND($H21&lt;&gt;"",$AA21&lt;&gt;"",$H21&lt;&gt;$AA21,IFERROR(VLOOKUP($H21,areaCercaPuntiClassificaSquadra,3,FALSE),-1)=IFERROR(VLOOKUP($AA21,areaCercaPuntiClassificaSquadra,3,FALSE),-2)),SUMIFS(Dati!$D$2:$D$451,Dati!$A$2:$A$451,$H21,Dati!$H$2:$H$451,$AA21)+SUMIFS(Dati!$K$2:$K$451,Dati!$H$2:$H$451,$H21,Dati!$A$2:$A$451,$AA21)+SUMIFS(Dati!$C$2:$C$451,Dati!$A$2:$A$451,$H21,Dati!$H$2:$H$451,$AA21)+SUMIFS(Dati!$J$2:$J$451,Dati!$H$2:$H$451,$H21,Dati!$A$2:$A$451,$AA21),"-")</f>
        <v/>
      </c>
      <c r="AZ21" s="22">
        <f>IF(AND($H21&lt;&gt;"",$AB21&lt;&gt;"",$H21&lt;&gt;$AB21,IFERROR(VLOOKUP($H21,areaCercaPuntiClassificaSquadra,3,FALSE),-1)=IFERROR(VLOOKUP($AB21,areaCercaPuntiClassificaSquadra,3,FALSE),-2)),SUMIFS(Dati!$D$2:$D$451,Dati!$A$2:$A$451,$H21,Dati!$H$2:$H$451,$AB21)+SUMIFS(Dati!$K$2:$K$451,Dati!$H$2:$H$451,$H21,Dati!$A$2:$A$451,$AB21)+SUMIFS(Dati!$C$2:$C$451,Dati!$A$2:$A$451,$H21,Dati!$H$2:$H$451,$AB21)+SUMIFS(Dati!$J$2:$J$451,Dati!$H$2:$H$451,$H21,Dati!$A$2:$A$451,$AB21),"-")</f>
        <v/>
      </c>
      <c r="BA21" s="22">
        <f>IF(AND($H21&lt;&gt;"",$AC21&lt;&gt;"",$H21&lt;&gt;$AC21,IFERROR(VLOOKUP($H21,areaCercaPuntiClassificaSquadra,3,FALSE),-1)=IFERROR(VLOOKUP($AC21,areaCercaPuntiClassificaSquadra,3,FALSE),-2)),SUMIFS(Dati!$D$2:$D$451,Dati!$A$2:$A$451,$H21,Dati!$H$2:$H$451,$AC21)+SUMIFS(Dati!$K$2:$K$451,Dati!$H$2:$H$451,$H21,Dati!$A$2:$A$451,$AC21)+SUMIFS(Dati!$C$2:$C$451,Dati!$A$2:$A$451,$H21,Dati!$H$2:$H$451,$AC21)+SUMIFS(Dati!$J$2:$J$451,Dati!$H$2:$H$451,$H21,Dati!$A$2:$A$451,$AC21),"-")</f>
        <v/>
      </c>
      <c r="BB21" s="22">
        <f>IF(AND($H21&lt;&gt;"",$AD21&lt;&gt;"",$H21&lt;&gt;$AD21,IFERROR(VLOOKUP($H21,areaCercaPuntiClassificaSquadra,3,FALSE),-1)=IFERROR(VLOOKUP($AD21,areaCercaPuntiClassificaSquadra,3,FALSE),-2)),SUMIFS(Dati!$D$2:$D$451,Dati!$A$2:$A$451,$H21,Dati!$H$2:$H$451,$AD21)+SUMIFS(Dati!$K$2:$K$451,Dati!$H$2:$H$451,$H21,Dati!$A$2:$A$451,$AD21)+SUMIFS(Dati!$C$2:$C$451,Dati!$A$2:$A$451,$H21,Dati!$H$2:$H$451,$AD21)+SUMIFS(Dati!$J$2:$J$451,Dati!$H$2:$H$451,$H21,Dati!$A$2:$A$451,$AD21),"-")</f>
        <v/>
      </c>
      <c r="BC21" s="22">
        <f>IF(AND($H21&lt;&gt;"",$AE21&lt;&gt;"",$H21&lt;&gt;$AE21,IFERROR(VLOOKUP($H21,areaCercaPuntiClassificaSquadra,3,FALSE),-1)=IFERROR(VLOOKUP($AE21,areaCercaPuntiClassificaSquadra,3,FALSE),-2)),SUMIFS(Dati!$D$2:$D$451,Dati!$A$2:$A$451,$H21,Dati!$H$2:$H$451,$AE21)+SUMIFS(Dati!$K$2:$K$451,Dati!$H$2:$H$451,$H21,Dati!$A$2:$A$451,$AE21)+SUMIFS(Dati!$C$2:$C$451,Dati!$A$2:$A$451,$H21,Dati!$H$2:$H$451,$AE21)+SUMIFS(Dati!$J$2:$J$451,Dati!$H$2:$H$451,$H21,Dati!$A$2:$A$451,$AE21),"-")</f>
        <v/>
      </c>
      <c r="BD21" s="22">
        <f>IF(AND($H21&lt;&gt;"",$AF21&lt;&gt;"",$H21&lt;&gt;$AF21,IFERROR(VLOOKUP($H21,areaCercaPuntiClassificaSquadra,3,FALSE),-1)=IFERROR(VLOOKUP($AF21,areaCercaPuntiClassificaSquadra,3,FALSE),-2)),SUMIFS(Dati!$D$2:$D$451,Dati!$A$2:$A$451,$H21,Dati!$H$2:$H$451,$AF21)+SUMIFS(Dati!$K$2:$K$451,Dati!$H$2:$H$451,$H21,Dati!$A$2:$A$451,$AF21)+SUMIFS(Dati!$C$2:$C$451,Dati!$A$2:$A$451,$H21,Dati!$H$2:$H$451,$AF21)+SUMIFS(Dati!$J$2:$J$451,Dati!$H$2:$H$451,$H21,Dati!$A$2:$A$451,$AF21),"-")</f>
        <v/>
      </c>
      <c r="BE21" s="22">
        <f>IF(AND($H21&lt;&gt;"",$AG21&lt;&gt;"",$H21&lt;&gt;$AG21,IFERROR(VLOOKUP($H21,areaCercaPuntiClassificaSquadra,3,FALSE),-1)=IFERROR(VLOOKUP($AG21,areaCercaPuntiClassificaSquadra,3,FALSE),-2)),SUMIFS(Dati!$D$2:$D$451,Dati!$A$2:$A$451,$H21,Dati!$H$2:$H$451,$AG21)+SUMIFS(Dati!$K$2:$K$451,Dati!$H$2:$H$451,$H21,Dati!$A$2:$A$451,$AG21)+SUMIFS(Dati!$C$2:$C$451,Dati!$A$2:$A$451,$H21,Dati!$H$2:$H$451,$AG21)+SUMIFS(Dati!$J$2:$J$451,Dati!$H$2:$H$451,$H21,Dati!$A$2:$A$451,$AG21),"-")</f>
        <v/>
      </c>
      <c r="BF21" s="22">
        <f>IF(AND($H21&lt;&gt;"",$AH21&lt;&gt;"",$H21&lt;&gt;$AH21,IFERROR(VLOOKUP($H21,areaCercaPuntiClassificaSquadra,3,FALSE),-1)=IFERROR(VLOOKUP($AH21,areaCercaPuntiClassificaSquadra,3,FALSE),-2)),SUMIFS(Dati!$D$2:$D$451,Dati!$A$2:$A$451,$H21,Dati!$H$2:$H$451,$AH21)+SUMIFS(Dati!$K$2:$K$451,Dati!$H$2:$H$451,$H21,Dati!$A$2:$A$451,$AH21)+SUMIFS(Dati!$C$2:$C$451,Dati!$A$2:$A$451,$H21,Dati!$H$2:$H$451,$AH21)+SUMIFS(Dati!$J$2:$J$451,Dati!$H$2:$H$451,$H21,Dati!$A$2:$A$451,$AH21),"-")</f>
        <v/>
      </c>
      <c r="BH21" s="21">
        <f>$C21</f>
        <v/>
      </c>
      <c r="BI21" s="22">
        <f>IF(AND($H21&lt;&gt;"",$Y21&lt;&gt;"",$H21&lt;&gt;$Y21,IFERROR(VLOOKUP($H21,areaCercaPuntiClassificaSquadra,3,FALSE),-1)=IFERROR(VLOOKUP($Y21,areaCercaPuntiClassificaSquadra,3,FALSE),-2)),SUMIFS(Dati!$E$2:$E$451,Dati!$A$2:$A$451,$H21,Dati!$H$2:$H$451,$Y21)+SUMIFS(Dati!$L$2:$L$451,Dati!$H$2:$H$451,$H21,Dati!$A$2:$A$451,$Y21),"-")</f>
        <v/>
      </c>
      <c r="BJ21" s="22">
        <f>IF(AND($H21&lt;&gt;"",$Z21&lt;&gt;"",$H21&lt;&gt;$Z21,IFERROR(VLOOKUP($H21,areaCercaPuntiClassificaSquadra,3,FALSE),-1)=IFERROR(VLOOKUP($Z21,areaCercaPuntiClassificaSquadra,3,FALSE),-2)),SUMIFS(Dati!$E$2:$E$451,Dati!$A$2:$A$451,$H21,Dati!$H$2:$H$451,$Z21)+SUMIFS(Dati!$L$2:$L$451,Dati!$H$2:$H$451,$H21,Dati!$A$2:$A$451,$Z21),"-")</f>
        <v/>
      </c>
      <c r="BK21" s="22">
        <f>IF(AND($H21&lt;&gt;"",$AA21&lt;&gt;"",$H21&lt;&gt;$AA21,IFERROR(VLOOKUP($H21,areaCercaPuntiClassificaSquadra,3,FALSE),-1)=IFERROR(VLOOKUP($AA21,areaCercaPuntiClassificaSquadra,3,FALSE),-2)),SUMIFS(Dati!$E$2:$E$451,Dati!$A$2:$A$451,$H21,Dati!$H$2:$H$451,$AA21)+SUMIFS(Dati!$L$2:$L$451,Dati!$H$2:$H$451,$H21,Dati!$A$2:$A$451,$AA21),"-")</f>
        <v/>
      </c>
      <c r="BL21" s="22">
        <f>IF(AND($H21&lt;&gt;"",$AB21&lt;&gt;"",$H21&lt;&gt;$AB21,IFERROR(VLOOKUP($H21,areaCercaPuntiClassificaSquadra,3,FALSE),-1)=IFERROR(VLOOKUP($AB21,areaCercaPuntiClassificaSquadra,3,FALSE),-2)),SUMIFS(Dati!$E$2:$E$451,Dati!$A$2:$A$451,$H21,Dati!$H$2:$H$451,$AB21)+SUMIFS(Dati!$L$2:$L$451,Dati!$H$2:$H$451,$H21,Dati!$A$2:$A$451,$AB21),"-")</f>
        <v/>
      </c>
      <c r="BM21" s="22">
        <f>IF(AND($H21&lt;&gt;"",$AC21&lt;&gt;"",$H21&lt;&gt;$AC21,IFERROR(VLOOKUP($H21,areaCercaPuntiClassificaSquadra,3,FALSE),-1)=IFERROR(VLOOKUP($AC21,areaCercaPuntiClassificaSquadra,3,FALSE),-2)),SUMIFS(Dati!$E$2:$E$451,Dati!$A$2:$A$451,$H21,Dati!$H$2:$H$451,$AC21)+SUMIFS(Dati!$L$2:$L$451,Dati!$H$2:$H$451,$H21,Dati!$A$2:$A$451,$AC21),"-")</f>
        <v/>
      </c>
      <c r="BN21" s="22">
        <f>IF(AND($H21&lt;&gt;"",$AD21&lt;&gt;"",$H21&lt;&gt;$AD21,IFERROR(VLOOKUP($H21,areaCercaPuntiClassificaSquadra,3,FALSE),-1)=IFERROR(VLOOKUP($AD21,areaCercaPuntiClassificaSquadra,3,FALSE),-2)),SUMIFS(Dati!$E$2:$E$451,Dati!$A$2:$A$451,$H21,Dati!$H$2:$H$451,$AD21)+SUMIFS(Dati!$L$2:$L$451,Dati!$H$2:$H$451,$H21,Dati!$A$2:$A$451,$AD21),"-")</f>
        <v/>
      </c>
      <c r="BO21" s="22">
        <f>IF(AND($H21&lt;&gt;"",$AE21&lt;&gt;"",$H21&lt;&gt;$AE21,IFERROR(VLOOKUP($H21,areaCercaPuntiClassificaSquadra,3,FALSE),-1)=IFERROR(VLOOKUP($AE21,areaCercaPuntiClassificaSquadra,3,FALSE),-2)),SUMIFS(Dati!$E$2:$E$451,Dati!$A$2:$A$451,$H21,Dati!$H$2:$H$451,$AE21)+SUMIFS(Dati!$L$2:$L$451,Dati!$H$2:$H$451,$H21,Dati!$A$2:$A$451,$AE21),"-")</f>
        <v/>
      </c>
      <c r="BP21" s="22">
        <f>IF(AND($H21&lt;&gt;"",$AF21&lt;&gt;"",$H21&lt;&gt;$AF21,IFERROR(VLOOKUP($H21,areaCercaPuntiClassificaSquadra,3,FALSE),-1)=IFERROR(VLOOKUP($AF21,areaCercaPuntiClassificaSquadra,3,FALSE),-2)),SUMIFS(Dati!$E$2:$E$451,Dati!$A$2:$A$451,$H21,Dati!$H$2:$H$451,$AF21)+SUMIFS(Dati!$L$2:$L$451,Dati!$H$2:$H$451,$H21,Dati!$A$2:$A$451,$AF21),"-")</f>
        <v/>
      </c>
      <c r="BQ21" s="22">
        <f>IF(AND($H21&lt;&gt;"",$AG21&lt;&gt;"",$H21&lt;&gt;$AG21,IFERROR(VLOOKUP($H21,areaCercaPuntiClassificaSquadra,3,FALSE),-1)=IFERROR(VLOOKUP($AG21,areaCercaPuntiClassificaSquadra,3,FALSE),-2)),SUMIFS(Dati!$E$2:$E$451,Dati!$A$2:$A$451,$H21,Dati!$H$2:$H$451,$AG21)+SUMIFS(Dati!$L$2:$L$451,Dati!$H$2:$H$451,$H21,Dati!$A$2:$A$451,$AG21),"-")</f>
        <v/>
      </c>
      <c r="BR21" s="22">
        <f>IF(AND($H21&lt;&gt;"",$AH21&lt;&gt;"",$H21&lt;&gt;$AH21,IFERROR(VLOOKUP($H21,areaCercaPuntiClassificaSquadra,3,FALSE),-1)=IFERROR(VLOOKUP($AH21,areaCercaPuntiClassificaSquadra,3,FALSE),-2)),SUMIFS(Dati!$E$2:$E$451,Dati!$A$2:$A$451,$H21,Dati!$H$2:$H$451,$AH21)+SUMIFS(Dati!$L$2:$L$451,Dati!$H$2:$H$451,$H21,Dati!$A$2:$A$451,$AH21),"-")</f>
        <v/>
      </c>
      <c r="BT21" s="21">
        <f>$C21</f>
        <v/>
      </c>
      <c r="BU21" s="22">
        <f>IF(AND($H21&lt;&gt;"",$Y21&lt;&gt;"",$H21&lt;&gt;$Y21,IFERROR(VLOOKUP($H21,areaCercaPuntiClassificaSquadra,3,FALSE),-1)=IFERROR(VLOOKUP($Y21,areaCercaPuntiClassificaSquadra,3,FALSE),-2)),SUMIFS(Dati!$F$2:$F$451,Dati!$A$2:$A$451,$H21,Dati!$H$2:$H$451,$Y21)+SUMIFS(Dati!$M$2:$M$451,Dati!$H$2:$H$451,$H21,Dati!$A$2:$A$451,$Y21),"-")</f>
        <v/>
      </c>
      <c r="BV21" s="22">
        <f>IF(AND($H21&lt;&gt;"",$Z21&lt;&gt;"",$H21&lt;&gt;$Z21,IFERROR(VLOOKUP($H21,areaCercaPuntiClassificaSquadra,3,FALSE),-1)=IFERROR(VLOOKUP($Z21,areaCercaPuntiClassificaSquadra,3,FALSE),-2)),SUMIFS(Dati!$F$2:$F$451,Dati!$A$2:$A$451,$H21,Dati!$H$2:$H$451,$Z21)+SUMIFS(Dati!$M$2:$M$451,Dati!$H$2:$H$451,$H21,Dati!$A$2:$A$451,$Z21),"-")</f>
        <v/>
      </c>
      <c r="BW21" s="22">
        <f>IF(AND($H21&lt;&gt;"",$AA21&lt;&gt;"",$H21&lt;&gt;$AA21,IFERROR(VLOOKUP($H21,areaCercaPuntiClassificaSquadra,3,FALSE),-1)=IFERROR(VLOOKUP($AA21,areaCercaPuntiClassificaSquadra,3,FALSE),-2)),SUMIFS(Dati!$F$2:$F$451,Dati!$A$2:$A$451,$H21,Dati!$H$2:$H$451,$AA21)+SUMIFS(Dati!$M$2:$M$451,Dati!$H$2:$H$451,$H21,Dati!$A$2:$A$451,$AA21),"-")</f>
        <v/>
      </c>
      <c r="BX21" s="22">
        <f>IF(AND($H21&lt;&gt;"",$AB21&lt;&gt;"",$H21&lt;&gt;$AB21,IFERROR(VLOOKUP($H21,areaCercaPuntiClassificaSquadra,3,FALSE),-1)=IFERROR(VLOOKUP($AB21,areaCercaPuntiClassificaSquadra,3,FALSE),-2)),SUMIFS(Dati!$F$2:$F$451,Dati!$A$2:$A$451,$H21,Dati!$H$2:$H$451,$AB21)+SUMIFS(Dati!$M$2:$M$451,Dati!$H$2:$H$451,$H21,Dati!$A$2:$A$451,$AB21),"-")</f>
        <v/>
      </c>
      <c r="BY21" s="22">
        <f>IF(AND($H21&lt;&gt;"",$AC21&lt;&gt;"",$H21&lt;&gt;$AC21,IFERROR(VLOOKUP($H21,areaCercaPuntiClassificaSquadra,3,FALSE),-1)=IFERROR(VLOOKUP($AC21,areaCercaPuntiClassificaSquadra,3,FALSE),-2)),SUMIFS(Dati!$F$2:$F$451,Dati!$A$2:$A$451,$H21,Dati!$H$2:$H$451,$AC21)+SUMIFS(Dati!$M$2:$M$451,Dati!$H$2:$H$451,$H21,Dati!$A$2:$A$451,$AC21),"-")</f>
        <v/>
      </c>
      <c r="BZ21" s="22">
        <f>IF(AND($H21&lt;&gt;"",$AD21&lt;&gt;"",$H21&lt;&gt;$AD21,IFERROR(VLOOKUP($H21,areaCercaPuntiClassificaSquadra,3,FALSE),-1)=IFERROR(VLOOKUP($AD21,areaCercaPuntiClassificaSquadra,3,FALSE),-2)),SUMIFS(Dati!$F$2:$F$451,Dati!$A$2:$A$451,$H21,Dati!$H$2:$H$451,$AD21)+SUMIFS(Dati!$M$2:$M$451,Dati!$H$2:$H$451,$H21,Dati!$A$2:$A$451,$AD21),"-")</f>
        <v/>
      </c>
      <c r="CA21" s="22">
        <f>IF(AND($H21&lt;&gt;"",$AE21&lt;&gt;"",$H21&lt;&gt;$AE21,IFERROR(VLOOKUP($H21,areaCercaPuntiClassificaSquadra,3,FALSE),-1)=IFERROR(VLOOKUP($AE21,areaCercaPuntiClassificaSquadra,3,FALSE),-2)),SUMIFS(Dati!$F$2:$F$451,Dati!$A$2:$A$451,$H21,Dati!$H$2:$H$451,$AE21)+SUMIFS(Dati!$M$2:$M$451,Dati!$H$2:$H$451,$H21,Dati!$A$2:$A$451,$AE21),"-")</f>
        <v/>
      </c>
      <c r="CB21" s="22">
        <f>IF(AND($H21&lt;&gt;"",$AF21&lt;&gt;"",$H21&lt;&gt;$AF21,IFERROR(VLOOKUP($H21,areaCercaPuntiClassificaSquadra,3,FALSE),-1)=IFERROR(VLOOKUP($AF21,areaCercaPuntiClassificaSquadra,3,FALSE),-2)),SUMIFS(Dati!$F$2:$F$451,Dati!$A$2:$A$451,$H21,Dati!$H$2:$H$451,$AF21)+SUMIFS(Dati!$M$2:$M$451,Dati!$H$2:$H$451,$H21,Dati!$A$2:$A$451,$AF21),"-")</f>
        <v/>
      </c>
      <c r="CC21" s="22">
        <f>IF(AND($H21&lt;&gt;"",$AG21&lt;&gt;"",$H21&lt;&gt;$AG21,IFERROR(VLOOKUP($H21,areaCercaPuntiClassificaSquadra,3,FALSE),-1)=IFERROR(VLOOKUP($AG21,areaCercaPuntiClassificaSquadra,3,FALSE),-2)),SUMIFS(Dati!$F$2:$F$451,Dati!$A$2:$A$451,$H21,Dati!$H$2:$H$451,$AG21)+SUMIFS(Dati!$M$2:$M$451,Dati!$H$2:$H$451,$H21,Dati!$A$2:$A$451,$AG21),"-")</f>
        <v/>
      </c>
      <c r="CD21" s="22">
        <f>IF(AND($H21&lt;&gt;"",$AH21&lt;&gt;"",$H21&lt;&gt;$AH21,IFERROR(VLOOKUP($H21,areaCercaPuntiClassificaSquadra,3,FALSE),-1)=IFERROR(VLOOKUP($AH21,areaCercaPuntiClassificaSquadra,3,FALSE),-2)),SUMIFS(Dati!$F$2:$F$451,Dati!$A$2:$A$451,$H21,Dati!$H$2:$H$451,$AH21)+SUMIFS(Dati!$M$2:$M$451,Dati!$H$2:$H$451,$H21,Dati!$A$2:$A$451,$AH21),"-")</f>
        <v/>
      </c>
      <c r="CF21" s="22">
        <f>IF($C21="","",SUM(AK21:AT21))</f>
        <v/>
      </c>
    </row>
    <row r="22">
      <c r="B22" s="12" t="inlineStr">
        <is>
          <t>A09</t>
        </is>
      </c>
      <c r="C22" s="13" t="n"/>
      <c r="D22" s="14" t="n"/>
      <c r="E22" s="15" t="inlineStr">
        <is>
          <t>A</t>
        </is>
      </c>
      <c r="G22" s="16">
        <f>IF($C22="","",$E22&amp;(COUNTIFS(I$14:I$113,"&gt;"&amp;I22,E$14:E$113,"="&amp;E22,C$14:C$113,"&lt;&gt;")+COUNTIFS(I$14:I$113,"="&amp;I22,H$14:H$113,"&lt;="&amp;H22,E$14:E$113,"="&amp;E22,C$14:C$113,"&lt;&gt;")))</f>
        <v/>
      </c>
      <c r="H22" s="17">
        <f>IF($C22="","",IFERROR(LEFT($C22,FIND("-",$C22)-1),$C22))</f>
        <v/>
      </c>
      <c r="I22" s="12">
        <f>TEXT(1000000000+J22,"|0000000000|")&amp;TEXT(SUM(AK22:AT22),"0000000000|")&amp;IF(SUM(BU22:CD22)=0,"0000000000|",TEXT(ROUND(SUM(BI22:BR22)/SUM(BU22:CD22),4)*100000,"0000000000|"))&amp;IF(P22=0,"0000000000|",TEXT(ROUND(O22/P22,4)*100000,"0000000000|"))</f>
        <v/>
      </c>
      <c r="J22" s="16">
        <f>L22*constPuntiVittoria+M22*constPuntiSconfitta+N22*constPuntiForfait+IF(D22="",0,D22)</f>
        <v/>
      </c>
      <c r="K22" s="12">
        <f>SUM(L22:N22)</f>
        <v/>
      </c>
      <c r="L22" s="12">
        <f>IF($H22="",0,SUMIF(Dati!$A$2:$A$451,$H22,Dati!$B$2:$B$451)+SUMIF(Dati!$H$2:$H$451,$H22,Dati!$I$2:$I$451))</f>
        <v/>
      </c>
      <c r="M22" s="12">
        <f>IF($H22="",0,SUMIF(Dati!$A$2:$A$451,$H22,Dati!$D$2:$D$451)+SUMIF(Dati!$H$2:$H$451,$H22,Dati!$K$2:$K$451))</f>
        <v/>
      </c>
      <c r="N22" s="12">
        <f>IF($H22="",0,SUMIF(Dati!$A$2:$A$451,$H22,Dati!$C$2:$C$451)+SUMIF(Dati!$H$2:$H$451,$H22,Dati!$J$2:$J$451))</f>
        <v/>
      </c>
      <c r="O22" s="12">
        <f>IF($H22="",0,SUMIF(Dati!$A$2:$A$451,$H22,Dati!$E$2:$E$451)+SUMIF(Dati!$H$2:$H$451,$H22,Dati!$L$2:$L$451))</f>
        <v/>
      </c>
      <c r="P22" s="12">
        <f>IF($H22="",0,SUMIF(Dati!$A$2:$A$451,$H22,Dati!$F$2:$F$451)+SUMIF(Dati!$H$2:$H$451,$H22,Dati!$M$2:$M$451))</f>
        <v/>
      </c>
      <c r="Q22" s="12">
        <f>IF($H22="",0,SUMIF(Dati!$A$2:$A$451,$H22,Dati!$G$2:$G$451)+SUMIF(Dati!$H$2:$H$451,$H22,Dati!$N$2:$N$451))</f>
        <v/>
      </c>
      <c r="R22" s="12">
        <f>IF(K22=0,0,ROUND(O22/K22,2))</f>
        <v/>
      </c>
      <c r="S22" s="12">
        <f>IF(K22=0,0,ROUND(P22/K22,2))</f>
        <v/>
      </c>
      <c r="T22" s="12">
        <f>IF(K22=0,0,ROUND(Q22/K22,2))</f>
        <v/>
      </c>
      <c r="U22" s="12">
        <f>IF(COUNTIFS($E$14:$E$113,$E22,$J$14:$J$113,$J22,$C$14:$C$113,"&lt;&gt;")&lt;=1,"-",SUM(AK22:AT22)&amp;"-"&amp;SUM(AW22:BF22))</f>
        <v/>
      </c>
      <c r="V22" s="18">
        <f>IF(COUNTIFS($E$14:$E$113,$E22,$J$14:$J$113,$J22,$C$14:$C$113,"&lt;&gt;",$CF$14:$CF$113,$CF22)&lt;=1,"-",IF(SUM(BU22:CD22)=0,0,ROUND(SUM(BI22:BR22)/SUM(BU22:CD22),3)))</f>
        <v/>
      </c>
      <c r="W22" s="18">
        <f>IF(COUNTIFS($E$14:$E$113,$E22,$J$14:$J$113,$J22,$C$14:$C$113,"&lt;&gt;",$CF$14:$CF$113,$CF22,$V$14:$V$113,$V22)&lt;=1,"-",IF(P22=0,0,ROUND(O22/P22,3)))</f>
        <v/>
      </c>
      <c r="X22" s="19">
        <f>IF($C22="","",$E22&amp;"#"&amp;COUNTIFS($E$14:$E22,$E22,$C$14:$C22,"&lt;&gt;"))</f>
        <v/>
      </c>
      <c r="Y22" s="20">
        <f>IFERROR(INDEX($H$14:$H$113,MATCH($E22&amp;"#1",$X$14:$X$113,0)),"")</f>
        <v/>
      </c>
      <c r="Z22" s="20">
        <f>IFERROR(INDEX($H$14:$H$113,MATCH($E22&amp;"#2",$X$14:$X$113,0)),"")</f>
        <v/>
      </c>
      <c r="AA22" s="20">
        <f>IFERROR(INDEX($H$14:$H$113,MATCH($E22&amp;"#3",$X$14:$X$113,0)),"")</f>
        <v/>
      </c>
      <c r="AB22" s="20">
        <f>IFERROR(INDEX($H$14:$H$113,MATCH($E22&amp;"#4",$X$14:$X$113,0)),"")</f>
        <v/>
      </c>
      <c r="AC22" s="20">
        <f>IFERROR(INDEX($H$14:$H$113,MATCH($E22&amp;"#5",$X$14:$X$113,0)),"")</f>
        <v/>
      </c>
      <c r="AD22" s="20">
        <f>IFERROR(INDEX($H$14:$H$113,MATCH($E22&amp;"#6",$X$14:$X$113,0)),"")</f>
        <v/>
      </c>
      <c r="AE22" s="20">
        <f>IFERROR(INDEX($H$14:$H$113,MATCH($E22&amp;"#7",$X$14:$X$113,0)),"")</f>
        <v/>
      </c>
      <c r="AF22" s="20">
        <f>IFERROR(INDEX($H$14:$H$113,MATCH($E22&amp;"#8",$X$14:$X$113,0)),"")</f>
        <v/>
      </c>
      <c r="AG22" s="20">
        <f>IFERROR(INDEX($H$14:$H$113,MATCH($E22&amp;"#9",$X$14:$X$113,0)),"")</f>
        <v/>
      </c>
      <c r="AH22" s="20">
        <f>IFERROR(INDEX($H$14:$H$113,MATCH($E22&amp;"#10",$X$14:$X$113,0)),"")</f>
        <v/>
      </c>
      <c r="AJ22" s="21">
        <f>$C22</f>
        <v/>
      </c>
      <c r="AK22" s="22">
        <f>IF(AND($H22&lt;&gt;"",$Y22&lt;&gt;"",$H22&lt;&gt;$Y22,IFERROR(VLOOKUP($H22,areaCercaPuntiClassificaSquadra,3,FALSE),-1)=IFERROR(VLOOKUP($Y22,areaCercaPuntiClassificaSquadra,3,FALSE),-2)),SUMIFS(Dati!$B$2:$B$451,Dati!$A$2:$A$451,$H22,Dati!$H$2:$H$451,$Y22)+SUMIFS(Dati!$I$2:$I$451,Dati!$H$2:$H$451,$H22,Dati!$A$2:$A$451,$Y22),"-")</f>
        <v/>
      </c>
      <c r="AL22" s="22">
        <f>IF(AND($H22&lt;&gt;"",$Z22&lt;&gt;"",$H22&lt;&gt;$Z22,IFERROR(VLOOKUP($H22,areaCercaPuntiClassificaSquadra,3,FALSE),-1)=IFERROR(VLOOKUP($Z22,areaCercaPuntiClassificaSquadra,3,FALSE),-2)),SUMIFS(Dati!$B$2:$B$451,Dati!$A$2:$A$451,$H22,Dati!$H$2:$H$451,$Z22)+SUMIFS(Dati!$I$2:$I$451,Dati!$H$2:$H$451,$H22,Dati!$A$2:$A$451,$Z22),"-")</f>
        <v/>
      </c>
      <c r="AM22" s="22">
        <f>IF(AND($H22&lt;&gt;"",$AA22&lt;&gt;"",$H22&lt;&gt;$AA22,IFERROR(VLOOKUP($H22,areaCercaPuntiClassificaSquadra,3,FALSE),-1)=IFERROR(VLOOKUP($AA22,areaCercaPuntiClassificaSquadra,3,FALSE),-2)),SUMIFS(Dati!$B$2:$B$451,Dati!$A$2:$A$451,$H22,Dati!$H$2:$H$451,$AA22)+SUMIFS(Dati!$I$2:$I$451,Dati!$H$2:$H$451,$H22,Dati!$A$2:$A$451,$AA22),"-")</f>
        <v/>
      </c>
      <c r="AN22" s="22">
        <f>IF(AND($H22&lt;&gt;"",$AB22&lt;&gt;"",$H22&lt;&gt;$AB22,IFERROR(VLOOKUP($H22,areaCercaPuntiClassificaSquadra,3,FALSE),-1)=IFERROR(VLOOKUP($AB22,areaCercaPuntiClassificaSquadra,3,FALSE),-2)),SUMIFS(Dati!$B$2:$B$451,Dati!$A$2:$A$451,$H22,Dati!$H$2:$H$451,$AB22)+SUMIFS(Dati!$I$2:$I$451,Dati!$H$2:$H$451,$H22,Dati!$A$2:$A$451,$AB22),"-")</f>
        <v/>
      </c>
      <c r="AO22" s="22">
        <f>IF(AND($H22&lt;&gt;"",$AC22&lt;&gt;"",$H22&lt;&gt;$AC22,IFERROR(VLOOKUP($H22,areaCercaPuntiClassificaSquadra,3,FALSE),-1)=IFERROR(VLOOKUP($AC22,areaCercaPuntiClassificaSquadra,3,FALSE),-2)),SUMIFS(Dati!$B$2:$B$451,Dati!$A$2:$A$451,$H22,Dati!$H$2:$H$451,$AC22)+SUMIFS(Dati!$I$2:$I$451,Dati!$H$2:$H$451,$H22,Dati!$A$2:$A$451,$AC22),"-")</f>
        <v/>
      </c>
      <c r="AP22" s="22">
        <f>IF(AND($H22&lt;&gt;"",$AD22&lt;&gt;"",$H22&lt;&gt;$AD22,IFERROR(VLOOKUP($H22,areaCercaPuntiClassificaSquadra,3,FALSE),-1)=IFERROR(VLOOKUP($AD22,areaCercaPuntiClassificaSquadra,3,FALSE),-2)),SUMIFS(Dati!$B$2:$B$451,Dati!$A$2:$A$451,$H22,Dati!$H$2:$H$451,$AD22)+SUMIFS(Dati!$I$2:$I$451,Dati!$H$2:$H$451,$H22,Dati!$A$2:$A$451,$AD22),"-")</f>
        <v/>
      </c>
      <c r="AQ22" s="22">
        <f>IF(AND($H22&lt;&gt;"",$AE22&lt;&gt;"",$H22&lt;&gt;$AE22,IFERROR(VLOOKUP($H22,areaCercaPuntiClassificaSquadra,3,FALSE),-1)=IFERROR(VLOOKUP($AE22,areaCercaPuntiClassificaSquadra,3,FALSE),-2)),SUMIFS(Dati!$B$2:$B$451,Dati!$A$2:$A$451,$H22,Dati!$H$2:$H$451,$AE22)+SUMIFS(Dati!$I$2:$I$451,Dati!$H$2:$H$451,$H22,Dati!$A$2:$A$451,$AE22),"-")</f>
        <v/>
      </c>
      <c r="AR22" s="22">
        <f>IF(AND($H22&lt;&gt;"",$AF22&lt;&gt;"",$H22&lt;&gt;$AF22,IFERROR(VLOOKUP($H22,areaCercaPuntiClassificaSquadra,3,FALSE),-1)=IFERROR(VLOOKUP($AF22,areaCercaPuntiClassificaSquadra,3,FALSE),-2)),SUMIFS(Dati!$B$2:$B$451,Dati!$A$2:$A$451,$H22,Dati!$H$2:$H$451,$AF22)+SUMIFS(Dati!$I$2:$I$451,Dati!$H$2:$H$451,$H22,Dati!$A$2:$A$451,$AF22),"-")</f>
        <v/>
      </c>
      <c r="AS22" s="22">
        <f>IF(AND($H22&lt;&gt;"",$AG22&lt;&gt;"",$H22&lt;&gt;$AG22,IFERROR(VLOOKUP($H22,areaCercaPuntiClassificaSquadra,3,FALSE),-1)=IFERROR(VLOOKUP($AG22,areaCercaPuntiClassificaSquadra,3,FALSE),-2)),SUMIFS(Dati!$B$2:$B$451,Dati!$A$2:$A$451,$H22,Dati!$H$2:$H$451,$AG22)+SUMIFS(Dati!$I$2:$I$451,Dati!$H$2:$H$451,$H22,Dati!$A$2:$A$451,$AG22),"-")</f>
        <v/>
      </c>
      <c r="AT22" s="22">
        <f>IF(AND($H22&lt;&gt;"",$AH22&lt;&gt;"",$H22&lt;&gt;$AH22,IFERROR(VLOOKUP($H22,areaCercaPuntiClassificaSquadra,3,FALSE),-1)=IFERROR(VLOOKUP($AH22,areaCercaPuntiClassificaSquadra,3,FALSE),-2)),SUMIFS(Dati!$B$2:$B$451,Dati!$A$2:$A$451,$H22,Dati!$H$2:$H$451,$AH22)+SUMIFS(Dati!$I$2:$I$451,Dati!$H$2:$H$451,$H22,Dati!$A$2:$A$451,$AH22),"-")</f>
        <v/>
      </c>
      <c r="AV22" s="21">
        <f>$C22</f>
        <v/>
      </c>
      <c r="AW22" s="22">
        <f>IF(AND($H22&lt;&gt;"",$Y22&lt;&gt;"",$H22&lt;&gt;$Y22,IFERROR(VLOOKUP($H22,areaCercaPuntiClassificaSquadra,3,FALSE),-1)=IFERROR(VLOOKUP($Y22,areaCercaPuntiClassificaSquadra,3,FALSE),-2)),SUMIFS(Dati!$D$2:$D$451,Dati!$A$2:$A$451,$H22,Dati!$H$2:$H$451,$Y22)+SUMIFS(Dati!$K$2:$K$451,Dati!$H$2:$H$451,$H22,Dati!$A$2:$A$451,$Y22)+SUMIFS(Dati!$C$2:$C$451,Dati!$A$2:$A$451,$H22,Dati!$H$2:$H$451,$Y22)+SUMIFS(Dati!$J$2:$J$451,Dati!$H$2:$H$451,$H22,Dati!$A$2:$A$451,$Y22),"-")</f>
        <v/>
      </c>
      <c r="AX22" s="22">
        <f>IF(AND($H22&lt;&gt;"",$Z22&lt;&gt;"",$H22&lt;&gt;$Z22,IFERROR(VLOOKUP($H22,areaCercaPuntiClassificaSquadra,3,FALSE),-1)=IFERROR(VLOOKUP($Z22,areaCercaPuntiClassificaSquadra,3,FALSE),-2)),SUMIFS(Dati!$D$2:$D$451,Dati!$A$2:$A$451,$H22,Dati!$H$2:$H$451,$Z22)+SUMIFS(Dati!$K$2:$K$451,Dati!$H$2:$H$451,$H22,Dati!$A$2:$A$451,$Z22)+SUMIFS(Dati!$C$2:$C$451,Dati!$A$2:$A$451,$H22,Dati!$H$2:$H$451,$Z22)+SUMIFS(Dati!$J$2:$J$451,Dati!$H$2:$H$451,$H22,Dati!$A$2:$A$451,$Z22),"-")</f>
        <v/>
      </c>
      <c r="AY22" s="22">
        <f>IF(AND($H22&lt;&gt;"",$AA22&lt;&gt;"",$H22&lt;&gt;$AA22,IFERROR(VLOOKUP($H22,areaCercaPuntiClassificaSquadra,3,FALSE),-1)=IFERROR(VLOOKUP($AA22,areaCercaPuntiClassificaSquadra,3,FALSE),-2)),SUMIFS(Dati!$D$2:$D$451,Dati!$A$2:$A$451,$H22,Dati!$H$2:$H$451,$AA22)+SUMIFS(Dati!$K$2:$K$451,Dati!$H$2:$H$451,$H22,Dati!$A$2:$A$451,$AA22)+SUMIFS(Dati!$C$2:$C$451,Dati!$A$2:$A$451,$H22,Dati!$H$2:$H$451,$AA22)+SUMIFS(Dati!$J$2:$J$451,Dati!$H$2:$H$451,$H22,Dati!$A$2:$A$451,$AA22),"-")</f>
        <v/>
      </c>
      <c r="AZ22" s="22">
        <f>IF(AND($H22&lt;&gt;"",$AB22&lt;&gt;"",$H22&lt;&gt;$AB22,IFERROR(VLOOKUP($H22,areaCercaPuntiClassificaSquadra,3,FALSE),-1)=IFERROR(VLOOKUP($AB22,areaCercaPuntiClassificaSquadra,3,FALSE),-2)),SUMIFS(Dati!$D$2:$D$451,Dati!$A$2:$A$451,$H22,Dati!$H$2:$H$451,$AB22)+SUMIFS(Dati!$K$2:$K$451,Dati!$H$2:$H$451,$H22,Dati!$A$2:$A$451,$AB22)+SUMIFS(Dati!$C$2:$C$451,Dati!$A$2:$A$451,$H22,Dati!$H$2:$H$451,$AB22)+SUMIFS(Dati!$J$2:$J$451,Dati!$H$2:$H$451,$H22,Dati!$A$2:$A$451,$AB22),"-")</f>
        <v/>
      </c>
      <c r="BA22" s="22">
        <f>IF(AND($H22&lt;&gt;"",$AC22&lt;&gt;"",$H22&lt;&gt;$AC22,IFERROR(VLOOKUP($H22,areaCercaPuntiClassificaSquadra,3,FALSE),-1)=IFERROR(VLOOKUP($AC22,areaCercaPuntiClassificaSquadra,3,FALSE),-2)),SUMIFS(Dati!$D$2:$D$451,Dati!$A$2:$A$451,$H22,Dati!$H$2:$H$451,$AC22)+SUMIFS(Dati!$K$2:$K$451,Dati!$H$2:$H$451,$H22,Dati!$A$2:$A$451,$AC22)+SUMIFS(Dati!$C$2:$C$451,Dati!$A$2:$A$451,$H22,Dati!$H$2:$H$451,$AC22)+SUMIFS(Dati!$J$2:$J$451,Dati!$H$2:$H$451,$H22,Dati!$A$2:$A$451,$AC22),"-")</f>
        <v/>
      </c>
      <c r="BB22" s="22">
        <f>IF(AND($H22&lt;&gt;"",$AD22&lt;&gt;"",$H22&lt;&gt;$AD22,IFERROR(VLOOKUP($H22,areaCercaPuntiClassificaSquadra,3,FALSE),-1)=IFERROR(VLOOKUP($AD22,areaCercaPuntiClassificaSquadra,3,FALSE),-2)),SUMIFS(Dati!$D$2:$D$451,Dati!$A$2:$A$451,$H22,Dati!$H$2:$H$451,$AD22)+SUMIFS(Dati!$K$2:$K$451,Dati!$H$2:$H$451,$H22,Dati!$A$2:$A$451,$AD22)+SUMIFS(Dati!$C$2:$C$451,Dati!$A$2:$A$451,$H22,Dati!$H$2:$H$451,$AD22)+SUMIFS(Dati!$J$2:$J$451,Dati!$H$2:$H$451,$H22,Dati!$A$2:$A$451,$AD22),"-")</f>
        <v/>
      </c>
      <c r="BC22" s="22">
        <f>IF(AND($H22&lt;&gt;"",$AE22&lt;&gt;"",$H22&lt;&gt;$AE22,IFERROR(VLOOKUP($H22,areaCercaPuntiClassificaSquadra,3,FALSE),-1)=IFERROR(VLOOKUP($AE22,areaCercaPuntiClassificaSquadra,3,FALSE),-2)),SUMIFS(Dati!$D$2:$D$451,Dati!$A$2:$A$451,$H22,Dati!$H$2:$H$451,$AE22)+SUMIFS(Dati!$K$2:$K$451,Dati!$H$2:$H$451,$H22,Dati!$A$2:$A$451,$AE22)+SUMIFS(Dati!$C$2:$C$451,Dati!$A$2:$A$451,$H22,Dati!$H$2:$H$451,$AE22)+SUMIFS(Dati!$J$2:$J$451,Dati!$H$2:$H$451,$H22,Dati!$A$2:$A$451,$AE22),"-")</f>
        <v/>
      </c>
      <c r="BD22" s="22">
        <f>IF(AND($H22&lt;&gt;"",$AF22&lt;&gt;"",$H22&lt;&gt;$AF22,IFERROR(VLOOKUP($H22,areaCercaPuntiClassificaSquadra,3,FALSE),-1)=IFERROR(VLOOKUP($AF22,areaCercaPuntiClassificaSquadra,3,FALSE),-2)),SUMIFS(Dati!$D$2:$D$451,Dati!$A$2:$A$451,$H22,Dati!$H$2:$H$451,$AF22)+SUMIFS(Dati!$K$2:$K$451,Dati!$H$2:$H$451,$H22,Dati!$A$2:$A$451,$AF22)+SUMIFS(Dati!$C$2:$C$451,Dati!$A$2:$A$451,$H22,Dati!$H$2:$H$451,$AF22)+SUMIFS(Dati!$J$2:$J$451,Dati!$H$2:$H$451,$H22,Dati!$A$2:$A$451,$AF22),"-")</f>
        <v/>
      </c>
      <c r="BE22" s="22">
        <f>IF(AND($H22&lt;&gt;"",$AG22&lt;&gt;"",$H22&lt;&gt;$AG22,IFERROR(VLOOKUP($H22,areaCercaPuntiClassificaSquadra,3,FALSE),-1)=IFERROR(VLOOKUP($AG22,areaCercaPuntiClassificaSquadra,3,FALSE),-2)),SUMIFS(Dati!$D$2:$D$451,Dati!$A$2:$A$451,$H22,Dati!$H$2:$H$451,$AG22)+SUMIFS(Dati!$K$2:$K$451,Dati!$H$2:$H$451,$H22,Dati!$A$2:$A$451,$AG22)+SUMIFS(Dati!$C$2:$C$451,Dati!$A$2:$A$451,$H22,Dati!$H$2:$H$451,$AG22)+SUMIFS(Dati!$J$2:$J$451,Dati!$H$2:$H$451,$H22,Dati!$A$2:$A$451,$AG22),"-")</f>
        <v/>
      </c>
      <c r="BF22" s="22">
        <f>IF(AND($H22&lt;&gt;"",$AH22&lt;&gt;"",$H22&lt;&gt;$AH22,IFERROR(VLOOKUP($H22,areaCercaPuntiClassificaSquadra,3,FALSE),-1)=IFERROR(VLOOKUP($AH22,areaCercaPuntiClassificaSquadra,3,FALSE),-2)),SUMIFS(Dati!$D$2:$D$451,Dati!$A$2:$A$451,$H22,Dati!$H$2:$H$451,$AH22)+SUMIFS(Dati!$K$2:$K$451,Dati!$H$2:$H$451,$H22,Dati!$A$2:$A$451,$AH22)+SUMIFS(Dati!$C$2:$C$451,Dati!$A$2:$A$451,$H22,Dati!$H$2:$H$451,$AH22)+SUMIFS(Dati!$J$2:$J$451,Dati!$H$2:$H$451,$H22,Dati!$A$2:$A$451,$AH22),"-")</f>
        <v/>
      </c>
      <c r="BH22" s="21">
        <f>$C22</f>
        <v/>
      </c>
      <c r="BI22" s="22">
        <f>IF(AND($H22&lt;&gt;"",$Y22&lt;&gt;"",$H22&lt;&gt;$Y22,IFERROR(VLOOKUP($H22,areaCercaPuntiClassificaSquadra,3,FALSE),-1)=IFERROR(VLOOKUP($Y22,areaCercaPuntiClassificaSquadra,3,FALSE),-2)),SUMIFS(Dati!$E$2:$E$451,Dati!$A$2:$A$451,$H22,Dati!$H$2:$H$451,$Y22)+SUMIFS(Dati!$L$2:$L$451,Dati!$H$2:$H$451,$H22,Dati!$A$2:$A$451,$Y22),"-")</f>
        <v/>
      </c>
      <c r="BJ22" s="22">
        <f>IF(AND($H22&lt;&gt;"",$Z22&lt;&gt;"",$H22&lt;&gt;$Z22,IFERROR(VLOOKUP($H22,areaCercaPuntiClassificaSquadra,3,FALSE),-1)=IFERROR(VLOOKUP($Z22,areaCercaPuntiClassificaSquadra,3,FALSE),-2)),SUMIFS(Dati!$E$2:$E$451,Dati!$A$2:$A$451,$H22,Dati!$H$2:$H$451,$Z22)+SUMIFS(Dati!$L$2:$L$451,Dati!$H$2:$H$451,$H22,Dati!$A$2:$A$451,$Z22),"-")</f>
        <v/>
      </c>
      <c r="BK22" s="22">
        <f>IF(AND($H22&lt;&gt;"",$AA22&lt;&gt;"",$H22&lt;&gt;$AA22,IFERROR(VLOOKUP($H22,areaCercaPuntiClassificaSquadra,3,FALSE),-1)=IFERROR(VLOOKUP($AA22,areaCercaPuntiClassificaSquadra,3,FALSE),-2)),SUMIFS(Dati!$E$2:$E$451,Dati!$A$2:$A$451,$H22,Dati!$H$2:$H$451,$AA22)+SUMIFS(Dati!$L$2:$L$451,Dati!$H$2:$H$451,$H22,Dati!$A$2:$A$451,$AA22),"-")</f>
        <v/>
      </c>
      <c r="BL22" s="22">
        <f>IF(AND($H22&lt;&gt;"",$AB22&lt;&gt;"",$H22&lt;&gt;$AB22,IFERROR(VLOOKUP($H22,areaCercaPuntiClassificaSquadra,3,FALSE),-1)=IFERROR(VLOOKUP($AB22,areaCercaPuntiClassificaSquadra,3,FALSE),-2)),SUMIFS(Dati!$E$2:$E$451,Dati!$A$2:$A$451,$H22,Dati!$H$2:$H$451,$AB22)+SUMIFS(Dati!$L$2:$L$451,Dati!$H$2:$H$451,$H22,Dati!$A$2:$A$451,$AB22),"-")</f>
        <v/>
      </c>
      <c r="BM22" s="22">
        <f>IF(AND($H22&lt;&gt;"",$AC22&lt;&gt;"",$H22&lt;&gt;$AC22,IFERROR(VLOOKUP($H22,areaCercaPuntiClassificaSquadra,3,FALSE),-1)=IFERROR(VLOOKUP($AC22,areaCercaPuntiClassificaSquadra,3,FALSE),-2)),SUMIFS(Dati!$E$2:$E$451,Dati!$A$2:$A$451,$H22,Dati!$H$2:$H$451,$AC22)+SUMIFS(Dati!$L$2:$L$451,Dati!$H$2:$H$451,$H22,Dati!$A$2:$A$451,$AC22),"-")</f>
        <v/>
      </c>
      <c r="BN22" s="22">
        <f>IF(AND($H22&lt;&gt;"",$AD22&lt;&gt;"",$H22&lt;&gt;$AD22,IFERROR(VLOOKUP($H22,areaCercaPuntiClassificaSquadra,3,FALSE),-1)=IFERROR(VLOOKUP($AD22,areaCercaPuntiClassificaSquadra,3,FALSE),-2)),SUMIFS(Dati!$E$2:$E$451,Dati!$A$2:$A$451,$H22,Dati!$H$2:$H$451,$AD22)+SUMIFS(Dati!$L$2:$L$451,Dati!$H$2:$H$451,$H22,Dati!$A$2:$A$451,$AD22),"-")</f>
        <v/>
      </c>
      <c r="BO22" s="22">
        <f>IF(AND($H22&lt;&gt;"",$AE22&lt;&gt;"",$H22&lt;&gt;$AE22,IFERROR(VLOOKUP($H22,areaCercaPuntiClassificaSquadra,3,FALSE),-1)=IFERROR(VLOOKUP($AE22,areaCercaPuntiClassificaSquadra,3,FALSE),-2)),SUMIFS(Dati!$E$2:$E$451,Dati!$A$2:$A$451,$H22,Dati!$H$2:$H$451,$AE22)+SUMIFS(Dati!$L$2:$L$451,Dati!$H$2:$H$451,$H22,Dati!$A$2:$A$451,$AE22),"-")</f>
        <v/>
      </c>
      <c r="BP22" s="22">
        <f>IF(AND($H22&lt;&gt;"",$AF22&lt;&gt;"",$H22&lt;&gt;$AF22,IFERROR(VLOOKUP($H22,areaCercaPuntiClassificaSquadra,3,FALSE),-1)=IFERROR(VLOOKUP($AF22,areaCercaPuntiClassificaSquadra,3,FALSE),-2)),SUMIFS(Dati!$E$2:$E$451,Dati!$A$2:$A$451,$H22,Dati!$H$2:$H$451,$AF22)+SUMIFS(Dati!$L$2:$L$451,Dati!$H$2:$H$451,$H22,Dati!$A$2:$A$451,$AF22),"-")</f>
        <v/>
      </c>
      <c r="BQ22" s="22">
        <f>IF(AND($H22&lt;&gt;"",$AG22&lt;&gt;"",$H22&lt;&gt;$AG22,IFERROR(VLOOKUP($H22,areaCercaPuntiClassificaSquadra,3,FALSE),-1)=IFERROR(VLOOKUP($AG22,areaCercaPuntiClassificaSquadra,3,FALSE),-2)),SUMIFS(Dati!$E$2:$E$451,Dati!$A$2:$A$451,$H22,Dati!$H$2:$H$451,$AG22)+SUMIFS(Dati!$L$2:$L$451,Dati!$H$2:$H$451,$H22,Dati!$A$2:$A$451,$AG22),"-")</f>
        <v/>
      </c>
      <c r="BR22" s="22">
        <f>IF(AND($H22&lt;&gt;"",$AH22&lt;&gt;"",$H22&lt;&gt;$AH22,IFERROR(VLOOKUP($H22,areaCercaPuntiClassificaSquadra,3,FALSE),-1)=IFERROR(VLOOKUP($AH22,areaCercaPuntiClassificaSquadra,3,FALSE),-2)),SUMIFS(Dati!$E$2:$E$451,Dati!$A$2:$A$451,$H22,Dati!$H$2:$H$451,$AH22)+SUMIFS(Dati!$L$2:$L$451,Dati!$H$2:$H$451,$H22,Dati!$A$2:$A$451,$AH22),"-")</f>
        <v/>
      </c>
      <c r="BT22" s="21">
        <f>$C22</f>
        <v/>
      </c>
      <c r="BU22" s="22">
        <f>IF(AND($H22&lt;&gt;"",$Y22&lt;&gt;"",$H22&lt;&gt;$Y22,IFERROR(VLOOKUP($H22,areaCercaPuntiClassificaSquadra,3,FALSE),-1)=IFERROR(VLOOKUP($Y22,areaCercaPuntiClassificaSquadra,3,FALSE),-2)),SUMIFS(Dati!$F$2:$F$451,Dati!$A$2:$A$451,$H22,Dati!$H$2:$H$451,$Y22)+SUMIFS(Dati!$M$2:$M$451,Dati!$H$2:$H$451,$H22,Dati!$A$2:$A$451,$Y22),"-")</f>
        <v/>
      </c>
      <c r="BV22" s="22">
        <f>IF(AND($H22&lt;&gt;"",$Z22&lt;&gt;"",$H22&lt;&gt;$Z22,IFERROR(VLOOKUP($H22,areaCercaPuntiClassificaSquadra,3,FALSE),-1)=IFERROR(VLOOKUP($Z22,areaCercaPuntiClassificaSquadra,3,FALSE),-2)),SUMIFS(Dati!$F$2:$F$451,Dati!$A$2:$A$451,$H22,Dati!$H$2:$H$451,$Z22)+SUMIFS(Dati!$M$2:$M$451,Dati!$H$2:$H$451,$H22,Dati!$A$2:$A$451,$Z22),"-")</f>
        <v/>
      </c>
      <c r="BW22" s="22">
        <f>IF(AND($H22&lt;&gt;"",$AA22&lt;&gt;"",$H22&lt;&gt;$AA22,IFERROR(VLOOKUP($H22,areaCercaPuntiClassificaSquadra,3,FALSE),-1)=IFERROR(VLOOKUP($AA22,areaCercaPuntiClassificaSquadra,3,FALSE),-2)),SUMIFS(Dati!$F$2:$F$451,Dati!$A$2:$A$451,$H22,Dati!$H$2:$H$451,$AA22)+SUMIFS(Dati!$M$2:$M$451,Dati!$H$2:$H$451,$H22,Dati!$A$2:$A$451,$AA22),"-")</f>
        <v/>
      </c>
      <c r="BX22" s="22">
        <f>IF(AND($H22&lt;&gt;"",$AB22&lt;&gt;"",$H22&lt;&gt;$AB22,IFERROR(VLOOKUP($H22,areaCercaPuntiClassificaSquadra,3,FALSE),-1)=IFERROR(VLOOKUP($AB22,areaCercaPuntiClassificaSquadra,3,FALSE),-2)),SUMIFS(Dati!$F$2:$F$451,Dati!$A$2:$A$451,$H22,Dati!$H$2:$H$451,$AB22)+SUMIFS(Dati!$M$2:$M$451,Dati!$H$2:$H$451,$H22,Dati!$A$2:$A$451,$AB22),"-")</f>
        <v/>
      </c>
      <c r="BY22" s="22">
        <f>IF(AND($H22&lt;&gt;"",$AC22&lt;&gt;"",$H22&lt;&gt;$AC22,IFERROR(VLOOKUP($H22,areaCercaPuntiClassificaSquadra,3,FALSE),-1)=IFERROR(VLOOKUP($AC22,areaCercaPuntiClassificaSquadra,3,FALSE),-2)),SUMIFS(Dati!$F$2:$F$451,Dati!$A$2:$A$451,$H22,Dati!$H$2:$H$451,$AC22)+SUMIFS(Dati!$M$2:$M$451,Dati!$H$2:$H$451,$H22,Dati!$A$2:$A$451,$AC22),"-")</f>
        <v/>
      </c>
      <c r="BZ22" s="22">
        <f>IF(AND($H22&lt;&gt;"",$AD22&lt;&gt;"",$H22&lt;&gt;$AD22,IFERROR(VLOOKUP($H22,areaCercaPuntiClassificaSquadra,3,FALSE),-1)=IFERROR(VLOOKUP($AD22,areaCercaPuntiClassificaSquadra,3,FALSE),-2)),SUMIFS(Dati!$F$2:$F$451,Dati!$A$2:$A$451,$H22,Dati!$H$2:$H$451,$AD22)+SUMIFS(Dati!$M$2:$M$451,Dati!$H$2:$H$451,$H22,Dati!$A$2:$A$451,$AD22),"-")</f>
        <v/>
      </c>
      <c r="CA22" s="22">
        <f>IF(AND($H22&lt;&gt;"",$AE22&lt;&gt;"",$H22&lt;&gt;$AE22,IFERROR(VLOOKUP($H22,areaCercaPuntiClassificaSquadra,3,FALSE),-1)=IFERROR(VLOOKUP($AE22,areaCercaPuntiClassificaSquadra,3,FALSE),-2)),SUMIFS(Dati!$F$2:$F$451,Dati!$A$2:$A$451,$H22,Dati!$H$2:$H$451,$AE22)+SUMIFS(Dati!$M$2:$M$451,Dati!$H$2:$H$451,$H22,Dati!$A$2:$A$451,$AE22),"-")</f>
        <v/>
      </c>
      <c r="CB22" s="22">
        <f>IF(AND($H22&lt;&gt;"",$AF22&lt;&gt;"",$H22&lt;&gt;$AF22,IFERROR(VLOOKUP($H22,areaCercaPuntiClassificaSquadra,3,FALSE),-1)=IFERROR(VLOOKUP($AF22,areaCercaPuntiClassificaSquadra,3,FALSE),-2)),SUMIFS(Dati!$F$2:$F$451,Dati!$A$2:$A$451,$H22,Dati!$H$2:$H$451,$AF22)+SUMIFS(Dati!$M$2:$M$451,Dati!$H$2:$H$451,$H22,Dati!$A$2:$A$451,$AF22),"-")</f>
        <v/>
      </c>
      <c r="CC22" s="22">
        <f>IF(AND($H22&lt;&gt;"",$AG22&lt;&gt;"",$H22&lt;&gt;$AG22,IFERROR(VLOOKUP($H22,areaCercaPuntiClassificaSquadra,3,FALSE),-1)=IFERROR(VLOOKUP($AG22,areaCercaPuntiClassificaSquadra,3,FALSE),-2)),SUMIFS(Dati!$F$2:$F$451,Dati!$A$2:$A$451,$H22,Dati!$H$2:$H$451,$AG22)+SUMIFS(Dati!$M$2:$M$451,Dati!$H$2:$H$451,$H22,Dati!$A$2:$A$451,$AG22),"-")</f>
        <v/>
      </c>
      <c r="CD22" s="22">
        <f>IF(AND($H22&lt;&gt;"",$AH22&lt;&gt;"",$H22&lt;&gt;$AH22,IFERROR(VLOOKUP($H22,areaCercaPuntiClassificaSquadra,3,FALSE),-1)=IFERROR(VLOOKUP($AH22,areaCercaPuntiClassificaSquadra,3,FALSE),-2)),SUMIFS(Dati!$F$2:$F$451,Dati!$A$2:$A$451,$H22,Dati!$H$2:$H$451,$AH22)+SUMIFS(Dati!$M$2:$M$451,Dati!$H$2:$H$451,$H22,Dati!$A$2:$A$451,$AH22),"-")</f>
        <v/>
      </c>
      <c r="CF22" s="22">
        <f>IF($C22="","",SUM(AK22:AT22))</f>
        <v/>
      </c>
    </row>
    <row r="23">
      <c r="B23" s="12" t="inlineStr">
        <is>
          <t>A10</t>
        </is>
      </c>
      <c r="C23" s="13" t="n"/>
      <c r="D23" s="14" t="n"/>
      <c r="E23" s="15" t="inlineStr">
        <is>
          <t>A</t>
        </is>
      </c>
      <c r="G23" s="16">
        <f>IF($C23="","",$E23&amp;(COUNTIFS(I$14:I$113,"&gt;"&amp;I23,E$14:E$113,"="&amp;E23,C$14:C$113,"&lt;&gt;")+COUNTIFS(I$14:I$113,"="&amp;I23,H$14:H$113,"&lt;="&amp;H23,E$14:E$113,"="&amp;E23,C$14:C$113,"&lt;&gt;")))</f>
        <v/>
      </c>
      <c r="H23" s="17">
        <f>IF($C23="","",IFERROR(LEFT($C23,FIND("-",$C23)-1),$C23))</f>
        <v/>
      </c>
      <c r="I23" s="12">
        <f>TEXT(1000000000+J23,"|0000000000|")&amp;TEXT(SUM(AK23:AT23),"0000000000|")&amp;IF(SUM(BU23:CD23)=0,"0000000000|",TEXT(ROUND(SUM(BI23:BR23)/SUM(BU23:CD23),4)*100000,"0000000000|"))&amp;IF(P23=0,"0000000000|",TEXT(ROUND(O23/P23,4)*100000,"0000000000|"))</f>
        <v/>
      </c>
      <c r="J23" s="16">
        <f>L23*constPuntiVittoria+M23*constPuntiSconfitta+N23*constPuntiForfait+IF(D23="",0,D23)</f>
        <v/>
      </c>
      <c r="K23" s="12">
        <f>SUM(L23:N23)</f>
        <v/>
      </c>
      <c r="L23" s="12">
        <f>IF($H23="",0,SUMIF(Dati!$A$2:$A$451,$H23,Dati!$B$2:$B$451)+SUMIF(Dati!$H$2:$H$451,$H23,Dati!$I$2:$I$451))</f>
        <v/>
      </c>
      <c r="M23" s="12">
        <f>IF($H23="",0,SUMIF(Dati!$A$2:$A$451,$H23,Dati!$D$2:$D$451)+SUMIF(Dati!$H$2:$H$451,$H23,Dati!$K$2:$K$451))</f>
        <v/>
      </c>
      <c r="N23" s="12">
        <f>IF($H23="",0,SUMIF(Dati!$A$2:$A$451,$H23,Dati!$C$2:$C$451)+SUMIF(Dati!$H$2:$H$451,$H23,Dati!$J$2:$J$451))</f>
        <v/>
      </c>
      <c r="O23" s="12">
        <f>IF($H23="",0,SUMIF(Dati!$A$2:$A$451,$H23,Dati!$E$2:$E$451)+SUMIF(Dati!$H$2:$H$451,$H23,Dati!$L$2:$L$451))</f>
        <v/>
      </c>
      <c r="P23" s="12">
        <f>IF($H23="",0,SUMIF(Dati!$A$2:$A$451,$H23,Dati!$F$2:$F$451)+SUMIF(Dati!$H$2:$H$451,$H23,Dati!$M$2:$M$451))</f>
        <v/>
      </c>
      <c r="Q23" s="12">
        <f>IF($H23="",0,SUMIF(Dati!$A$2:$A$451,$H23,Dati!$G$2:$G$451)+SUMIF(Dati!$H$2:$H$451,$H23,Dati!$N$2:$N$451))</f>
        <v/>
      </c>
      <c r="R23" s="12">
        <f>IF(K23=0,0,ROUND(O23/K23,2))</f>
        <v/>
      </c>
      <c r="S23" s="12">
        <f>IF(K23=0,0,ROUND(P23/K23,2))</f>
        <v/>
      </c>
      <c r="T23" s="12">
        <f>IF(K23=0,0,ROUND(Q23/K23,2))</f>
        <v/>
      </c>
      <c r="U23" s="12">
        <f>IF(COUNTIFS($E$14:$E$113,$E23,$J$14:$J$113,$J23,$C$14:$C$113,"&lt;&gt;")&lt;=1,"-",SUM(AK23:AT23)&amp;"-"&amp;SUM(AW23:BF23))</f>
        <v/>
      </c>
      <c r="V23" s="18">
        <f>IF(COUNTIFS($E$14:$E$113,$E23,$J$14:$J$113,$J23,$C$14:$C$113,"&lt;&gt;",$CF$14:$CF$113,$CF23)&lt;=1,"-",IF(SUM(BU23:CD23)=0,0,ROUND(SUM(BI23:BR23)/SUM(BU23:CD23),3)))</f>
        <v/>
      </c>
      <c r="W23" s="18">
        <f>IF(COUNTIFS($E$14:$E$113,$E23,$J$14:$J$113,$J23,$C$14:$C$113,"&lt;&gt;",$CF$14:$CF$113,$CF23,$V$14:$V$113,$V23)&lt;=1,"-",IF(P23=0,0,ROUND(O23/P23,3)))</f>
        <v/>
      </c>
      <c r="X23" s="19">
        <f>IF($C23="","",$E23&amp;"#"&amp;COUNTIFS($E$14:$E23,$E23,$C$14:$C23,"&lt;&gt;"))</f>
        <v/>
      </c>
      <c r="Y23" s="20">
        <f>IFERROR(INDEX($H$14:$H$113,MATCH($E23&amp;"#1",$X$14:$X$113,0)),"")</f>
        <v/>
      </c>
      <c r="Z23" s="20">
        <f>IFERROR(INDEX($H$14:$H$113,MATCH($E23&amp;"#2",$X$14:$X$113,0)),"")</f>
        <v/>
      </c>
      <c r="AA23" s="20">
        <f>IFERROR(INDEX($H$14:$H$113,MATCH($E23&amp;"#3",$X$14:$X$113,0)),"")</f>
        <v/>
      </c>
      <c r="AB23" s="20">
        <f>IFERROR(INDEX($H$14:$H$113,MATCH($E23&amp;"#4",$X$14:$X$113,0)),"")</f>
        <v/>
      </c>
      <c r="AC23" s="20">
        <f>IFERROR(INDEX($H$14:$H$113,MATCH($E23&amp;"#5",$X$14:$X$113,0)),"")</f>
        <v/>
      </c>
      <c r="AD23" s="20">
        <f>IFERROR(INDEX($H$14:$H$113,MATCH($E23&amp;"#6",$X$14:$X$113,0)),"")</f>
        <v/>
      </c>
      <c r="AE23" s="20">
        <f>IFERROR(INDEX($H$14:$H$113,MATCH($E23&amp;"#7",$X$14:$X$113,0)),"")</f>
        <v/>
      </c>
      <c r="AF23" s="20">
        <f>IFERROR(INDEX($H$14:$H$113,MATCH($E23&amp;"#8",$X$14:$X$113,0)),"")</f>
        <v/>
      </c>
      <c r="AG23" s="20">
        <f>IFERROR(INDEX($H$14:$H$113,MATCH($E23&amp;"#9",$X$14:$X$113,0)),"")</f>
        <v/>
      </c>
      <c r="AH23" s="20">
        <f>IFERROR(INDEX($H$14:$H$113,MATCH($E23&amp;"#10",$X$14:$X$113,0)),"")</f>
        <v/>
      </c>
      <c r="AJ23" s="21">
        <f>$C23</f>
        <v/>
      </c>
      <c r="AK23" s="22">
        <f>IF(AND($H23&lt;&gt;"",$Y23&lt;&gt;"",$H23&lt;&gt;$Y23,IFERROR(VLOOKUP($H23,areaCercaPuntiClassificaSquadra,3,FALSE),-1)=IFERROR(VLOOKUP($Y23,areaCercaPuntiClassificaSquadra,3,FALSE),-2)),SUMIFS(Dati!$B$2:$B$451,Dati!$A$2:$A$451,$H23,Dati!$H$2:$H$451,$Y23)+SUMIFS(Dati!$I$2:$I$451,Dati!$H$2:$H$451,$H23,Dati!$A$2:$A$451,$Y23),"-")</f>
        <v/>
      </c>
      <c r="AL23" s="22">
        <f>IF(AND($H23&lt;&gt;"",$Z23&lt;&gt;"",$H23&lt;&gt;$Z23,IFERROR(VLOOKUP($H23,areaCercaPuntiClassificaSquadra,3,FALSE),-1)=IFERROR(VLOOKUP($Z23,areaCercaPuntiClassificaSquadra,3,FALSE),-2)),SUMIFS(Dati!$B$2:$B$451,Dati!$A$2:$A$451,$H23,Dati!$H$2:$H$451,$Z23)+SUMIFS(Dati!$I$2:$I$451,Dati!$H$2:$H$451,$H23,Dati!$A$2:$A$451,$Z23),"-")</f>
        <v/>
      </c>
      <c r="AM23" s="22">
        <f>IF(AND($H23&lt;&gt;"",$AA23&lt;&gt;"",$H23&lt;&gt;$AA23,IFERROR(VLOOKUP($H23,areaCercaPuntiClassificaSquadra,3,FALSE),-1)=IFERROR(VLOOKUP($AA23,areaCercaPuntiClassificaSquadra,3,FALSE),-2)),SUMIFS(Dati!$B$2:$B$451,Dati!$A$2:$A$451,$H23,Dati!$H$2:$H$451,$AA23)+SUMIFS(Dati!$I$2:$I$451,Dati!$H$2:$H$451,$H23,Dati!$A$2:$A$451,$AA23),"-")</f>
        <v/>
      </c>
      <c r="AN23" s="22">
        <f>IF(AND($H23&lt;&gt;"",$AB23&lt;&gt;"",$H23&lt;&gt;$AB23,IFERROR(VLOOKUP($H23,areaCercaPuntiClassificaSquadra,3,FALSE),-1)=IFERROR(VLOOKUP($AB23,areaCercaPuntiClassificaSquadra,3,FALSE),-2)),SUMIFS(Dati!$B$2:$B$451,Dati!$A$2:$A$451,$H23,Dati!$H$2:$H$451,$AB23)+SUMIFS(Dati!$I$2:$I$451,Dati!$H$2:$H$451,$H23,Dati!$A$2:$A$451,$AB23),"-")</f>
        <v/>
      </c>
      <c r="AO23" s="22">
        <f>IF(AND($H23&lt;&gt;"",$AC23&lt;&gt;"",$H23&lt;&gt;$AC23,IFERROR(VLOOKUP($H23,areaCercaPuntiClassificaSquadra,3,FALSE),-1)=IFERROR(VLOOKUP($AC23,areaCercaPuntiClassificaSquadra,3,FALSE),-2)),SUMIFS(Dati!$B$2:$B$451,Dati!$A$2:$A$451,$H23,Dati!$H$2:$H$451,$AC23)+SUMIFS(Dati!$I$2:$I$451,Dati!$H$2:$H$451,$H23,Dati!$A$2:$A$451,$AC23),"-")</f>
        <v/>
      </c>
      <c r="AP23" s="22">
        <f>IF(AND($H23&lt;&gt;"",$AD23&lt;&gt;"",$H23&lt;&gt;$AD23,IFERROR(VLOOKUP($H23,areaCercaPuntiClassificaSquadra,3,FALSE),-1)=IFERROR(VLOOKUP($AD23,areaCercaPuntiClassificaSquadra,3,FALSE),-2)),SUMIFS(Dati!$B$2:$B$451,Dati!$A$2:$A$451,$H23,Dati!$H$2:$H$451,$AD23)+SUMIFS(Dati!$I$2:$I$451,Dati!$H$2:$H$451,$H23,Dati!$A$2:$A$451,$AD23),"-")</f>
        <v/>
      </c>
      <c r="AQ23" s="22">
        <f>IF(AND($H23&lt;&gt;"",$AE23&lt;&gt;"",$H23&lt;&gt;$AE23,IFERROR(VLOOKUP($H23,areaCercaPuntiClassificaSquadra,3,FALSE),-1)=IFERROR(VLOOKUP($AE23,areaCercaPuntiClassificaSquadra,3,FALSE),-2)),SUMIFS(Dati!$B$2:$B$451,Dati!$A$2:$A$451,$H23,Dati!$H$2:$H$451,$AE23)+SUMIFS(Dati!$I$2:$I$451,Dati!$H$2:$H$451,$H23,Dati!$A$2:$A$451,$AE23),"-")</f>
        <v/>
      </c>
      <c r="AR23" s="22">
        <f>IF(AND($H23&lt;&gt;"",$AF23&lt;&gt;"",$H23&lt;&gt;$AF23,IFERROR(VLOOKUP($H23,areaCercaPuntiClassificaSquadra,3,FALSE),-1)=IFERROR(VLOOKUP($AF23,areaCercaPuntiClassificaSquadra,3,FALSE),-2)),SUMIFS(Dati!$B$2:$B$451,Dati!$A$2:$A$451,$H23,Dati!$H$2:$H$451,$AF23)+SUMIFS(Dati!$I$2:$I$451,Dati!$H$2:$H$451,$H23,Dati!$A$2:$A$451,$AF23),"-")</f>
        <v/>
      </c>
      <c r="AS23" s="22">
        <f>IF(AND($H23&lt;&gt;"",$AG23&lt;&gt;"",$H23&lt;&gt;$AG23,IFERROR(VLOOKUP($H23,areaCercaPuntiClassificaSquadra,3,FALSE),-1)=IFERROR(VLOOKUP($AG23,areaCercaPuntiClassificaSquadra,3,FALSE),-2)),SUMIFS(Dati!$B$2:$B$451,Dati!$A$2:$A$451,$H23,Dati!$H$2:$H$451,$AG23)+SUMIFS(Dati!$I$2:$I$451,Dati!$H$2:$H$451,$H23,Dati!$A$2:$A$451,$AG23),"-")</f>
        <v/>
      </c>
      <c r="AT23" s="22">
        <f>IF(AND($H23&lt;&gt;"",$AH23&lt;&gt;"",$H23&lt;&gt;$AH23,IFERROR(VLOOKUP($H23,areaCercaPuntiClassificaSquadra,3,FALSE),-1)=IFERROR(VLOOKUP($AH23,areaCercaPuntiClassificaSquadra,3,FALSE),-2)),SUMIFS(Dati!$B$2:$B$451,Dati!$A$2:$A$451,$H23,Dati!$H$2:$H$451,$AH23)+SUMIFS(Dati!$I$2:$I$451,Dati!$H$2:$H$451,$H23,Dati!$A$2:$A$451,$AH23),"-")</f>
        <v/>
      </c>
      <c r="AV23" s="21">
        <f>$C23</f>
        <v/>
      </c>
      <c r="AW23" s="22">
        <f>IF(AND($H23&lt;&gt;"",$Y23&lt;&gt;"",$H23&lt;&gt;$Y23,IFERROR(VLOOKUP($H23,areaCercaPuntiClassificaSquadra,3,FALSE),-1)=IFERROR(VLOOKUP($Y23,areaCercaPuntiClassificaSquadra,3,FALSE),-2)),SUMIFS(Dati!$D$2:$D$451,Dati!$A$2:$A$451,$H23,Dati!$H$2:$H$451,$Y23)+SUMIFS(Dati!$K$2:$K$451,Dati!$H$2:$H$451,$H23,Dati!$A$2:$A$451,$Y23)+SUMIFS(Dati!$C$2:$C$451,Dati!$A$2:$A$451,$H23,Dati!$H$2:$H$451,$Y23)+SUMIFS(Dati!$J$2:$J$451,Dati!$H$2:$H$451,$H23,Dati!$A$2:$A$451,$Y23),"-")</f>
        <v/>
      </c>
      <c r="AX23" s="22">
        <f>IF(AND($H23&lt;&gt;"",$Z23&lt;&gt;"",$H23&lt;&gt;$Z23,IFERROR(VLOOKUP($H23,areaCercaPuntiClassificaSquadra,3,FALSE),-1)=IFERROR(VLOOKUP($Z23,areaCercaPuntiClassificaSquadra,3,FALSE),-2)),SUMIFS(Dati!$D$2:$D$451,Dati!$A$2:$A$451,$H23,Dati!$H$2:$H$451,$Z23)+SUMIFS(Dati!$K$2:$K$451,Dati!$H$2:$H$451,$H23,Dati!$A$2:$A$451,$Z23)+SUMIFS(Dati!$C$2:$C$451,Dati!$A$2:$A$451,$H23,Dati!$H$2:$H$451,$Z23)+SUMIFS(Dati!$J$2:$J$451,Dati!$H$2:$H$451,$H23,Dati!$A$2:$A$451,$Z23),"-")</f>
        <v/>
      </c>
      <c r="AY23" s="22">
        <f>IF(AND($H23&lt;&gt;"",$AA23&lt;&gt;"",$H23&lt;&gt;$AA23,IFERROR(VLOOKUP($H23,areaCercaPuntiClassificaSquadra,3,FALSE),-1)=IFERROR(VLOOKUP($AA23,areaCercaPuntiClassificaSquadra,3,FALSE),-2)),SUMIFS(Dati!$D$2:$D$451,Dati!$A$2:$A$451,$H23,Dati!$H$2:$H$451,$AA23)+SUMIFS(Dati!$K$2:$K$451,Dati!$H$2:$H$451,$H23,Dati!$A$2:$A$451,$AA23)+SUMIFS(Dati!$C$2:$C$451,Dati!$A$2:$A$451,$H23,Dati!$H$2:$H$451,$AA23)+SUMIFS(Dati!$J$2:$J$451,Dati!$H$2:$H$451,$H23,Dati!$A$2:$A$451,$AA23),"-")</f>
        <v/>
      </c>
      <c r="AZ23" s="22">
        <f>IF(AND($H23&lt;&gt;"",$AB23&lt;&gt;"",$H23&lt;&gt;$AB23,IFERROR(VLOOKUP($H23,areaCercaPuntiClassificaSquadra,3,FALSE),-1)=IFERROR(VLOOKUP($AB23,areaCercaPuntiClassificaSquadra,3,FALSE),-2)),SUMIFS(Dati!$D$2:$D$451,Dati!$A$2:$A$451,$H23,Dati!$H$2:$H$451,$AB23)+SUMIFS(Dati!$K$2:$K$451,Dati!$H$2:$H$451,$H23,Dati!$A$2:$A$451,$AB23)+SUMIFS(Dati!$C$2:$C$451,Dati!$A$2:$A$451,$H23,Dati!$H$2:$H$451,$AB23)+SUMIFS(Dati!$J$2:$J$451,Dati!$H$2:$H$451,$H23,Dati!$A$2:$A$451,$AB23),"-")</f>
        <v/>
      </c>
      <c r="BA23" s="22">
        <f>IF(AND($H23&lt;&gt;"",$AC23&lt;&gt;"",$H23&lt;&gt;$AC23,IFERROR(VLOOKUP($H23,areaCercaPuntiClassificaSquadra,3,FALSE),-1)=IFERROR(VLOOKUP($AC23,areaCercaPuntiClassificaSquadra,3,FALSE),-2)),SUMIFS(Dati!$D$2:$D$451,Dati!$A$2:$A$451,$H23,Dati!$H$2:$H$451,$AC23)+SUMIFS(Dati!$K$2:$K$451,Dati!$H$2:$H$451,$H23,Dati!$A$2:$A$451,$AC23)+SUMIFS(Dati!$C$2:$C$451,Dati!$A$2:$A$451,$H23,Dati!$H$2:$H$451,$AC23)+SUMIFS(Dati!$J$2:$J$451,Dati!$H$2:$H$451,$H23,Dati!$A$2:$A$451,$AC23),"-")</f>
        <v/>
      </c>
      <c r="BB23" s="22">
        <f>IF(AND($H23&lt;&gt;"",$AD23&lt;&gt;"",$H23&lt;&gt;$AD23,IFERROR(VLOOKUP($H23,areaCercaPuntiClassificaSquadra,3,FALSE),-1)=IFERROR(VLOOKUP($AD23,areaCercaPuntiClassificaSquadra,3,FALSE),-2)),SUMIFS(Dati!$D$2:$D$451,Dati!$A$2:$A$451,$H23,Dati!$H$2:$H$451,$AD23)+SUMIFS(Dati!$K$2:$K$451,Dati!$H$2:$H$451,$H23,Dati!$A$2:$A$451,$AD23)+SUMIFS(Dati!$C$2:$C$451,Dati!$A$2:$A$451,$H23,Dati!$H$2:$H$451,$AD23)+SUMIFS(Dati!$J$2:$J$451,Dati!$H$2:$H$451,$H23,Dati!$A$2:$A$451,$AD23),"-")</f>
        <v/>
      </c>
      <c r="BC23" s="22">
        <f>IF(AND($H23&lt;&gt;"",$AE23&lt;&gt;"",$H23&lt;&gt;$AE23,IFERROR(VLOOKUP($H23,areaCercaPuntiClassificaSquadra,3,FALSE),-1)=IFERROR(VLOOKUP($AE23,areaCercaPuntiClassificaSquadra,3,FALSE),-2)),SUMIFS(Dati!$D$2:$D$451,Dati!$A$2:$A$451,$H23,Dati!$H$2:$H$451,$AE23)+SUMIFS(Dati!$K$2:$K$451,Dati!$H$2:$H$451,$H23,Dati!$A$2:$A$451,$AE23)+SUMIFS(Dati!$C$2:$C$451,Dati!$A$2:$A$451,$H23,Dati!$H$2:$H$451,$AE23)+SUMIFS(Dati!$J$2:$J$451,Dati!$H$2:$H$451,$H23,Dati!$A$2:$A$451,$AE23),"-")</f>
        <v/>
      </c>
      <c r="BD23" s="22">
        <f>IF(AND($H23&lt;&gt;"",$AF23&lt;&gt;"",$H23&lt;&gt;$AF23,IFERROR(VLOOKUP($H23,areaCercaPuntiClassificaSquadra,3,FALSE),-1)=IFERROR(VLOOKUP($AF23,areaCercaPuntiClassificaSquadra,3,FALSE),-2)),SUMIFS(Dati!$D$2:$D$451,Dati!$A$2:$A$451,$H23,Dati!$H$2:$H$451,$AF23)+SUMIFS(Dati!$K$2:$K$451,Dati!$H$2:$H$451,$H23,Dati!$A$2:$A$451,$AF23)+SUMIFS(Dati!$C$2:$C$451,Dati!$A$2:$A$451,$H23,Dati!$H$2:$H$451,$AF23)+SUMIFS(Dati!$J$2:$J$451,Dati!$H$2:$H$451,$H23,Dati!$A$2:$A$451,$AF23),"-")</f>
        <v/>
      </c>
      <c r="BE23" s="22">
        <f>IF(AND($H23&lt;&gt;"",$AG23&lt;&gt;"",$H23&lt;&gt;$AG23,IFERROR(VLOOKUP($H23,areaCercaPuntiClassificaSquadra,3,FALSE),-1)=IFERROR(VLOOKUP($AG23,areaCercaPuntiClassificaSquadra,3,FALSE),-2)),SUMIFS(Dati!$D$2:$D$451,Dati!$A$2:$A$451,$H23,Dati!$H$2:$H$451,$AG23)+SUMIFS(Dati!$K$2:$K$451,Dati!$H$2:$H$451,$H23,Dati!$A$2:$A$451,$AG23)+SUMIFS(Dati!$C$2:$C$451,Dati!$A$2:$A$451,$H23,Dati!$H$2:$H$451,$AG23)+SUMIFS(Dati!$J$2:$J$451,Dati!$H$2:$H$451,$H23,Dati!$A$2:$A$451,$AG23),"-")</f>
        <v/>
      </c>
      <c r="BF23" s="22">
        <f>IF(AND($H23&lt;&gt;"",$AH23&lt;&gt;"",$H23&lt;&gt;$AH23,IFERROR(VLOOKUP($H23,areaCercaPuntiClassificaSquadra,3,FALSE),-1)=IFERROR(VLOOKUP($AH23,areaCercaPuntiClassificaSquadra,3,FALSE),-2)),SUMIFS(Dati!$D$2:$D$451,Dati!$A$2:$A$451,$H23,Dati!$H$2:$H$451,$AH23)+SUMIFS(Dati!$K$2:$K$451,Dati!$H$2:$H$451,$H23,Dati!$A$2:$A$451,$AH23)+SUMIFS(Dati!$C$2:$C$451,Dati!$A$2:$A$451,$H23,Dati!$H$2:$H$451,$AH23)+SUMIFS(Dati!$J$2:$J$451,Dati!$H$2:$H$451,$H23,Dati!$A$2:$A$451,$AH23),"-")</f>
        <v/>
      </c>
      <c r="BH23" s="21">
        <f>$C23</f>
        <v/>
      </c>
      <c r="BI23" s="22">
        <f>IF(AND($H23&lt;&gt;"",$Y23&lt;&gt;"",$H23&lt;&gt;$Y23,IFERROR(VLOOKUP($H23,areaCercaPuntiClassificaSquadra,3,FALSE),-1)=IFERROR(VLOOKUP($Y23,areaCercaPuntiClassificaSquadra,3,FALSE),-2)),SUMIFS(Dati!$E$2:$E$451,Dati!$A$2:$A$451,$H23,Dati!$H$2:$H$451,$Y23)+SUMIFS(Dati!$L$2:$L$451,Dati!$H$2:$H$451,$H23,Dati!$A$2:$A$451,$Y23),"-")</f>
        <v/>
      </c>
      <c r="BJ23" s="22">
        <f>IF(AND($H23&lt;&gt;"",$Z23&lt;&gt;"",$H23&lt;&gt;$Z23,IFERROR(VLOOKUP($H23,areaCercaPuntiClassificaSquadra,3,FALSE),-1)=IFERROR(VLOOKUP($Z23,areaCercaPuntiClassificaSquadra,3,FALSE),-2)),SUMIFS(Dati!$E$2:$E$451,Dati!$A$2:$A$451,$H23,Dati!$H$2:$H$451,$Z23)+SUMIFS(Dati!$L$2:$L$451,Dati!$H$2:$H$451,$H23,Dati!$A$2:$A$451,$Z23),"-")</f>
        <v/>
      </c>
      <c r="BK23" s="22">
        <f>IF(AND($H23&lt;&gt;"",$AA23&lt;&gt;"",$H23&lt;&gt;$AA23,IFERROR(VLOOKUP($H23,areaCercaPuntiClassificaSquadra,3,FALSE),-1)=IFERROR(VLOOKUP($AA23,areaCercaPuntiClassificaSquadra,3,FALSE),-2)),SUMIFS(Dati!$E$2:$E$451,Dati!$A$2:$A$451,$H23,Dati!$H$2:$H$451,$AA23)+SUMIFS(Dati!$L$2:$L$451,Dati!$H$2:$H$451,$H23,Dati!$A$2:$A$451,$AA23),"-")</f>
        <v/>
      </c>
      <c r="BL23" s="22">
        <f>IF(AND($H23&lt;&gt;"",$AB23&lt;&gt;"",$H23&lt;&gt;$AB23,IFERROR(VLOOKUP($H23,areaCercaPuntiClassificaSquadra,3,FALSE),-1)=IFERROR(VLOOKUP($AB23,areaCercaPuntiClassificaSquadra,3,FALSE),-2)),SUMIFS(Dati!$E$2:$E$451,Dati!$A$2:$A$451,$H23,Dati!$H$2:$H$451,$AB23)+SUMIFS(Dati!$L$2:$L$451,Dati!$H$2:$H$451,$H23,Dati!$A$2:$A$451,$AB23),"-")</f>
        <v/>
      </c>
      <c r="BM23" s="22">
        <f>IF(AND($H23&lt;&gt;"",$AC23&lt;&gt;"",$H23&lt;&gt;$AC23,IFERROR(VLOOKUP($H23,areaCercaPuntiClassificaSquadra,3,FALSE),-1)=IFERROR(VLOOKUP($AC23,areaCercaPuntiClassificaSquadra,3,FALSE),-2)),SUMIFS(Dati!$E$2:$E$451,Dati!$A$2:$A$451,$H23,Dati!$H$2:$H$451,$AC23)+SUMIFS(Dati!$L$2:$L$451,Dati!$H$2:$H$451,$H23,Dati!$A$2:$A$451,$AC23),"-")</f>
        <v/>
      </c>
      <c r="BN23" s="22">
        <f>IF(AND($H23&lt;&gt;"",$AD23&lt;&gt;"",$H23&lt;&gt;$AD23,IFERROR(VLOOKUP($H23,areaCercaPuntiClassificaSquadra,3,FALSE),-1)=IFERROR(VLOOKUP($AD23,areaCercaPuntiClassificaSquadra,3,FALSE),-2)),SUMIFS(Dati!$E$2:$E$451,Dati!$A$2:$A$451,$H23,Dati!$H$2:$H$451,$AD23)+SUMIFS(Dati!$L$2:$L$451,Dati!$H$2:$H$451,$H23,Dati!$A$2:$A$451,$AD23),"-")</f>
        <v/>
      </c>
      <c r="BO23" s="22">
        <f>IF(AND($H23&lt;&gt;"",$AE23&lt;&gt;"",$H23&lt;&gt;$AE23,IFERROR(VLOOKUP($H23,areaCercaPuntiClassificaSquadra,3,FALSE),-1)=IFERROR(VLOOKUP($AE23,areaCercaPuntiClassificaSquadra,3,FALSE),-2)),SUMIFS(Dati!$E$2:$E$451,Dati!$A$2:$A$451,$H23,Dati!$H$2:$H$451,$AE23)+SUMIFS(Dati!$L$2:$L$451,Dati!$H$2:$H$451,$H23,Dati!$A$2:$A$451,$AE23),"-")</f>
        <v/>
      </c>
      <c r="BP23" s="22">
        <f>IF(AND($H23&lt;&gt;"",$AF23&lt;&gt;"",$H23&lt;&gt;$AF23,IFERROR(VLOOKUP($H23,areaCercaPuntiClassificaSquadra,3,FALSE),-1)=IFERROR(VLOOKUP($AF23,areaCercaPuntiClassificaSquadra,3,FALSE),-2)),SUMIFS(Dati!$E$2:$E$451,Dati!$A$2:$A$451,$H23,Dati!$H$2:$H$451,$AF23)+SUMIFS(Dati!$L$2:$L$451,Dati!$H$2:$H$451,$H23,Dati!$A$2:$A$451,$AF23),"-")</f>
        <v/>
      </c>
      <c r="BQ23" s="22">
        <f>IF(AND($H23&lt;&gt;"",$AG23&lt;&gt;"",$H23&lt;&gt;$AG23,IFERROR(VLOOKUP($H23,areaCercaPuntiClassificaSquadra,3,FALSE),-1)=IFERROR(VLOOKUP($AG23,areaCercaPuntiClassificaSquadra,3,FALSE),-2)),SUMIFS(Dati!$E$2:$E$451,Dati!$A$2:$A$451,$H23,Dati!$H$2:$H$451,$AG23)+SUMIFS(Dati!$L$2:$L$451,Dati!$H$2:$H$451,$H23,Dati!$A$2:$A$451,$AG23),"-")</f>
        <v/>
      </c>
      <c r="BR23" s="22">
        <f>IF(AND($H23&lt;&gt;"",$AH23&lt;&gt;"",$H23&lt;&gt;$AH23,IFERROR(VLOOKUP($H23,areaCercaPuntiClassificaSquadra,3,FALSE),-1)=IFERROR(VLOOKUP($AH23,areaCercaPuntiClassificaSquadra,3,FALSE),-2)),SUMIFS(Dati!$E$2:$E$451,Dati!$A$2:$A$451,$H23,Dati!$H$2:$H$451,$AH23)+SUMIFS(Dati!$L$2:$L$451,Dati!$H$2:$H$451,$H23,Dati!$A$2:$A$451,$AH23),"-")</f>
        <v/>
      </c>
      <c r="BT23" s="21">
        <f>$C23</f>
        <v/>
      </c>
      <c r="BU23" s="22">
        <f>IF(AND($H23&lt;&gt;"",$Y23&lt;&gt;"",$H23&lt;&gt;$Y23,IFERROR(VLOOKUP($H23,areaCercaPuntiClassificaSquadra,3,FALSE),-1)=IFERROR(VLOOKUP($Y23,areaCercaPuntiClassificaSquadra,3,FALSE),-2)),SUMIFS(Dati!$F$2:$F$451,Dati!$A$2:$A$451,$H23,Dati!$H$2:$H$451,$Y23)+SUMIFS(Dati!$M$2:$M$451,Dati!$H$2:$H$451,$H23,Dati!$A$2:$A$451,$Y23),"-")</f>
        <v/>
      </c>
      <c r="BV23" s="22">
        <f>IF(AND($H23&lt;&gt;"",$Z23&lt;&gt;"",$H23&lt;&gt;$Z23,IFERROR(VLOOKUP($H23,areaCercaPuntiClassificaSquadra,3,FALSE),-1)=IFERROR(VLOOKUP($Z23,areaCercaPuntiClassificaSquadra,3,FALSE),-2)),SUMIFS(Dati!$F$2:$F$451,Dati!$A$2:$A$451,$H23,Dati!$H$2:$H$451,$Z23)+SUMIFS(Dati!$M$2:$M$451,Dati!$H$2:$H$451,$H23,Dati!$A$2:$A$451,$Z23),"-")</f>
        <v/>
      </c>
      <c r="BW23" s="22">
        <f>IF(AND($H23&lt;&gt;"",$AA23&lt;&gt;"",$H23&lt;&gt;$AA23,IFERROR(VLOOKUP($H23,areaCercaPuntiClassificaSquadra,3,FALSE),-1)=IFERROR(VLOOKUP($AA23,areaCercaPuntiClassificaSquadra,3,FALSE),-2)),SUMIFS(Dati!$F$2:$F$451,Dati!$A$2:$A$451,$H23,Dati!$H$2:$H$451,$AA23)+SUMIFS(Dati!$M$2:$M$451,Dati!$H$2:$H$451,$H23,Dati!$A$2:$A$451,$AA23),"-")</f>
        <v/>
      </c>
      <c r="BX23" s="22">
        <f>IF(AND($H23&lt;&gt;"",$AB23&lt;&gt;"",$H23&lt;&gt;$AB23,IFERROR(VLOOKUP($H23,areaCercaPuntiClassificaSquadra,3,FALSE),-1)=IFERROR(VLOOKUP($AB23,areaCercaPuntiClassificaSquadra,3,FALSE),-2)),SUMIFS(Dati!$F$2:$F$451,Dati!$A$2:$A$451,$H23,Dati!$H$2:$H$451,$AB23)+SUMIFS(Dati!$M$2:$M$451,Dati!$H$2:$H$451,$H23,Dati!$A$2:$A$451,$AB23),"-")</f>
        <v/>
      </c>
      <c r="BY23" s="22">
        <f>IF(AND($H23&lt;&gt;"",$AC23&lt;&gt;"",$H23&lt;&gt;$AC23,IFERROR(VLOOKUP($H23,areaCercaPuntiClassificaSquadra,3,FALSE),-1)=IFERROR(VLOOKUP($AC23,areaCercaPuntiClassificaSquadra,3,FALSE),-2)),SUMIFS(Dati!$F$2:$F$451,Dati!$A$2:$A$451,$H23,Dati!$H$2:$H$451,$AC23)+SUMIFS(Dati!$M$2:$M$451,Dati!$H$2:$H$451,$H23,Dati!$A$2:$A$451,$AC23),"-")</f>
        <v/>
      </c>
      <c r="BZ23" s="22">
        <f>IF(AND($H23&lt;&gt;"",$AD23&lt;&gt;"",$H23&lt;&gt;$AD23,IFERROR(VLOOKUP($H23,areaCercaPuntiClassificaSquadra,3,FALSE),-1)=IFERROR(VLOOKUP($AD23,areaCercaPuntiClassificaSquadra,3,FALSE),-2)),SUMIFS(Dati!$F$2:$F$451,Dati!$A$2:$A$451,$H23,Dati!$H$2:$H$451,$AD23)+SUMIFS(Dati!$M$2:$M$451,Dati!$H$2:$H$451,$H23,Dati!$A$2:$A$451,$AD23),"-")</f>
        <v/>
      </c>
      <c r="CA23" s="22">
        <f>IF(AND($H23&lt;&gt;"",$AE23&lt;&gt;"",$H23&lt;&gt;$AE23,IFERROR(VLOOKUP($H23,areaCercaPuntiClassificaSquadra,3,FALSE),-1)=IFERROR(VLOOKUP($AE23,areaCercaPuntiClassificaSquadra,3,FALSE),-2)),SUMIFS(Dati!$F$2:$F$451,Dati!$A$2:$A$451,$H23,Dati!$H$2:$H$451,$AE23)+SUMIFS(Dati!$M$2:$M$451,Dati!$H$2:$H$451,$H23,Dati!$A$2:$A$451,$AE23),"-")</f>
        <v/>
      </c>
      <c r="CB23" s="22">
        <f>IF(AND($H23&lt;&gt;"",$AF23&lt;&gt;"",$H23&lt;&gt;$AF23,IFERROR(VLOOKUP($H23,areaCercaPuntiClassificaSquadra,3,FALSE),-1)=IFERROR(VLOOKUP($AF23,areaCercaPuntiClassificaSquadra,3,FALSE),-2)),SUMIFS(Dati!$F$2:$F$451,Dati!$A$2:$A$451,$H23,Dati!$H$2:$H$451,$AF23)+SUMIFS(Dati!$M$2:$M$451,Dati!$H$2:$H$451,$H23,Dati!$A$2:$A$451,$AF23),"-")</f>
        <v/>
      </c>
      <c r="CC23" s="22">
        <f>IF(AND($H23&lt;&gt;"",$AG23&lt;&gt;"",$H23&lt;&gt;$AG23,IFERROR(VLOOKUP($H23,areaCercaPuntiClassificaSquadra,3,FALSE),-1)=IFERROR(VLOOKUP($AG23,areaCercaPuntiClassificaSquadra,3,FALSE),-2)),SUMIFS(Dati!$F$2:$F$451,Dati!$A$2:$A$451,$H23,Dati!$H$2:$H$451,$AG23)+SUMIFS(Dati!$M$2:$M$451,Dati!$H$2:$H$451,$H23,Dati!$A$2:$A$451,$AG23),"-")</f>
        <v/>
      </c>
      <c r="CD23" s="22">
        <f>IF(AND($H23&lt;&gt;"",$AH23&lt;&gt;"",$H23&lt;&gt;$AH23,IFERROR(VLOOKUP($H23,areaCercaPuntiClassificaSquadra,3,FALSE),-1)=IFERROR(VLOOKUP($AH23,areaCercaPuntiClassificaSquadra,3,FALSE),-2)),SUMIFS(Dati!$F$2:$F$451,Dati!$A$2:$A$451,$H23,Dati!$H$2:$H$451,$AH23)+SUMIFS(Dati!$M$2:$M$451,Dati!$H$2:$H$451,$H23,Dati!$A$2:$A$451,$AH23),"-")</f>
        <v/>
      </c>
      <c r="CF23" s="22">
        <f>IF($C23="","",SUM(AK23:AT23))</f>
        <v/>
      </c>
    </row>
    <row r="24">
      <c r="B24" s="12" t="inlineStr">
        <is>
          <t>B01</t>
        </is>
      </c>
      <c r="C24" s="13" t="n"/>
      <c r="D24" s="14" t="n"/>
      <c r="E24" s="23" t="inlineStr">
        <is>
          <t>B</t>
        </is>
      </c>
      <c r="G24" s="24">
        <f>IF($C24="","",$E24&amp;(COUNTIFS(I$14:I$113,"&gt;"&amp;I24,E$14:E$113,"="&amp;E24,C$14:C$113,"&lt;&gt;")+COUNTIFS(I$14:I$113,"="&amp;I24,H$14:H$113,"&lt;="&amp;H24,E$14:E$113,"="&amp;E24,C$14:C$113,"&lt;&gt;")))</f>
        <v/>
      </c>
      <c r="H24" s="17">
        <f>IF($C24="","",IFERROR(LEFT($C24,FIND("-",$C24)-1),$C24))</f>
        <v/>
      </c>
      <c r="I24" s="12">
        <f>TEXT(1000000000+J24,"|0000000000|")&amp;TEXT(SUM(AK24:AT24),"0000000000|")&amp;IF(SUM(BU24:CD24)=0,"0000000000|",TEXT(ROUND(SUM(BI24:BR24)/SUM(BU24:CD24),4)*100000,"0000000000|"))&amp;IF(P24=0,"0000000000|",TEXT(ROUND(O24/P24,4)*100000,"0000000000|"))</f>
        <v/>
      </c>
      <c r="J24" s="24">
        <f>L24*constPuntiVittoria+M24*constPuntiSconfitta+N24*constPuntiForfait+IF(D24="",0,D24)</f>
        <v/>
      </c>
      <c r="K24" s="12">
        <f>SUM(L24:N24)</f>
        <v/>
      </c>
      <c r="L24" s="12">
        <f>IF($H24="",0,SUMIF(Dati!$A$2:$A$451,$H24,Dati!$B$2:$B$451)+SUMIF(Dati!$H$2:$H$451,$H24,Dati!$I$2:$I$451))</f>
        <v/>
      </c>
      <c r="M24" s="12">
        <f>IF($H24="",0,SUMIF(Dati!$A$2:$A$451,$H24,Dati!$D$2:$D$451)+SUMIF(Dati!$H$2:$H$451,$H24,Dati!$K$2:$K$451))</f>
        <v/>
      </c>
      <c r="N24" s="12">
        <f>IF($H24="",0,SUMIF(Dati!$A$2:$A$451,$H24,Dati!$C$2:$C$451)+SUMIF(Dati!$H$2:$H$451,$H24,Dati!$J$2:$J$451))</f>
        <v/>
      </c>
      <c r="O24" s="12">
        <f>IF($H24="",0,SUMIF(Dati!$A$2:$A$451,$H24,Dati!$E$2:$E$451)+SUMIF(Dati!$H$2:$H$451,$H24,Dati!$L$2:$L$451))</f>
        <v/>
      </c>
      <c r="P24" s="12">
        <f>IF($H24="",0,SUMIF(Dati!$A$2:$A$451,$H24,Dati!$F$2:$F$451)+SUMIF(Dati!$H$2:$H$451,$H24,Dati!$M$2:$M$451))</f>
        <v/>
      </c>
      <c r="Q24" s="12">
        <f>IF($H24="",0,SUMIF(Dati!$A$2:$A$451,$H24,Dati!$G$2:$G$451)+SUMIF(Dati!$H$2:$H$451,$H24,Dati!$N$2:$N$451))</f>
        <v/>
      </c>
      <c r="R24" s="12">
        <f>IF(K24=0,0,ROUND(O24/K24,2))</f>
        <v/>
      </c>
      <c r="S24" s="12">
        <f>IF(K24=0,0,ROUND(P24/K24,2))</f>
        <v/>
      </c>
      <c r="T24" s="12">
        <f>IF(K24=0,0,ROUND(Q24/K24,2))</f>
        <v/>
      </c>
      <c r="U24" s="12">
        <f>IF(COUNTIFS($E$14:$E$113,$E24,$J$14:$J$113,$J24,$C$14:$C$113,"&lt;&gt;")&lt;=1,"-",SUM(AK24:AT24)&amp;"-"&amp;SUM(AW24:BF24))</f>
        <v/>
      </c>
      <c r="V24" s="18">
        <f>IF(COUNTIFS($E$14:$E$113,$E24,$J$14:$J$113,$J24,$C$14:$C$113,"&lt;&gt;",$CF$14:$CF$113,$CF24)&lt;=1,"-",IF(SUM(BU24:CD24)=0,0,ROUND(SUM(BI24:BR24)/SUM(BU24:CD24),3)))</f>
        <v/>
      </c>
      <c r="W24" s="18">
        <f>IF(COUNTIFS($E$14:$E$113,$E24,$J$14:$J$113,$J24,$C$14:$C$113,"&lt;&gt;",$CF$14:$CF$113,$CF24,$V$14:$V$113,$V24)&lt;=1,"-",IF(P24=0,0,ROUND(O24/P24,3)))</f>
        <v/>
      </c>
      <c r="X24" s="19">
        <f>IF($C24="","",$E24&amp;"#"&amp;COUNTIFS($E$14:$E24,$E24,$C$14:$C24,"&lt;&gt;"))</f>
        <v/>
      </c>
      <c r="Y24" s="20">
        <f>IFERROR(INDEX($H$14:$H$113,MATCH($E24&amp;"#1",$X$14:$X$113,0)),"")</f>
        <v/>
      </c>
      <c r="Z24" s="20">
        <f>IFERROR(INDEX($H$14:$H$113,MATCH($E24&amp;"#2",$X$14:$X$113,0)),"")</f>
        <v/>
      </c>
      <c r="AA24" s="20">
        <f>IFERROR(INDEX($H$14:$H$113,MATCH($E24&amp;"#3",$X$14:$X$113,0)),"")</f>
        <v/>
      </c>
      <c r="AB24" s="20">
        <f>IFERROR(INDEX($H$14:$H$113,MATCH($E24&amp;"#4",$X$14:$X$113,0)),"")</f>
        <v/>
      </c>
      <c r="AC24" s="20">
        <f>IFERROR(INDEX($H$14:$H$113,MATCH($E24&amp;"#5",$X$14:$X$113,0)),"")</f>
        <v/>
      </c>
      <c r="AD24" s="20">
        <f>IFERROR(INDEX($H$14:$H$113,MATCH($E24&amp;"#6",$X$14:$X$113,0)),"")</f>
        <v/>
      </c>
      <c r="AE24" s="20">
        <f>IFERROR(INDEX($H$14:$H$113,MATCH($E24&amp;"#7",$X$14:$X$113,0)),"")</f>
        <v/>
      </c>
      <c r="AF24" s="20">
        <f>IFERROR(INDEX($H$14:$H$113,MATCH($E24&amp;"#8",$X$14:$X$113,0)),"")</f>
        <v/>
      </c>
      <c r="AG24" s="20">
        <f>IFERROR(INDEX($H$14:$H$113,MATCH($E24&amp;"#9",$X$14:$X$113,0)),"")</f>
        <v/>
      </c>
      <c r="AH24" s="20">
        <f>IFERROR(INDEX($H$14:$H$113,MATCH($E24&amp;"#10",$X$14:$X$113,0)),"")</f>
        <v/>
      </c>
      <c r="AJ24" s="21">
        <f>$C24</f>
        <v/>
      </c>
      <c r="AK24" s="22">
        <f>IF(AND($H24&lt;&gt;"",$Y24&lt;&gt;"",$H24&lt;&gt;$Y24,IFERROR(VLOOKUP($H24,areaCercaPuntiClassificaSquadra,3,FALSE),-1)=IFERROR(VLOOKUP($Y24,areaCercaPuntiClassificaSquadra,3,FALSE),-2)),SUMIFS(Dati!$B$2:$B$451,Dati!$A$2:$A$451,$H24,Dati!$H$2:$H$451,$Y24)+SUMIFS(Dati!$I$2:$I$451,Dati!$H$2:$H$451,$H24,Dati!$A$2:$A$451,$Y24),"-")</f>
        <v/>
      </c>
      <c r="AL24" s="22">
        <f>IF(AND($H24&lt;&gt;"",$Z24&lt;&gt;"",$H24&lt;&gt;$Z24,IFERROR(VLOOKUP($H24,areaCercaPuntiClassificaSquadra,3,FALSE),-1)=IFERROR(VLOOKUP($Z24,areaCercaPuntiClassificaSquadra,3,FALSE),-2)),SUMIFS(Dati!$B$2:$B$451,Dati!$A$2:$A$451,$H24,Dati!$H$2:$H$451,$Z24)+SUMIFS(Dati!$I$2:$I$451,Dati!$H$2:$H$451,$H24,Dati!$A$2:$A$451,$Z24),"-")</f>
        <v/>
      </c>
      <c r="AM24" s="22">
        <f>IF(AND($H24&lt;&gt;"",$AA24&lt;&gt;"",$H24&lt;&gt;$AA24,IFERROR(VLOOKUP($H24,areaCercaPuntiClassificaSquadra,3,FALSE),-1)=IFERROR(VLOOKUP($AA24,areaCercaPuntiClassificaSquadra,3,FALSE),-2)),SUMIFS(Dati!$B$2:$B$451,Dati!$A$2:$A$451,$H24,Dati!$H$2:$H$451,$AA24)+SUMIFS(Dati!$I$2:$I$451,Dati!$H$2:$H$451,$H24,Dati!$A$2:$A$451,$AA24),"-")</f>
        <v/>
      </c>
      <c r="AN24" s="22">
        <f>IF(AND($H24&lt;&gt;"",$AB24&lt;&gt;"",$H24&lt;&gt;$AB24,IFERROR(VLOOKUP($H24,areaCercaPuntiClassificaSquadra,3,FALSE),-1)=IFERROR(VLOOKUP($AB24,areaCercaPuntiClassificaSquadra,3,FALSE),-2)),SUMIFS(Dati!$B$2:$B$451,Dati!$A$2:$A$451,$H24,Dati!$H$2:$H$451,$AB24)+SUMIFS(Dati!$I$2:$I$451,Dati!$H$2:$H$451,$H24,Dati!$A$2:$A$451,$AB24),"-")</f>
        <v/>
      </c>
      <c r="AO24" s="22">
        <f>IF(AND($H24&lt;&gt;"",$AC24&lt;&gt;"",$H24&lt;&gt;$AC24,IFERROR(VLOOKUP($H24,areaCercaPuntiClassificaSquadra,3,FALSE),-1)=IFERROR(VLOOKUP($AC24,areaCercaPuntiClassificaSquadra,3,FALSE),-2)),SUMIFS(Dati!$B$2:$B$451,Dati!$A$2:$A$451,$H24,Dati!$H$2:$H$451,$AC24)+SUMIFS(Dati!$I$2:$I$451,Dati!$H$2:$H$451,$H24,Dati!$A$2:$A$451,$AC24),"-")</f>
        <v/>
      </c>
      <c r="AP24" s="22">
        <f>IF(AND($H24&lt;&gt;"",$AD24&lt;&gt;"",$H24&lt;&gt;$AD24,IFERROR(VLOOKUP($H24,areaCercaPuntiClassificaSquadra,3,FALSE),-1)=IFERROR(VLOOKUP($AD24,areaCercaPuntiClassificaSquadra,3,FALSE),-2)),SUMIFS(Dati!$B$2:$B$451,Dati!$A$2:$A$451,$H24,Dati!$H$2:$H$451,$AD24)+SUMIFS(Dati!$I$2:$I$451,Dati!$H$2:$H$451,$H24,Dati!$A$2:$A$451,$AD24),"-")</f>
        <v/>
      </c>
      <c r="AQ24" s="22">
        <f>IF(AND($H24&lt;&gt;"",$AE24&lt;&gt;"",$H24&lt;&gt;$AE24,IFERROR(VLOOKUP($H24,areaCercaPuntiClassificaSquadra,3,FALSE),-1)=IFERROR(VLOOKUP($AE24,areaCercaPuntiClassificaSquadra,3,FALSE),-2)),SUMIFS(Dati!$B$2:$B$451,Dati!$A$2:$A$451,$H24,Dati!$H$2:$H$451,$AE24)+SUMIFS(Dati!$I$2:$I$451,Dati!$H$2:$H$451,$H24,Dati!$A$2:$A$451,$AE24),"-")</f>
        <v/>
      </c>
      <c r="AR24" s="22">
        <f>IF(AND($H24&lt;&gt;"",$AF24&lt;&gt;"",$H24&lt;&gt;$AF24,IFERROR(VLOOKUP($H24,areaCercaPuntiClassificaSquadra,3,FALSE),-1)=IFERROR(VLOOKUP($AF24,areaCercaPuntiClassificaSquadra,3,FALSE),-2)),SUMIFS(Dati!$B$2:$B$451,Dati!$A$2:$A$451,$H24,Dati!$H$2:$H$451,$AF24)+SUMIFS(Dati!$I$2:$I$451,Dati!$H$2:$H$451,$H24,Dati!$A$2:$A$451,$AF24),"-")</f>
        <v/>
      </c>
      <c r="AS24" s="22">
        <f>IF(AND($H24&lt;&gt;"",$AG24&lt;&gt;"",$H24&lt;&gt;$AG24,IFERROR(VLOOKUP($H24,areaCercaPuntiClassificaSquadra,3,FALSE),-1)=IFERROR(VLOOKUP($AG24,areaCercaPuntiClassificaSquadra,3,FALSE),-2)),SUMIFS(Dati!$B$2:$B$451,Dati!$A$2:$A$451,$H24,Dati!$H$2:$H$451,$AG24)+SUMIFS(Dati!$I$2:$I$451,Dati!$H$2:$H$451,$H24,Dati!$A$2:$A$451,$AG24),"-")</f>
        <v/>
      </c>
      <c r="AT24" s="22">
        <f>IF(AND($H24&lt;&gt;"",$AH24&lt;&gt;"",$H24&lt;&gt;$AH24,IFERROR(VLOOKUP($H24,areaCercaPuntiClassificaSquadra,3,FALSE),-1)=IFERROR(VLOOKUP($AH24,areaCercaPuntiClassificaSquadra,3,FALSE),-2)),SUMIFS(Dati!$B$2:$B$451,Dati!$A$2:$A$451,$H24,Dati!$H$2:$H$451,$AH24)+SUMIFS(Dati!$I$2:$I$451,Dati!$H$2:$H$451,$H24,Dati!$A$2:$A$451,$AH24),"-")</f>
        <v/>
      </c>
      <c r="AV24" s="21">
        <f>$C24</f>
        <v/>
      </c>
      <c r="AW24" s="22">
        <f>IF(AND($H24&lt;&gt;"",$Y24&lt;&gt;"",$H24&lt;&gt;$Y24,IFERROR(VLOOKUP($H24,areaCercaPuntiClassificaSquadra,3,FALSE),-1)=IFERROR(VLOOKUP($Y24,areaCercaPuntiClassificaSquadra,3,FALSE),-2)),SUMIFS(Dati!$D$2:$D$451,Dati!$A$2:$A$451,$H24,Dati!$H$2:$H$451,$Y24)+SUMIFS(Dati!$K$2:$K$451,Dati!$H$2:$H$451,$H24,Dati!$A$2:$A$451,$Y24)+SUMIFS(Dati!$C$2:$C$451,Dati!$A$2:$A$451,$H24,Dati!$H$2:$H$451,$Y24)+SUMIFS(Dati!$J$2:$J$451,Dati!$H$2:$H$451,$H24,Dati!$A$2:$A$451,$Y24),"-")</f>
        <v/>
      </c>
      <c r="AX24" s="22">
        <f>IF(AND($H24&lt;&gt;"",$Z24&lt;&gt;"",$H24&lt;&gt;$Z24,IFERROR(VLOOKUP($H24,areaCercaPuntiClassificaSquadra,3,FALSE),-1)=IFERROR(VLOOKUP($Z24,areaCercaPuntiClassificaSquadra,3,FALSE),-2)),SUMIFS(Dati!$D$2:$D$451,Dati!$A$2:$A$451,$H24,Dati!$H$2:$H$451,$Z24)+SUMIFS(Dati!$K$2:$K$451,Dati!$H$2:$H$451,$H24,Dati!$A$2:$A$451,$Z24)+SUMIFS(Dati!$C$2:$C$451,Dati!$A$2:$A$451,$H24,Dati!$H$2:$H$451,$Z24)+SUMIFS(Dati!$J$2:$J$451,Dati!$H$2:$H$451,$H24,Dati!$A$2:$A$451,$Z24),"-")</f>
        <v/>
      </c>
      <c r="AY24" s="22">
        <f>IF(AND($H24&lt;&gt;"",$AA24&lt;&gt;"",$H24&lt;&gt;$AA24,IFERROR(VLOOKUP($H24,areaCercaPuntiClassificaSquadra,3,FALSE),-1)=IFERROR(VLOOKUP($AA24,areaCercaPuntiClassificaSquadra,3,FALSE),-2)),SUMIFS(Dati!$D$2:$D$451,Dati!$A$2:$A$451,$H24,Dati!$H$2:$H$451,$AA24)+SUMIFS(Dati!$K$2:$K$451,Dati!$H$2:$H$451,$H24,Dati!$A$2:$A$451,$AA24)+SUMIFS(Dati!$C$2:$C$451,Dati!$A$2:$A$451,$H24,Dati!$H$2:$H$451,$AA24)+SUMIFS(Dati!$J$2:$J$451,Dati!$H$2:$H$451,$H24,Dati!$A$2:$A$451,$AA24),"-")</f>
        <v/>
      </c>
      <c r="AZ24" s="22">
        <f>IF(AND($H24&lt;&gt;"",$AB24&lt;&gt;"",$H24&lt;&gt;$AB24,IFERROR(VLOOKUP($H24,areaCercaPuntiClassificaSquadra,3,FALSE),-1)=IFERROR(VLOOKUP($AB24,areaCercaPuntiClassificaSquadra,3,FALSE),-2)),SUMIFS(Dati!$D$2:$D$451,Dati!$A$2:$A$451,$H24,Dati!$H$2:$H$451,$AB24)+SUMIFS(Dati!$K$2:$K$451,Dati!$H$2:$H$451,$H24,Dati!$A$2:$A$451,$AB24)+SUMIFS(Dati!$C$2:$C$451,Dati!$A$2:$A$451,$H24,Dati!$H$2:$H$451,$AB24)+SUMIFS(Dati!$J$2:$J$451,Dati!$H$2:$H$451,$H24,Dati!$A$2:$A$451,$AB24),"-")</f>
        <v/>
      </c>
      <c r="BA24" s="22">
        <f>IF(AND($H24&lt;&gt;"",$AC24&lt;&gt;"",$H24&lt;&gt;$AC24,IFERROR(VLOOKUP($H24,areaCercaPuntiClassificaSquadra,3,FALSE),-1)=IFERROR(VLOOKUP($AC24,areaCercaPuntiClassificaSquadra,3,FALSE),-2)),SUMIFS(Dati!$D$2:$D$451,Dati!$A$2:$A$451,$H24,Dati!$H$2:$H$451,$AC24)+SUMIFS(Dati!$K$2:$K$451,Dati!$H$2:$H$451,$H24,Dati!$A$2:$A$451,$AC24)+SUMIFS(Dati!$C$2:$C$451,Dati!$A$2:$A$451,$H24,Dati!$H$2:$H$451,$AC24)+SUMIFS(Dati!$J$2:$J$451,Dati!$H$2:$H$451,$H24,Dati!$A$2:$A$451,$AC24),"-")</f>
        <v/>
      </c>
      <c r="BB24" s="22">
        <f>IF(AND($H24&lt;&gt;"",$AD24&lt;&gt;"",$H24&lt;&gt;$AD24,IFERROR(VLOOKUP($H24,areaCercaPuntiClassificaSquadra,3,FALSE),-1)=IFERROR(VLOOKUP($AD24,areaCercaPuntiClassificaSquadra,3,FALSE),-2)),SUMIFS(Dati!$D$2:$D$451,Dati!$A$2:$A$451,$H24,Dati!$H$2:$H$451,$AD24)+SUMIFS(Dati!$K$2:$K$451,Dati!$H$2:$H$451,$H24,Dati!$A$2:$A$451,$AD24)+SUMIFS(Dati!$C$2:$C$451,Dati!$A$2:$A$451,$H24,Dati!$H$2:$H$451,$AD24)+SUMIFS(Dati!$J$2:$J$451,Dati!$H$2:$H$451,$H24,Dati!$A$2:$A$451,$AD24),"-")</f>
        <v/>
      </c>
      <c r="BC24" s="22">
        <f>IF(AND($H24&lt;&gt;"",$AE24&lt;&gt;"",$H24&lt;&gt;$AE24,IFERROR(VLOOKUP($H24,areaCercaPuntiClassificaSquadra,3,FALSE),-1)=IFERROR(VLOOKUP($AE24,areaCercaPuntiClassificaSquadra,3,FALSE),-2)),SUMIFS(Dati!$D$2:$D$451,Dati!$A$2:$A$451,$H24,Dati!$H$2:$H$451,$AE24)+SUMIFS(Dati!$K$2:$K$451,Dati!$H$2:$H$451,$H24,Dati!$A$2:$A$451,$AE24)+SUMIFS(Dati!$C$2:$C$451,Dati!$A$2:$A$451,$H24,Dati!$H$2:$H$451,$AE24)+SUMIFS(Dati!$J$2:$J$451,Dati!$H$2:$H$451,$H24,Dati!$A$2:$A$451,$AE24),"-")</f>
        <v/>
      </c>
      <c r="BD24" s="22">
        <f>IF(AND($H24&lt;&gt;"",$AF24&lt;&gt;"",$H24&lt;&gt;$AF24,IFERROR(VLOOKUP($H24,areaCercaPuntiClassificaSquadra,3,FALSE),-1)=IFERROR(VLOOKUP($AF24,areaCercaPuntiClassificaSquadra,3,FALSE),-2)),SUMIFS(Dati!$D$2:$D$451,Dati!$A$2:$A$451,$H24,Dati!$H$2:$H$451,$AF24)+SUMIFS(Dati!$K$2:$K$451,Dati!$H$2:$H$451,$H24,Dati!$A$2:$A$451,$AF24)+SUMIFS(Dati!$C$2:$C$451,Dati!$A$2:$A$451,$H24,Dati!$H$2:$H$451,$AF24)+SUMIFS(Dati!$J$2:$J$451,Dati!$H$2:$H$451,$H24,Dati!$A$2:$A$451,$AF24),"-")</f>
        <v/>
      </c>
      <c r="BE24" s="22">
        <f>IF(AND($H24&lt;&gt;"",$AG24&lt;&gt;"",$H24&lt;&gt;$AG24,IFERROR(VLOOKUP($H24,areaCercaPuntiClassificaSquadra,3,FALSE),-1)=IFERROR(VLOOKUP($AG24,areaCercaPuntiClassificaSquadra,3,FALSE),-2)),SUMIFS(Dati!$D$2:$D$451,Dati!$A$2:$A$451,$H24,Dati!$H$2:$H$451,$AG24)+SUMIFS(Dati!$K$2:$K$451,Dati!$H$2:$H$451,$H24,Dati!$A$2:$A$451,$AG24)+SUMIFS(Dati!$C$2:$C$451,Dati!$A$2:$A$451,$H24,Dati!$H$2:$H$451,$AG24)+SUMIFS(Dati!$J$2:$J$451,Dati!$H$2:$H$451,$H24,Dati!$A$2:$A$451,$AG24),"-")</f>
        <v/>
      </c>
      <c r="BF24" s="22">
        <f>IF(AND($H24&lt;&gt;"",$AH24&lt;&gt;"",$H24&lt;&gt;$AH24,IFERROR(VLOOKUP($H24,areaCercaPuntiClassificaSquadra,3,FALSE),-1)=IFERROR(VLOOKUP($AH24,areaCercaPuntiClassificaSquadra,3,FALSE),-2)),SUMIFS(Dati!$D$2:$D$451,Dati!$A$2:$A$451,$H24,Dati!$H$2:$H$451,$AH24)+SUMIFS(Dati!$K$2:$K$451,Dati!$H$2:$H$451,$H24,Dati!$A$2:$A$451,$AH24)+SUMIFS(Dati!$C$2:$C$451,Dati!$A$2:$A$451,$H24,Dati!$H$2:$H$451,$AH24)+SUMIFS(Dati!$J$2:$J$451,Dati!$H$2:$H$451,$H24,Dati!$A$2:$A$451,$AH24),"-")</f>
        <v/>
      </c>
      <c r="BH24" s="21">
        <f>$C24</f>
        <v/>
      </c>
      <c r="BI24" s="22">
        <f>IF(AND($H24&lt;&gt;"",$Y24&lt;&gt;"",$H24&lt;&gt;$Y24,IFERROR(VLOOKUP($H24,areaCercaPuntiClassificaSquadra,3,FALSE),-1)=IFERROR(VLOOKUP($Y24,areaCercaPuntiClassificaSquadra,3,FALSE),-2)),SUMIFS(Dati!$E$2:$E$451,Dati!$A$2:$A$451,$H24,Dati!$H$2:$H$451,$Y24)+SUMIFS(Dati!$L$2:$L$451,Dati!$H$2:$H$451,$H24,Dati!$A$2:$A$451,$Y24),"-")</f>
        <v/>
      </c>
      <c r="BJ24" s="22">
        <f>IF(AND($H24&lt;&gt;"",$Z24&lt;&gt;"",$H24&lt;&gt;$Z24,IFERROR(VLOOKUP($H24,areaCercaPuntiClassificaSquadra,3,FALSE),-1)=IFERROR(VLOOKUP($Z24,areaCercaPuntiClassificaSquadra,3,FALSE),-2)),SUMIFS(Dati!$E$2:$E$451,Dati!$A$2:$A$451,$H24,Dati!$H$2:$H$451,$Z24)+SUMIFS(Dati!$L$2:$L$451,Dati!$H$2:$H$451,$H24,Dati!$A$2:$A$451,$Z24),"-")</f>
        <v/>
      </c>
      <c r="BK24" s="22">
        <f>IF(AND($H24&lt;&gt;"",$AA24&lt;&gt;"",$H24&lt;&gt;$AA24,IFERROR(VLOOKUP($H24,areaCercaPuntiClassificaSquadra,3,FALSE),-1)=IFERROR(VLOOKUP($AA24,areaCercaPuntiClassificaSquadra,3,FALSE),-2)),SUMIFS(Dati!$E$2:$E$451,Dati!$A$2:$A$451,$H24,Dati!$H$2:$H$451,$AA24)+SUMIFS(Dati!$L$2:$L$451,Dati!$H$2:$H$451,$H24,Dati!$A$2:$A$451,$AA24),"-")</f>
        <v/>
      </c>
      <c r="BL24" s="22">
        <f>IF(AND($H24&lt;&gt;"",$AB24&lt;&gt;"",$H24&lt;&gt;$AB24,IFERROR(VLOOKUP($H24,areaCercaPuntiClassificaSquadra,3,FALSE),-1)=IFERROR(VLOOKUP($AB24,areaCercaPuntiClassificaSquadra,3,FALSE),-2)),SUMIFS(Dati!$E$2:$E$451,Dati!$A$2:$A$451,$H24,Dati!$H$2:$H$451,$AB24)+SUMIFS(Dati!$L$2:$L$451,Dati!$H$2:$H$451,$H24,Dati!$A$2:$A$451,$AB24),"-")</f>
        <v/>
      </c>
      <c r="BM24" s="22">
        <f>IF(AND($H24&lt;&gt;"",$AC24&lt;&gt;"",$H24&lt;&gt;$AC24,IFERROR(VLOOKUP($H24,areaCercaPuntiClassificaSquadra,3,FALSE),-1)=IFERROR(VLOOKUP($AC24,areaCercaPuntiClassificaSquadra,3,FALSE),-2)),SUMIFS(Dati!$E$2:$E$451,Dati!$A$2:$A$451,$H24,Dati!$H$2:$H$451,$AC24)+SUMIFS(Dati!$L$2:$L$451,Dati!$H$2:$H$451,$H24,Dati!$A$2:$A$451,$AC24),"-")</f>
        <v/>
      </c>
      <c r="BN24" s="22">
        <f>IF(AND($H24&lt;&gt;"",$AD24&lt;&gt;"",$H24&lt;&gt;$AD24,IFERROR(VLOOKUP($H24,areaCercaPuntiClassificaSquadra,3,FALSE),-1)=IFERROR(VLOOKUP($AD24,areaCercaPuntiClassificaSquadra,3,FALSE),-2)),SUMIFS(Dati!$E$2:$E$451,Dati!$A$2:$A$451,$H24,Dati!$H$2:$H$451,$AD24)+SUMIFS(Dati!$L$2:$L$451,Dati!$H$2:$H$451,$H24,Dati!$A$2:$A$451,$AD24),"-")</f>
        <v/>
      </c>
      <c r="BO24" s="22">
        <f>IF(AND($H24&lt;&gt;"",$AE24&lt;&gt;"",$H24&lt;&gt;$AE24,IFERROR(VLOOKUP($H24,areaCercaPuntiClassificaSquadra,3,FALSE),-1)=IFERROR(VLOOKUP($AE24,areaCercaPuntiClassificaSquadra,3,FALSE),-2)),SUMIFS(Dati!$E$2:$E$451,Dati!$A$2:$A$451,$H24,Dati!$H$2:$H$451,$AE24)+SUMIFS(Dati!$L$2:$L$451,Dati!$H$2:$H$451,$H24,Dati!$A$2:$A$451,$AE24),"-")</f>
        <v/>
      </c>
      <c r="BP24" s="22">
        <f>IF(AND($H24&lt;&gt;"",$AF24&lt;&gt;"",$H24&lt;&gt;$AF24,IFERROR(VLOOKUP($H24,areaCercaPuntiClassificaSquadra,3,FALSE),-1)=IFERROR(VLOOKUP($AF24,areaCercaPuntiClassificaSquadra,3,FALSE),-2)),SUMIFS(Dati!$E$2:$E$451,Dati!$A$2:$A$451,$H24,Dati!$H$2:$H$451,$AF24)+SUMIFS(Dati!$L$2:$L$451,Dati!$H$2:$H$451,$H24,Dati!$A$2:$A$451,$AF24),"-")</f>
        <v/>
      </c>
      <c r="BQ24" s="22">
        <f>IF(AND($H24&lt;&gt;"",$AG24&lt;&gt;"",$H24&lt;&gt;$AG24,IFERROR(VLOOKUP($H24,areaCercaPuntiClassificaSquadra,3,FALSE),-1)=IFERROR(VLOOKUP($AG24,areaCercaPuntiClassificaSquadra,3,FALSE),-2)),SUMIFS(Dati!$E$2:$E$451,Dati!$A$2:$A$451,$H24,Dati!$H$2:$H$451,$AG24)+SUMIFS(Dati!$L$2:$L$451,Dati!$H$2:$H$451,$H24,Dati!$A$2:$A$451,$AG24),"-")</f>
        <v/>
      </c>
      <c r="BR24" s="22">
        <f>IF(AND($H24&lt;&gt;"",$AH24&lt;&gt;"",$H24&lt;&gt;$AH24,IFERROR(VLOOKUP($H24,areaCercaPuntiClassificaSquadra,3,FALSE),-1)=IFERROR(VLOOKUP($AH24,areaCercaPuntiClassificaSquadra,3,FALSE),-2)),SUMIFS(Dati!$E$2:$E$451,Dati!$A$2:$A$451,$H24,Dati!$H$2:$H$451,$AH24)+SUMIFS(Dati!$L$2:$L$451,Dati!$H$2:$H$451,$H24,Dati!$A$2:$A$451,$AH24),"-")</f>
        <v/>
      </c>
      <c r="BT24" s="21">
        <f>$C24</f>
        <v/>
      </c>
      <c r="BU24" s="22">
        <f>IF(AND($H24&lt;&gt;"",$Y24&lt;&gt;"",$H24&lt;&gt;$Y24,IFERROR(VLOOKUP($H24,areaCercaPuntiClassificaSquadra,3,FALSE),-1)=IFERROR(VLOOKUP($Y24,areaCercaPuntiClassificaSquadra,3,FALSE),-2)),SUMIFS(Dati!$F$2:$F$451,Dati!$A$2:$A$451,$H24,Dati!$H$2:$H$451,$Y24)+SUMIFS(Dati!$M$2:$M$451,Dati!$H$2:$H$451,$H24,Dati!$A$2:$A$451,$Y24),"-")</f>
        <v/>
      </c>
      <c r="BV24" s="22">
        <f>IF(AND($H24&lt;&gt;"",$Z24&lt;&gt;"",$H24&lt;&gt;$Z24,IFERROR(VLOOKUP($H24,areaCercaPuntiClassificaSquadra,3,FALSE),-1)=IFERROR(VLOOKUP($Z24,areaCercaPuntiClassificaSquadra,3,FALSE),-2)),SUMIFS(Dati!$F$2:$F$451,Dati!$A$2:$A$451,$H24,Dati!$H$2:$H$451,$Z24)+SUMIFS(Dati!$M$2:$M$451,Dati!$H$2:$H$451,$H24,Dati!$A$2:$A$451,$Z24),"-")</f>
        <v/>
      </c>
      <c r="BW24" s="22">
        <f>IF(AND($H24&lt;&gt;"",$AA24&lt;&gt;"",$H24&lt;&gt;$AA24,IFERROR(VLOOKUP($H24,areaCercaPuntiClassificaSquadra,3,FALSE),-1)=IFERROR(VLOOKUP($AA24,areaCercaPuntiClassificaSquadra,3,FALSE),-2)),SUMIFS(Dati!$F$2:$F$451,Dati!$A$2:$A$451,$H24,Dati!$H$2:$H$451,$AA24)+SUMIFS(Dati!$M$2:$M$451,Dati!$H$2:$H$451,$H24,Dati!$A$2:$A$451,$AA24),"-")</f>
        <v/>
      </c>
      <c r="BX24" s="22">
        <f>IF(AND($H24&lt;&gt;"",$AB24&lt;&gt;"",$H24&lt;&gt;$AB24,IFERROR(VLOOKUP($H24,areaCercaPuntiClassificaSquadra,3,FALSE),-1)=IFERROR(VLOOKUP($AB24,areaCercaPuntiClassificaSquadra,3,FALSE),-2)),SUMIFS(Dati!$F$2:$F$451,Dati!$A$2:$A$451,$H24,Dati!$H$2:$H$451,$AB24)+SUMIFS(Dati!$M$2:$M$451,Dati!$H$2:$H$451,$H24,Dati!$A$2:$A$451,$AB24),"-")</f>
        <v/>
      </c>
      <c r="BY24" s="22">
        <f>IF(AND($H24&lt;&gt;"",$AC24&lt;&gt;"",$H24&lt;&gt;$AC24,IFERROR(VLOOKUP($H24,areaCercaPuntiClassificaSquadra,3,FALSE),-1)=IFERROR(VLOOKUP($AC24,areaCercaPuntiClassificaSquadra,3,FALSE),-2)),SUMIFS(Dati!$F$2:$F$451,Dati!$A$2:$A$451,$H24,Dati!$H$2:$H$451,$AC24)+SUMIFS(Dati!$M$2:$M$451,Dati!$H$2:$H$451,$H24,Dati!$A$2:$A$451,$AC24),"-")</f>
        <v/>
      </c>
      <c r="BZ24" s="22">
        <f>IF(AND($H24&lt;&gt;"",$AD24&lt;&gt;"",$H24&lt;&gt;$AD24,IFERROR(VLOOKUP($H24,areaCercaPuntiClassificaSquadra,3,FALSE),-1)=IFERROR(VLOOKUP($AD24,areaCercaPuntiClassificaSquadra,3,FALSE),-2)),SUMIFS(Dati!$F$2:$F$451,Dati!$A$2:$A$451,$H24,Dati!$H$2:$H$451,$AD24)+SUMIFS(Dati!$M$2:$M$451,Dati!$H$2:$H$451,$H24,Dati!$A$2:$A$451,$AD24),"-")</f>
        <v/>
      </c>
      <c r="CA24" s="22">
        <f>IF(AND($H24&lt;&gt;"",$AE24&lt;&gt;"",$H24&lt;&gt;$AE24,IFERROR(VLOOKUP($H24,areaCercaPuntiClassificaSquadra,3,FALSE),-1)=IFERROR(VLOOKUP($AE24,areaCercaPuntiClassificaSquadra,3,FALSE),-2)),SUMIFS(Dati!$F$2:$F$451,Dati!$A$2:$A$451,$H24,Dati!$H$2:$H$451,$AE24)+SUMIFS(Dati!$M$2:$M$451,Dati!$H$2:$H$451,$H24,Dati!$A$2:$A$451,$AE24),"-")</f>
        <v/>
      </c>
      <c r="CB24" s="22">
        <f>IF(AND($H24&lt;&gt;"",$AF24&lt;&gt;"",$H24&lt;&gt;$AF24,IFERROR(VLOOKUP($H24,areaCercaPuntiClassificaSquadra,3,FALSE),-1)=IFERROR(VLOOKUP($AF24,areaCercaPuntiClassificaSquadra,3,FALSE),-2)),SUMIFS(Dati!$F$2:$F$451,Dati!$A$2:$A$451,$H24,Dati!$H$2:$H$451,$AF24)+SUMIFS(Dati!$M$2:$M$451,Dati!$H$2:$H$451,$H24,Dati!$A$2:$A$451,$AF24),"-")</f>
        <v/>
      </c>
      <c r="CC24" s="22">
        <f>IF(AND($H24&lt;&gt;"",$AG24&lt;&gt;"",$H24&lt;&gt;$AG24,IFERROR(VLOOKUP($H24,areaCercaPuntiClassificaSquadra,3,FALSE),-1)=IFERROR(VLOOKUP($AG24,areaCercaPuntiClassificaSquadra,3,FALSE),-2)),SUMIFS(Dati!$F$2:$F$451,Dati!$A$2:$A$451,$H24,Dati!$H$2:$H$451,$AG24)+SUMIFS(Dati!$M$2:$M$451,Dati!$H$2:$H$451,$H24,Dati!$A$2:$A$451,$AG24),"-")</f>
        <v/>
      </c>
      <c r="CD24" s="22">
        <f>IF(AND($H24&lt;&gt;"",$AH24&lt;&gt;"",$H24&lt;&gt;$AH24,IFERROR(VLOOKUP($H24,areaCercaPuntiClassificaSquadra,3,FALSE),-1)=IFERROR(VLOOKUP($AH24,areaCercaPuntiClassificaSquadra,3,FALSE),-2)),SUMIFS(Dati!$F$2:$F$451,Dati!$A$2:$A$451,$H24,Dati!$H$2:$H$451,$AH24)+SUMIFS(Dati!$M$2:$M$451,Dati!$H$2:$H$451,$H24,Dati!$A$2:$A$451,$AH24),"-")</f>
        <v/>
      </c>
      <c r="CF24" s="22">
        <f>IF($C24="","",SUM(AK24:AT24))</f>
        <v/>
      </c>
    </row>
    <row r="25">
      <c r="B25" s="12" t="inlineStr">
        <is>
          <t>B02</t>
        </is>
      </c>
      <c r="C25" s="13" t="n"/>
      <c r="D25" s="14" t="n"/>
      <c r="E25" s="23" t="inlineStr">
        <is>
          <t>B</t>
        </is>
      </c>
      <c r="G25" s="24">
        <f>IF($C25="","",$E25&amp;(COUNTIFS(I$14:I$113,"&gt;"&amp;I25,E$14:E$113,"="&amp;E25,C$14:C$113,"&lt;&gt;")+COUNTIFS(I$14:I$113,"="&amp;I25,H$14:H$113,"&lt;="&amp;H25,E$14:E$113,"="&amp;E25,C$14:C$113,"&lt;&gt;")))</f>
        <v/>
      </c>
      <c r="H25" s="17">
        <f>IF($C25="","",IFERROR(LEFT($C25,FIND("-",$C25)-1),$C25))</f>
        <v/>
      </c>
      <c r="I25" s="12">
        <f>TEXT(1000000000+J25,"|0000000000|")&amp;TEXT(SUM(AK25:AT25),"0000000000|")&amp;IF(SUM(BU25:CD25)=0,"0000000000|",TEXT(ROUND(SUM(BI25:BR25)/SUM(BU25:CD25),4)*100000,"0000000000|"))&amp;IF(P25=0,"0000000000|",TEXT(ROUND(O25/P25,4)*100000,"0000000000|"))</f>
        <v/>
      </c>
      <c r="J25" s="24">
        <f>L25*constPuntiVittoria+M25*constPuntiSconfitta+N25*constPuntiForfait+IF(D25="",0,D25)</f>
        <v/>
      </c>
      <c r="K25" s="12">
        <f>SUM(L25:N25)</f>
        <v/>
      </c>
      <c r="L25" s="12">
        <f>IF($H25="",0,SUMIF(Dati!$A$2:$A$451,$H25,Dati!$B$2:$B$451)+SUMIF(Dati!$H$2:$H$451,$H25,Dati!$I$2:$I$451))</f>
        <v/>
      </c>
      <c r="M25" s="12">
        <f>IF($H25="",0,SUMIF(Dati!$A$2:$A$451,$H25,Dati!$D$2:$D$451)+SUMIF(Dati!$H$2:$H$451,$H25,Dati!$K$2:$K$451))</f>
        <v/>
      </c>
      <c r="N25" s="12">
        <f>IF($H25="",0,SUMIF(Dati!$A$2:$A$451,$H25,Dati!$C$2:$C$451)+SUMIF(Dati!$H$2:$H$451,$H25,Dati!$J$2:$J$451))</f>
        <v/>
      </c>
      <c r="O25" s="12">
        <f>IF($H25="",0,SUMIF(Dati!$A$2:$A$451,$H25,Dati!$E$2:$E$451)+SUMIF(Dati!$H$2:$H$451,$H25,Dati!$L$2:$L$451))</f>
        <v/>
      </c>
      <c r="P25" s="12">
        <f>IF($H25="",0,SUMIF(Dati!$A$2:$A$451,$H25,Dati!$F$2:$F$451)+SUMIF(Dati!$H$2:$H$451,$H25,Dati!$M$2:$M$451))</f>
        <v/>
      </c>
      <c r="Q25" s="12">
        <f>IF($H25="",0,SUMIF(Dati!$A$2:$A$451,$H25,Dati!$G$2:$G$451)+SUMIF(Dati!$H$2:$H$451,$H25,Dati!$N$2:$N$451))</f>
        <v/>
      </c>
      <c r="R25" s="12">
        <f>IF(K25=0,0,ROUND(O25/K25,2))</f>
        <v/>
      </c>
      <c r="S25" s="12">
        <f>IF(K25=0,0,ROUND(P25/K25,2))</f>
        <v/>
      </c>
      <c r="T25" s="12">
        <f>IF(K25=0,0,ROUND(Q25/K25,2))</f>
        <v/>
      </c>
      <c r="U25" s="12">
        <f>IF(COUNTIFS($E$14:$E$113,$E25,$J$14:$J$113,$J25,$C$14:$C$113,"&lt;&gt;")&lt;=1,"-",SUM(AK25:AT25)&amp;"-"&amp;SUM(AW25:BF25))</f>
        <v/>
      </c>
      <c r="V25" s="18">
        <f>IF(COUNTIFS($E$14:$E$113,$E25,$J$14:$J$113,$J25,$C$14:$C$113,"&lt;&gt;",$CF$14:$CF$113,$CF25)&lt;=1,"-",IF(SUM(BU25:CD25)=0,0,ROUND(SUM(BI25:BR25)/SUM(BU25:CD25),3)))</f>
        <v/>
      </c>
      <c r="W25" s="18">
        <f>IF(COUNTIFS($E$14:$E$113,$E25,$J$14:$J$113,$J25,$C$14:$C$113,"&lt;&gt;",$CF$14:$CF$113,$CF25,$V$14:$V$113,$V25)&lt;=1,"-",IF(P25=0,0,ROUND(O25/P25,3)))</f>
        <v/>
      </c>
      <c r="X25" s="19">
        <f>IF($C25="","",$E25&amp;"#"&amp;COUNTIFS($E$14:$E25,$E25,$C$14:$C25,"&lt;&gt;"))</f>
        <v/>
      </c>
      <c r="Y25" s="20">
        <f>IFERROR(INDEX($H$14:$H$113,MATCH($E25&amp;"#1",$X$14:$X$113,0)),"")</f>
        <v/>
      </c>
      <c r="Z25" s="20">
        <f>IFERROR(INDEX($H$14:$H$113,MATCH($E25&amp;"#2",$X$14:$X$113,0)),"")</f>
        <v/>
      </c>
      <c r="AA25" s="20">
        <f>IFERROR(INDEX($H$14:$H$113,MATCH($E25&amp;"#3",$X$14:$X$113,0)),"")</f>
        <v/>
      </c>
      <c r="AB25" s="20">
        <f>IFERROR(INDEX($H$14:$H$113,MATCH($E25&amp;"#4",$X$14:$X$113,0)),"")</f>
        <v/>
      </c>
      <c r="AC25" s="20">
        <f>IFERROR(INDEX($H$14:$H$113,MATCH($E25&amp;"#5",$X$14:$X$113,0)),"")</f>
        <v/>
      </c>
      <c r="AD25" s="20">
        <f>IFERROR(INDEX($H$14:$H$113,MATCH($E25&amp;"#6",$X$14:$X$113,0)),"")</f>
        <v/>
      </c>
      <c r="AE25" s="20">
        <f>IFERROR(INDEX($H$14:$H$113,MATCH($E25&amp;"#7",$X$14:$X$113,0)),"")</f>
        <v/>
      </c>
      <c r="AF25" s="20">
        <f>IFERROR(INDEX($H$14:$H$113,MATCH($E25&amp;"#8",$X$14:$X$113,0)),"")</f>
        <v/>
      </c>
      <c r="AG25" s="20">
        <f>IFERROR(INDEX($H$14:$H$113,MATCH($E25&amp;"#9",$X$14:$X$113,0)),"")</f>
        <v/>
      </c>
      <c r="AH25" s="20">
        <f>IFERROR(INDEX($H$14:$H$113,MATCH($E25&amp;"#10",$X$14:$X$113,0)),"")</f>
        <v/>
      </c>
      <c r="AJ25" s="21">
        <f>$C25</f>
        <v/>
      </c>
      <c r="AK25" s="22">
        <f>IF(AND($H25&lt;&gt;"",$Y25&lt;&gt;"",$H25&lt;&gt;$Y25,IFERROR(VLOOKUP($H25,areaCercaPuntiClassificaSquadra,3,FALSE),-1)=IFERROR(VLOOKUP($Y25,areaCercaPuntiClassificaSquadra,3,FALSE),-2)),SUMIFS(Dati!$B$2:$B$451,Dati!$A$2:$A$451,$H25,Dati!$H$2:$H$451,$Y25)+SUMIFS(Dati!$I$2:$I$451,Dati!$H$2:$H$451,$H25,Dati!$A$2:$A$451,$Y25),"-")</f>
        <v/>
      </c>
      <c r="AL25" s="22">
        <f>IF(AND($H25&lt;&gt;"",$Z25&lt;&gt;"",$H25&lt;&gt;$Z25,IFERROR(VLOOKUP($H25,areaCercaPuntiClassificaSquadra,3,FALSE),-1)=IFERROR(VLOOKUP($Z25,areaCercaPuntiClassificaSquadra,3,FALSE),-2)),SUMIFS(Dati!$B$2:$B$451,Dati!$A$2:$A$451,$H25,Dati!$H$2:$H$451,$Z25)+SUMIFS(Dati!$I$2:$I$451,Dati!$H$2:$H$451,$H25,Dati!$A$2:$A$451,$Z25),"-")</f>
        <v/>
      </c>
      <c r="AM25" s="22">
        <f>IF(AND($H25&lt;&gt;"",$AA25&lt;&gt;"",$H25&lt;&gt;$AA25,IFERROR(VLOOKUP($H25,areaCercaPuntiClassificaSquadra,3,FALSE),-1)=IFERROR(VLOOKUP($AA25,areaCercaPuntiClassificaSquadra,3,FALSE),-2)),SUMIFS(Dati!$B$2:$B$451,Dati!$A$2:$A$451,$H25,Dati!$H$2:$H$451,$AA25)+SUMIFS(Dati!$I$2:$I$451,Dati!$H$2:$H$451,$H25,Dati!$A$2:$A$451,$AA25),"-")</f>
        <v/>
      </c>
      <c r="AN25" s="22">
        <f>IF(AND($H25&lt;&gt;"",$AB25&lt;&gt;"",$H25&lt;&gt;$AB25,IFERROR(VLOOKUP($H25,areaCercaPuntiClassificaSquadra,3,FALSE),-1)=IFERROR(VLOOKUP($AB25,areaCercaPuntiClassificaSquadra,3,FALSE),-2)),SUMIFS(Dati!$B$2:$B$451,Dati!$A$2:$A$451,$H25,Dati!$H$2:$H$451,$AB25)+SUMIFS(Dati!$I$2:$I$451,Dati!$H$2:$H$451,$H25,Dati!$A$2:$A$451,$AB25),"-")</f>
        <v/>
      </c>
      <c r="AO25" s="22">
        <f>IF(AND($H25&lt;&gt;"",$AC25&lt;&gt;"",$H25&lt;&gt;$AC25,IFERROR(VLOOKUP($H25,areaCercaPuntiClassificaSquadra,3,FALSE),-1)=IFERROR(VLOOKUP($AC25,areaCercaPuntiClassificaSquadra,3,FALSE),-2)),SUMIFS(Dati!$B$2:$B$451,Dati!$A$2:$A$451,$H25,Dati!$H$2:$H$451,$AC25)+SUMIFS(Dati!$I$2:$I$451,Dati!$H$2:$H$451,$H25,Dati!$A$2:$A$451,$AC25),"-")</f>
        <v/>
      </c>
      <c r="AP25" s="22">
        <f>IF(AND($H25&lt;&gt;"",$AD25&lt;&gt;"",$H25&lt;&gt;$AD25,IFERROR(VLOOKUP($H25,areaCercaPuntiClassificaSquadra,3,FALSE),-1)=IFERROR(VLOOKUP($AD25,areaCercaPuntiClassificaSquadra,3,FALSE),-2)),SUMIFS(Dati!$B$2:$B$451,Dati!$A$2:$A$451,$H25,Dati!$H$2:$H$451,$AD25)+SUMIFS(Dati!$I$2:$I$451,Dati!$H$2:$H$451,$H25,Dati!$A$2:$A$451,$AD25),"-")</f>
        <v/>
      </c>
      <c r="AQ25" s="22">
        <f>IF(AND($H25&lt;&gt;"",$AE25&lt;&gt;"",$H25&lt;&gt;$AE25,IFERROR(VLOOKUP($H25,areaCercaPuntiClassificaSquadra,3,FALSE),-1)=IFERROR(VLOOKUP($AE25,areaCercaPuntiClassificaSquadra,3,FALSE),-2)),SUMIFS(Dati!$B$2:$B$451,Dati!$A$2:$A$451,$H25,Dati!$H$2:$H$451,$AE25)+SUMIFS(Dati!$I$2:$I$451,Dati!$H$2:$H$451,$H25,Dati!$A$2:$A$451,$AE25),"-")</f>
        <v/>
      </c>
      <c r="AR25" s="22">
        <f>IF(AND($H25&lt;&gt;"",$AF25&lt;&gt;"",$H25&lt;&gt;$AF25,IFERROR(VLOOKUP($H25,areaCercaPuntiClassificaSquadra,3,FALSE),-1)=IFERROR(VLOOKUP($AF25,areaCercaPuntiClassificaSquadra,3,FALSE),-2)),SUMIFS(Dati!$B$2:$B$451,Dati!$A$2:$A$451,$H25,Dati!$H$2:$H$451,$AF25)+SUMIFS(Dati!$I$2:$I$451,Dati!$H$2:$H$451,$H25,Dati!$A$2:$A$451,$AF25),"-")</f>
        <v/>
      </c>
      <c r="AS25" s="22">
        <f>IF(AND($H25&lt;&gt;"",$AG25&lt;&gt;"",$H25&lt;&gt;$AG25,IFERROR(VLOOKUP($H25,areaCercaPuntiClassificaSquadra,3,FALSE),-1)=IFERROR(VLOOKUP($AG25,areaCercaPuntiClassificaSquadra,3,FALSE),-2)),SUMIFS(Dati!$B$2:$B$451,Dati!$A$2:$A$451,$H25,Dati!$H$2:$H$451,$AG25)+SUMIFS(Dati!$I$2:$I$451,Dati!$H$2:$H$451,$H25,Dati!$A$2:$A$451,$AG25),"-")</f>
        <v/>
      </c>
      <c r="AT25" s="22">
        <f>IF(AND($H25&lt;&gt;"",$AH25&lt;&gt;"",$H25&lt;&gt;$AH25,IFERROR(VLOOKUP($H25,areaCercaPuntiClassificaSquadra,3,FALSE),-1)=IFERROR(VLOOKUP($AH25,areaCercaPuntiClassificaSquadra,3,FALSE),-2)),SUMIFS(Dati!$B$2:$B$451,Dati!$A$2:$A$451,$H25,Dati!$H$2:$H$451,$AH25)+SUMIFS(Dati!$I$2:$I$451,Dati!$H$2:$H$451,$H25,Dati!$A$2:$A$451,$AH25),"-")</f>
        <v/>
      </c>
      <c r="AV25" s="21">
        <f>$C25</f>
        <v/>
      </c>
      <c r="AW25" s="22">
        <f>IF(AND($H25&lt;&gt;"",$Y25&lt;&gt;"",$H25&lt;&gt;$Y25,IFERROR(VLOOKUP($H25,areaCercaPuntiClassificaSquadra,3,FALSE),-1)=IFERROR(VLOOKUP($Y25,areaCercaPuntiClassificaSquadra,3,FALSE),-2)),SUMIFS(Dati!$D$2:$D$451,Dati!$A$2:$A$451,$H25,Dati!$H$2:$H$451,$Y25)+SUMIFS(Dati!$K$2:$K$451,Dati!$H$2:$H$451,$H25,Dati!$A$2:$A$451,$Y25)+SUMIFS(Dati!$C$2:$C$451,Dati!$A$2:$A$451,$H25,Dati!$H$2:$H$451,$Y25)+SUMIFS(Dati!$J$2:$J$451,Dati!$H$2:$H$451,$H25,Dati!$A$2:$A$451,$Y25),"-")</f>
        <v/>
      </c>
      <c r="AX25" s="22">
        <f>IF(AND($H25&lt;&gt;"",$Z25&lt;&gt;"",$H25&lt;&gt;$Z25,IFERROR(VLOOKUP($H25,areaCercaPuntiClassificaSquadra,3,FALSE),-1)=IFERROR(VLOOKUP($Z25,areaCercaPuntiClassificaSquadra,3,FALSE),-2)),SUMIFS(Dati!$D$2:$D$451,Dati!$A$2:$A$451,$H25,Dati!$H$2:$H$451,$Z25)+SUMIFS(Dati!$K$2:$K$451,Dati!$H$2:$H$451,$H25,Dati!$A$2:$A$451,$Z25)+SUMIFS(Dati!$C$2:$C$451,Dati!$A$2:$A$451,$H25,Dati!$H$2:$H$451,$Z25)+SUMIFS(Dati!$J$2:$J$451,Dati!$H$2:$H$451,$H25,Dati!$A$2:$A$451,$Z25),"-")</f>
        <v/>
      </c>
      <c r="AY25" s="22">
        <f>IF(AND($H25&lt;&gt;"",$AA25&lt;&gt;"",$H25&lt;&gt;$AA25,IFERROR(VLOOKUP($H25,areaCercaPuntiClassificaSquadra,3,FALSE),-1)=IFERROR(VLOOKUP($AA25,areaCercaPuntiClassificaSquadra,3,FALSE),-2)),SUMIFS(Dati!$D$2:$D$451,Dati!$A$2:$A$451,$H25,Dati!$H$2:$H$451,$AA25)+SUMIFS(Dati!$K$2:$K$451,Dati!$H$2:$H$451,$H25,Dati!$A$2:$A$451,$AA25)+SUMIFS(Dati!$C$2:$C$451,Dati!$A$2:$A$451,$H25,Dati!$H$2:$H$451,$AA25)+SUMIFS(Dati!$J$2:$J$451,Dati!$H$2:$H$451,$H25,Dati!$A$2:$A$451,$AA25),"-")</f>
        <v/>
      </c>
      <c r="AZ25" s="22">
        <f>IF(AND($H25&lt;&gt;"",$AB25&lt;&gt;"",$H25&lt;&gt;$AB25,IFERROR(VLOOKUP($H25,areaCercaPuntiClassificaSquadra,3,FALSE),-1)=IFERROR(VLOOKUP($AB25,areaCercaPuntiClassificaSquadra,3,FALSE),-2)),SUMIFS(Dati!$D$2:$D$451,Dati!$A$2:$A$451,$H25,Dati!$H$2:$H$451,$AB25)+SUMIFS(Dati!$K$2:$K$451,Dati!$H$2:$H$451,$H25,Dati!$A$2:$A$451,$AB25)+SUMIFS(Dati!$C$2:$C$451,Dati!$A$2:$A$451,$H25,Dati!$H$2:$H$451,$AB25)+SUMIFS(Dati!$J$2:$J$451,Dati!$H$2:$H$451,$H25,Dati!$A$2:$A$451,$AB25),"-")</f>
        <v/>
      </c>
      <c r="BA25" s="22">
        <f>IF(AND($H25&lt;&gt;"",$AC25&lt;&gt;"",$H25&lt;&gt;$AC25,IFERROR(VLOOKUP($H25,areaCercaPuntiClassificaSquadra,3,FALSE),-1)=IFERROR(VLOOKUP($AC25,areaCercaPuntiClassificaSquadra,3,FALSE),-2)),SUMIFS(Dati!$D$2:$D$451,Dati!$A$2:$A$451,$H25,Dati!$H$2:$H$451,$AC25)+SUMIFS(Dati!$K$2:$K$451,Dati!$H$2:$H$451,$H25,Dati!$A$2:$A$451,$AC25)+SUMIFS(Dati!$C$2:$C$451,Dati!$A$2:$A$451,$H25,Dati!$H$2:$H$451,$AC25)+SUMIFS(Dati!$J$2:$J$451,Dati!$H$2:$H$451,$H25,Dati!$A$2:$A$451,$AC25),"-")</f>
        <v/>
      </c>
      <c r="BB25" s="22">
        <f>IF(AND($H25&lt;&gt;"",$AD25&lt;&gt;"",$H25&lt;&gt;$AD25,IFERROR(VLOOKUP($H25,areaCercaPuntiClassificaSquadra,3,FALSE),-1)=IFERROR(VLOOKUP($AD25,areaCercaPuntiClassificaSquadra,3,FALSE),-2)),SUMIFS(Dati!$D$2:$D$451,Dati!$A$2:$A$451,$H25,Dati!$H$2:$H$451,$AD25)+SUMIFS(Dati!$K$2:$K$451,Dati!$H$2:$H$451,$H25,Dati!$A$2:$A$451,$AD25)+SUMIFS(Dati!$C$2:$C$451,Dati!$A$2:$A$451,$H25,Dati!$H$2:$H$451,$AD25)+SUMIFS(Dati!$J$2:$J$451,Dati!$H$2:$H$451,$H25,Dati!$A$2:$A$451,$AD25),"-")</f>
        <v/>
      </c>
      <c r="BC25" s="22">
        <f>IF(AND($H25&lt;&gt;"",$AE25&lt;&gt;"",$H25&lt;&gt;$AE25,IFERROR(VLOOKUP($H25,areaCercaPuntiClassificaSquadra,3,FALSE),-1)=IFERROR(VLOOKUP($AE25,areaCercaPuntiClassificaSquadra,3,FALSE),-2)),SUMIFS(Dati!$D$2:$D$451,Dati!$A$2:$A$451,$H25,Dati!$H$2:$H$451,$AE25)+SUMIFS(Dati!$K$2:$K$451,Dati!$H$2:$H$451,$H25,Dati!$A$2:$A$451,$AE25)+SUMIFS(Dati!$C$2:$C$451,Dati!$A$2:$A$451,$H25,Dati!$H$2:$H$451,$AE25)+SUMIFS(Dati!$J$2:$J$451,Dati!$H$2:$H$451,$H25,Dati!$A$2:$A$451,$AE25),"-")</f>
        <v/>
      </c>
      <c r="BD25" s="22">
        <f>IF(AND($H25&lt;&gt;"",$AF25&lt;&gt;"",$H25&lt;&gt;$AF25,IFERROR(VLOOKUP($H25,areaCercaPuntiClassificaSquadra,3,FALSE),-1)=IFERROR(VLOOKUP($AF25,areaCercaPuntiClassificaSquadra,3,FALSE),-2)),SUMIFS(Dati!$D$2:$D$451,Dati!$A$2:$A$451,$H25,Dati!$H$2:$H$451,$AF25)+SUMIFS(Dati!$K$2:$K$451,Dati!$H$2:$H$451,$H25,Dati!$A$2:$A$451,$AF25)+SUMIFS(Dati!$C$2:$C$451,Dati!$A$2:$A$451,$H25,Dati!$H$2:$H$451,$AF25)+SUMIFS(Dati!$J$2:$J$451,Dati!$H$2:$H$451,$H25,Dati!$A$2:$A$451,$AF25),"-")</f>
        <v/>
      </c>
      <c r="BE25" s="22">
        <f>IF(AND($H25&lt;&gt;"",$AG25&lt;&gt;"",$H25&lt;&gt;$AG25,IFERROR(VLOOKUP($H25,areaCercaPuntiClassificaSquadra,3,FALSE),-1)=IFERROR(VLOOKUP($AG25,areaCercaPuntiClassificaSquadra,3,FALSE),-2)),SUMIFS(Dati!$D$2:$D$451,Dati!$A$2:$A$451,$H25,Dati!$H$2:$H$451,$AG25)+SUMIFS(Dati!$K$2:$K$451,Dati!$H$2:$H$451,$H25,Dati!$A$2:$A$451,$AG25)+SUMIFS(Dati!$C$2:$C$451,Dati!$A$2:$A$451,$H25,Dati!$H$2:$H$451,$AG25)+SUMIFS(Dati!$J$2:$J$451,Dati!$H$2:$H$451,$H25,Dati!$A$2:$A$451,$AG25),"-")</f>
        <v/>
      </c>
      <c r="BF25" s="22">
        <f>IF(AND($H25&lt;&gt;"",$AH25&lt;&gt;"",$H25&lt;&gt;$AH25,IFERROR(VLOOKUP($H25,areaCercaPuntiClassificaSquadra,3,FALSE),-1)=IFERROR(VLOOKUP($AH25,areaCercaPuntiClassificaSquadra,3,FALSE),-2)),SUMIFS(Dati!$D$2:$D$451,Dati!$A$2:$A$451,$H25,Dati!$H$2:$H$451,$AH25)+SUMIFS(Dati!$K$2:$K$451,Dati!$H$2:$H$451,$H25,Dati!$A$2:$A$451,$AH25)+SUMIFS(Dati!$C$2:$C$451,Dati!$A$2:$A$451,$H25,Dati!$H$2:$H$451,$AH25)+SUMIFS(Dati!$J$2:$J$451,Dati!$H$2:$H$451,$H25,Dati!$A$2:$A$451,$AH25),"-")</f>
        <v/>
      </c>
      <c r="BH25" s="21">
        <f>$C25</f>
        <v/>
      </c>
      <c r="BI25" s="22">
        <f>IF(AND($H25&lt;&gt;"",$Y25&lt;&gt;"",$H25&lt;&gt;$Y25,IFERROR(VLOOKUP($H25,areaCercaPuntiClassificaSquadra,3,FALSE),-1)=IFERROR(VLOOKUP($Y25,areaCercaPuntiClassificaSquadra,3,FALSE),-2)),SUMIFS(Dati!$E$2:$E$451,Dati!$A$2:$A$451,$H25,Dati!$H$2:$H$451,$Y25)+SUMIFS(Dati!$L$2:$L$451,Dati!$H$2:$H$451,$H25,Dati!$A$2:$A$451,$Y25),"-")</f>
        <v/>
      </c>
      <c r="BJ25" s="22">
        <f>IF(AND($H25&lt;&gt;"",$Z25&lt;&gt;"",$H25&lt;&gt;$Z25,IFERROR(VLOOKUP($H25,areaCercaPuntiClassificaSquadra,3,FALSE),-1)=IFERROR(VLOOKUP($Z25,areaCercaPuntiClassificaSquadra,3,FALSE),-2)),SUMIFS(Dati!$E$2:$E$451,Dati!$A$2:$A$451,$H25,Dati!$H$2:$H$451,$Z25)+SUMIFS(Dati!$L$2:$L$451,Dati!$H$2:$H$451,$H25,Dati!$A$2:$A$451,$Z25),"-")</f>
        <v/>
      </c>
      <c r="BK25" s="22">
        <f>IF(AND($H25&lt;&gt;"",$AA25&lt;&gt;"",$H25&lt;&gt;$AA25,IFERROR(VLOOKUP($H25,areaCercaPuntiClassificaSquadra,3,FALSE),-1)=IFERROR(VLOOKUP($AA25,areaCercaPuntiClassificaSquadra,3,FALSE),-2)),SUMIFS(Dati!$E$2:$E$451,Dati!$A$2:$A$451,$H25,Dati!$H$2:$H$451,$AA25)+SUMIFS(Dati!$L$2:$L$451,Dati!$H$2:$H$451,$H25,Dati!$A$2:$A$451,$AA25),"-")</f>
        <v/>
      </c>
      <c r="BL25" s="22">
        <f>IF(AND($H25&lt;&gt;"",$AB25&lt;&gt;"",$H25&lt;&gt;$AB25,IFERROR(VLOOKUP($H25,areaCercaPuntiClassificaSquadra,3,FALSE),-1)=IFERROR(VLOOKUP($AB25,areaCercaPuntiClassificaSquadra,3,FALSE),-2)),SUMIFS(Dati!$E$2:$E$451,Dati!$A$2:$A$451,$H25,Dati!$H$2:$H$451,$AB25)+SUMIFS(Dati!$L$2:$L$451,Dati!$H$2:$H$451,$H25,Dati!$A$2:$A$451,$AB25),"-")</f>
        <v/>
      </c>
      <c r="BM25" s="22">
        <f>IF(AND($H25&lt;&gt;"",$AC25&lt;&gt;"",$H25&lt;&gt;$AC25,IFERROR(VLOOKUP($H25,areaCercaPuntiClassificaSquadra,3,FALSE),-1)=IFERROR(VLOOKUP($AC25,areaCercaPuntiClassificaSquadra,3,FALSE),-2)),SUMIFS(Dati!$E$2:$E$451,Dati!$A$2:$A$451,$H25,Dati!$H$2:$H$451,$AC25)+SUMIFS(Dati!$L$2:$L$451,Dati!$H$2:$H$451,$H25,Dati!$A$2:$A$451,$AC25),"-")</f>
        <v/>
      </c>
      <c r="BN25" s="22">
        <f>IF(AND($H25&lt;&gt;"",$AD25&lt;&gt;"",$H25&lt;&gt;$AD25,IFERROR(VLOOKUP($H25,areaCercaPuntiClassificaSquadra,3,FALSE),-1)=IFERROR(VLOOKUP($AD25,areaCercaPuntiClassificaSquadra,3,FALSE),-2)),SUMIFS(Dati!$E$2:$E$451,Dati!$A$2:$A$451,$H25,Dati!$H$2:$H$451,$AD25)+SUMIFS(Dati!$L$2:$L$451,Dati!$H$2:$H$451,$H25,Dati!$A$2:$A$451,$AD25),"-")</f>
        <v/>
      </c>
      <c r="BO25" s="22">
        <f>IF(AND($H25&lt;&gt;"",$AE25&lt;&gt;"",$H25&lt;&gt;$AE25,IFERROR(VLOOKUP($H25,areaCercaPuntiClassificaSquadra,3,FALSE),-1)=IFERROR(VLOOKUP($AE25,areaCercaPuntiClassificaSquadra,3,FALSE),-2)),SUMIFS(Dati!$E$2:$E$451,Dati!$A$2:$A$451,$H25,Dati!$H$2:$H$451,$AE25)+SUMIFS(Dati!$L$2:$L$451,Dati!$H$2:$H$451,$H25,Dati!$A$2:$A$451,$AE25),"-")</f>
        <v/>
      </c>
      <c r="BP25" s="22">
        <f>IF(AND($H25&lt;&gt;"",$AF25&lt;&gt;"",$H25&lt;&gt;$AF25,IFERROR(VLOOKUP($H25,areaCercaPuntiClassificaSquadra,3,FALSE),-1)=IFERROR(VLOOKUP($AF25,areaCercaPuntiClassificaSquadra,3,FALSE),-2)),SUMIFS(Dati!$E$2:$E$451,Dati!$A$2:$A$451,$H25,Dati!$H$2:$H$451,$AF25)+SUMIFS(Dati!$L$2:$L$451,Dati!$H$2:$H$451,$H25,Dati!$A$2:$A$451,$AF25),"-")</f>
        <v/>
      </c>
      <c r="BQ25" s="22">
        <f>IF(AND($H25&lt;&gt;"",$AG25&lt;&gt;"",$H25&lt;&gt;$AG25,IFERROR(VLOOKUP($H25,areaCercaPuntiClassificaSquadra,3,FALSE),-1)=IFERROR(VLOOKUP($AG25,areaCercaPuntiClassificaSquadra,3,FALSE),-2)),SUMIFS(Dati!$E$2:$E$451,Dati!$A$2:$A$451,$H25,Dati!$H$2:$H$451,$AG25)+SUMIFS(Dati!$L$2:$L$451,Dati!$H$2:$H$451,$H25,Dati!$A$2:$A$451,$AG25),"-")</f>
        <v/>
      </c>
      <c r="BR25" s="22">
        <f>IF(AND($H25&lt;&gt;"",$AH25&lt;&gt;"",$H25&lt;&gt;$AH25,IFERROR(VLOOKUP($H25,areaCercaPuntiClassificaSquadra,3,FALSE),-1)=IFERROR(VLOOKUP($AH25,areaCercaPuntiClassificaSquadra,3,FALSE),-2)),SUMIFS(Dati!$E$2:$E$451,Dati!$A$2:$A$451,$H25,Dati!$H$2:$H$451,$AH25)+SUMIFS(Dati!$L$2:$L$451,Dati!$H$2:$H$451,$H25,Dati!$A$2:$A$451,$AH25),"-")</f>
        <v/>
      </c>
      <c r="BT25" s="21">
        <f>$C25</f>
        <v/>
      </c>
      <c r="BU25" s="22">
        <f>IF(AND($H25&lt;&gt;"",$Y25&lt;&gt;"",$H25&lt;&gt;$Y25,IFERROR(VLOOKUP($H25,areaCercaPuntiClassificaSquadra,3,FALSE),-1)=IFERROR(VLOOKUP($Y25,areaCercaPuntiClassificaSquadra,3,FALSE),-2)),SUMIFS(Dati!$F$2:$F$451,Dati!$A$2:$A$451,$H25,Dati!$H$2:$H$451,$Y25)+SUMIFS(Dati!$M$2:$M$451,Dati!$H$2:$H$451,$H25,Dati!$A$2:$A$451,$Y25),"-")</f>
        <v/>
      </c>
      <c r="BV25" s="22">
        <f>IF(AND($H25&lt;&gt;"",$Z25&lt;&gt;"",$H25&lt;&gt;$Z25,IFERROR(VLOOKUP($H25,areaCercaPuntiClassificaSquadra,3,FALSE),-1)=IFERROR(VLOOKUP($Z25,areaCercaPuntiClassificaSquadra,3,FALSE),-2)),SUMIFS(Dati!$F$2:$F$451,Dati!$A$2:$A$451,$H25,Dati!$H$2:$H$451,$Z25)+SUMIFS(Dati!$M$2:$M$451,Dati!$H$2:$H$451,$H25,Dati!$A$2:$A$451,$Z25),"-")</f>
        <v/>
      </c>
      <c r="BW25" s="22">
        <f>IF(AND($H25&lt;&gt;"",$AA25&lt;&gt;"",$H25&lt;&gt;$AA25,IFERROR(VLOOKUP($H25,areaCercaPuntiClassificaSquadra,3,FALSE),-1)=IFERROR(VLOOKUP($AA25,areaCercaPuntiClassificaSquadra,3,FALSE),-2)),SUMIFS(Dati!$F$2:$F$451,Dati!$A$2:$A$451,$H25,Dati!$H$2:$H$451,$AA25)+SUMIFS(Dati!$M$2:$M$451,Dati!$H$2:$H$451,$H25,Dati!$A$2:$A$451,$AA25),"-")</f>
        <v/>
      </c>
      <c r="BX25" s="22">
        <f>IF(AND($H25&lt;&gt;"",$AB25&lt;&gt;"",$H25&lt;&gt;$AB25,IFERROR(VLOOKUP($H25,areaCercaPuntiClassificaSquadra,3,FALSE),-1)=IFERROR(VLOOKUP($AB25,areaCercaPuntiClassificaSquadra,3,FALSE),-2)),SUMIFS(Dati!$F$2:$F$451,Dati!$A$2:$A$451,$H25,Dati!$H$2:$H$451,$AB25)+SUMIFS(Dati!$M$2:$M$451,Dati!$H$2:$H$451,$H25,Dati!$A$2:$A$451,$AB25),"-")</f>
        <v/>
      </c>
      <c r="BY25" s="22">
        <f>IF(AND($H25&lt;&gt;"",$AC25&lt;&gt;"",$H25&lt;&gt;$AC25,IFERROR(VLOOKUP($H25,areaCercaPuntiClassificaSquadra,3,FALSE),-1)=IFERROR(VLOOKUP($AC25,areaCercaPuntiClassificaSquadra,3,FALSE),-2)),SUMIFS(Dati!$F$2:$F$451,Dati!$A$2:$A$451,$H25,Dati!$H$2:$H$451,$AC25)+SUMIFS(Dati!$M$2:$M$451,Dati!$H$2:$H$451,$H25,Dati!$A$2:$A$451,$AC25),"-")</f>
        <v/>
      </c>
      <c r="BZ25" s="22">
        <f>IF(AND($H25&lt;&gt;"",$AD25&lt;&gt;"",$H25&lt;&gt;$AD25,IFERROR(VLOOKUP($H25,areaCercaPuntiClassificaSquadra,3,FALSE),-1)=IFERROR(VLOOKUP($AD25,areaCercaPuntiClassificaSquadra,3,FALSE),-2)),SUMIFS(Dati!$F$2:$F$451,Dati!$A$2:$A$451,$H25,Dati!$H$2:$H$451,$AD25)+SUMIFS(Dati!$M$2:$M$451,Dati!$H$2:$H$451,$H25,Dati!$A$2:$A$451,$AD25),"-")</f>
        <v/>
      </c>
      <c r="CA25" s="22">
        <f>IF(AND($H25&lt;&gt;"",$AE25&lt;&gt;"",$H25&lt;&gt;$AE25,IFERROR(VLOOKUP($H25,areaCercaPuntiClassificaSquadra,3,FALSE),-1)=IFERROR(VLOOKUP($AE25,areaCercaPuntiClassificaSquadra,3,FALSE),-2)),SUMIFS(Dati!$F$2:$F$451,Dati!$A$2:$A$451,$H25,Dati!$H$2:$H$451,$AE25)+SUMIFS(Dati!$M$2:$M$451,Dati!$H$2:$H$451,$H25,Dati!$A$2:$A$451,$AE25),"-")</f>
        <v/>
      </c>
      <c r="CB25" s="22">
        <f>IF(AND($H25&lt;&gt;"",$AF25&lt;&gt;"",$H25&lt;&gt;$AF25,IFERROR(VLOOKUP($H25,areaCercaPuntiClassificaSquadra,3,FALSE),-1)=IFERROR(VLOOKUP($AF25,areaCercaPuntiClassificaSquadra,3,FALSE),-2)),SUMIFS(Dati!$F$2:$F$451,Dati!$A$2:$A$451,$H25,Dati!$H$2:$H$451,$AF25)+SUMIFS(Dati!$M$2:$M$451,Dati!$H$2:$H$451,$H25,Dati!$A$2:$A$451,$AF25),"-")</f>
        <v/>
      </c>
      <c r="CC25" s="22">
        <f>IF(AND($H25&lt;&gt;"",$AG25&lt;&gt;"",$H25&lt;&gt;$AG25,IFERROR(VLOOKUP($H25,areaCercaPuntiClassificaSquadra,3,FALSE),-1)=IFERROR(VLOOKUP($AG25,areaCercaPuntiClassificaSquadra,3,FALSE),-2)),SUMIFS(Dati!$F$2:$F$451,Dati!$A$2:$A$451,$H25,Dati!$H$2:$H$451,$AG25)+SUMIFS(Dati!$M$2:$M$451,Dati!$H$2:$H$451,$H25,Dati!$A$2:$A$451,$AG25),"-")</f>
        <v/>
      </c>
      <c r="CD25" s="22">
        <f>IF(AND($H25&lt;&gt;"",$AH25&lt;&gt;"",$H25&lt;&gt;$AH25,IFERROR(VLOOKUP($H25,areaCercaPuntiClassificaSquadra,3,FALSE),-1)=IFERROR(VLOOKUP($AH25,areaCercaPuntiClassificaSquadra,3,FALSE),-2)),SUMIFS(Dati!$F$2:$F$451,Dati!$A$2:$A$451,$H25,Dati!$H$2:$H$451,$AH25)+SUMIFS(Dati!$M$2:$M$451,Dati!$H$2:$H$451,$H25,Dati!$A$2:$A$451,$AH25),"-")</f>
        <v/>
      </c>
      <c r="CF25" s="22">
        <f>IF($C25="","",SUM(AK25:AT25))</f>
        <v/>
      </c>
    </row>
    <row r="26">
      <c r="B26" s="12" t="inlineStr">
        <is>
          <t>B03</t>
        </is>
      </c>
      <c r="C26" s="13" t="n"/>
      <c r="D26" s="14" t="n"/>
      <c r="E26" s="23" t="inlineStr">
        <is>
          <t>B</t>
        </is>
      </c>
      <c r="G26" s="24">
        <f>IF($C26="","",$E26&amp;(COUNTIFS(I$14:I$113,"&gt;"&amp;I26,E$14:E$113,"="&amp;E26,C$14:C$113,"&lt;&gt;")+COUNTIFS(I$14:I$113,"="&amp;I26,H$14:H$113,"&lt;="&amp;H26,E$14:E$113,"="&amp;E26,C$14:C$113,"&lt;&gt;")))</f>
        <v/>
      </c>
      <c r="H26" s="17">
        <f>IF($C26="","",IFERROR(LEFT($C26,FIND("-",$C26)-1),$C26))</f>
        <v/>
      </c>
      <c r="I26" s="12">
        <f>TEXT(1000000000+J26,"|0000000000|")&amp;TEXT(SUM(AK26:AT26),"0000000000|")&amp;IF(SUM(BU26:CD26)=0,"0000000000|",TEXT(ROUND(SUM(BI26:BR26)/SUM(BU26:CD26),4)*100000,"0000000000|"))&amp;IF(P26=0,"0000000000|",TEXT(ROUND(O26/P26,4)*100000,"0000000000|"))</f>
        <v/>
      </c>
      <c r="J26" s="24">
        <f>L26*constPuntiVittoria+M26*constPuntiSconfitta+N26*constPuntiForfait+IF(D26="",0,D26)</f>
        <v/>
      </c>
      <c r="K26" s="12">
        <f>SUM(L26:N26)</f>
        <v/>
      </c>
      <c r="L26" s="12">
        <f>IF($H26="",0,SUMIF(Dati!$A$2:$A$451,$H26,Dati!$B$2:$B$451)+SUMIF(Dati!$H$2:$H$451,$H26,Dati!$I$2:$I$451))</f>
        <v/>
      </c>
      <c r="M26" s="12">
        <f>IF($H26="",0,SUMIF(Dati!$A$2:$A$451,$H26,Dati!$D$2:$D$451)+SUMIF(Dati!$H$2:$H$451,$H26,Dati!$K$2:$K$451))</f>
        <v/>
      </c>
      <c r="N26" s="12">
        <f>IF($H26="",0,SUMIF(Dati!$A$2:$A$451,$H26,Dati!$C$2:$C$451)+SUMIF(Dati!$H$2:$H$451,$H26,Dati!$J$2:$J$451))</f>
        <v/>
      </c>
      <c r="O26" s="12">
        <f>IF($H26="",0,SUMIF(Dati!$A$2:$A$451,$H26,Dati!$E$2:$E$451)+SUMIF(Dati!$H$2:$H$451,$H26,Dati!$L$2:$L$451))</f>
        <v/>
      </c>
      <c r="P26" s="12">
        <f>IF($H26="",0,SUMIF(Dati!$A$2:$A$451,$H26,Dati!$F$2:$F$451)+SUMIF(Dati!$H$2:$H$451,$H26,Dati!$M$2:$M$451))</f>
        <v/>
      </c>
      <c r="Q26" s="12">
        <f>IF($H26="",0,SUMIF(Dati!$A$2:$A$451,$H26,Dati!$G$2:$G$451)+SUMIF(Dati!$H$2:$H$451,$H26,Dati!$N$2:$N$451))</f>
        <v/>
      </c>
      <c r="R26" s="12">
        <f>IF(K26=0,0,ROUND(O26/K26,2))</f>
        <v/>
      </c>
      <c r="S26" s="12">
        <f>IF(K26=0,0,ROUND(P26/K26,2))</f>
        <v/>
      </c>
      <c r="T26" s="12">
        <f>IF(K26=0,0,ROUND(Q26/K26,2))</f>
        <v/>
      </c>
      <c r="U26" s="12">
        <f>IF(COUNTIFS($E$14:$E$113,$E26,$J$14:$J$113,$J26,$C$14:$C$113,"&lt;&gt;")&lt;=1,"-",SUM(AK26:AT26)&amp;"-"&amp;SUM(AW26:BF26))</f>
        <v/>
      </c>
      <c r="V26" s="18">
        <f>IF(COUNTIFS($E$14:$E$113,$E26,$J$14:$J$113,$J26,$C$14:$C$113,"&lt;&gt;",$CF$14:$CF$113,$CF26)&lt;=1,"-",IF(SUM(BU26:CD26)=0,0,ROUND(SUM(BI26:BR26)/SUM(BU26:CD26),3)))</f>
        <v/>
      </c>
      <c r="W26" s="18">
        <f>IF(COUNTIFS($E$14:$E$113,$E26,$J$14:$J$113,$J26,$C$14:$C$113,"&lt;&gt;",$CF$14:$CF$113,$CF26,$V$14:$V$113,$V26)&lt;=1,"-",IF(P26=0,0,ROUND(O26/P26,3)))</f>
        <v/>
      </c>
      <c r="X26" s="19">
        <f>IF($C26="","",$E26&amp;"#"&amp;COUNTIFS($E$14:$E26,$E26,$C$14:$C26,"&lt;&gt;"))</f>
        <v/>
      </c>
      <c r="Y26" s="20">
        <f>IFERROR(INDEX($H$14:$H$113,MATCH($E26&amp;"#1",$X$14:$X$113,0)),"")</f>
        <v/>
      </c>
      <c r="Z26" s="20">
        <f>IFERROR(INDEX($H$14:$H$113,MATCH($E26&amp;"#2",$X$14:$X$113,0)),"")</f>
        <v/>
      </c>
      <c r="AA26" s="20">
        <f>IFERROR(INDEX($H$14:$H$113,MATCH($E26&amp;"#3",$X$14:$X$113,0)),"")</f>
        <v/>
      </c>
      <c r="AB26" s="20">
        <f>IFERROR(INDEX($H$14:$H$113,MATCH($E26&amp;"#4",$X$14:$X$113,0)),"")</f>
        <v/>
      </c>
      <c r="AC26" s="20">
        <f>IFERROR(INDEX($H$14:$H$113,MATCH($E26&amp;"#5",$X$14:$X$113,0)),"")</f>
        <v/>
      </c>
      <c r="AD26" s="20">
        <f>IFERROR(INDEX($H$14:$H$113,MATCH($E26&amp;"#6",$X$14:$X$113,0)),"")</f>
        <v/>
      </c>
      <c r="AE26" s="20">
        <f>IFERROR(INDEX($H$14:$H$113,MATCH($E26&amp;"#7",$X$14:$X$113,0)),"")</f>
        <v/>
      </c>
      <c r="AF26" s="20">
        <f>IFERROR(INDEX($H$14:$H$113,MATCH($E26&amp;"#8",$X$14:$X$113,0)),"")</f>
        <v/>
      </c>
      <c r="AG26" s="20">
        <f>IFERROR(INDEX($H$14:$H$113,MATCH($E26&amp;"#9",$X$14:$X$113,0)),"")</f>
        <v/>
      </c>
      <c r="AH26" s="20">
        <f>IFERROR(INDEX($H$14:$H$113,MATCH($E26&amp;"#10",$X$14:$X$113,0)),"")</f>
        <v/>
      </c>
      <c r="AJ26" s="21">
        <f>$C26</f>
        <v/>
      </c>
      <c r="AK26" s="22">
        <f>IF(AND($H26&lt;&gt;"",$Y26&lt;&gt;"",$H26&lt;&gt;$Y26,IFERROR(VLOOKUP($H26,areaCercaPuntiClassificaSquadra,3,FALSE),-1)=IFERROR(VLOOKUP($Y26,areaCercaPuntiClassificaSquadra,3,FALSE),-2)),SUMIFS(Dati!$B$2:$B$451,Dati!$A$2:$A$451,$H26,Dati!$H$2:$H$451,$Y26)+SUMIFS(Dati!$I$2:$I$451,Dati!$H$2:$H$451,$H26,Dati!$A$2:$A$451,$Y26),"-")</f>
        <v/>
      </c>
      <c r="AL26" s="22">
        <f>IF(AND($H26&lt;&gt;"",$Z26&lt;&gt;"",$H26&lt;&gt;$Z26,IFERROR(VLOOKUP($H26,areaCercaPuntiClassificaSquadra,3,FALSE),-1)=IFERROR(VLOOKUP($Z26,areaCercaPuntiClassificaSquadra,3,FALSE),-2)),SUMIFS(Dati!$B$2:$B$451,Dati!$A$2:$A$451,$H26,Dati!$H$2:$H$451,$Z26)+SUMIFS(Dati!$I$2:$I$451,Dati!$H$2:$H$451,$H26,Dati!$A$2:$A$451,$Z26),"-")</f>
        <v/>
      </c>
      <c r="AM26" s="22">
        <f>IF(AND($H26&lt;&gt;"",$AA26&lt;&gt;"",$H26&lt;&gt;$AA26,IFERROR(VLOOKUP($H26,areaCercaPuntiClassificaSquadra,3,FALSE),-1)=IFERROR(VLOOKUP($AA26,areaCercaPuntiClassificaSquadra,3,FALSE),-2)),SUMIFS(Dati!$B$2:$B$451,Dati!$A$2:$A$451,$H26,Dati!$H$2:$H$451,$AA26)+SUMIFS(Dati!$I$2:$I$451,Dati!$H$2:$H$451,$H26,Dati!$A$2:$A$451,$AA26),"-")</f>
        <v/>
      </c>
      <c r="AN26" s="22">
        <f>IF(AND($H26&lt;&gt;"",$AB26&lt;&gt;"",$H26&lt;&gt;$AB26,IFERROR(VLOOKUP($H26,areaCercaPuntiClassificaSquadra,3,FALSE),-1)=IFERROR(VLOOKUP($AB26,areaCercaPuntiClassificaSquadra,3,FALSE),-2)),SUMIFS(Dati!$B$2:$B$451,Dati!$A$2:$A$451,$H26,Dati!$H$2:$H$451,$AB26)+SUMIFS(Dati!$I$2:$I$451,Dati!$H$2:$H$451,$H26,Dati!$A$2:$A$451,$AB26),"-")</f>
        <v/>
      </c>
      <c r="AO26" s="22">
        <f>IF(AND($H26&lt;&gt;"",$AC26&lt;&gt;"",$H26&lt;&gt;$AC26,IFERROR(VLOOKUP($H26,areaCercaPuntiClassificaSquadra,3,FALSE),-1)=IFERROR(VLOOKUP($AC26,areaCercaPuntiClassificaSquadra,3,FALSE),-2)),SUMIFS(Dati!$B$2:$B$451,Dati!$A$2:$A$451,$H26,Dati!$H$2:$H$451,$AC26)+SUMIFS(Dati!$I$2:$I$451,Dati!$H$2:$H$451,$H26,Dati!$A$2:$A$451,$AC26),"-")</f>
        <v/>
      </c>
      <c r="AP26" s="22">
        <f>IF(AND($H26&lt;&gt;"",$AD26&lt;&gt;"",$H26&lt;&gt;$AD26,IFERROR(VLOOKUP($H26,areaCercaPuntiClassificaSquadra,3,FALSE),-1)=IFERROR(VLOOKUP($AD26,areaCercaPuntiClassificaSquadra,3,FALSE),-2)),SUMIFS(Dati!$B$2:$B$451,Dati!$A$2:$A$451,$H26,Dati!$H$2:$H$451,$AD26)+SUMIFS(Dati!$I$2:$I$451,Dati!$H$2:$H$451,$H26,Dati!$A$2:$A$451,$AD26),"-")</f>
        <v/>
      </c>
      <c r="AQ26" s="22">
        <f>IF(AND($H26&lt;&gt;"",$AE26&lt;&gt;"",$H26&lt;&gt;$AE26,IFERROR(VLOOKUP($H26,areaCercaPuntiClassificaSquadra,3,FALSE),-1)=IFERROR(VLOOKUP($AE26,areaCercaPuntiClassificaSquadra,3,FALSE),-2)),SUMIFS(Dati!$B$2:$B$451,Dati!$A$2:$A$451,$H26,Dati!$H$2:$H$451,$AE26)+SUMIFS(Dati!$I$2:$I$451,Dati!$H$2:$H$451,$H26,Dati!$A$2:$A$451,$AE26),"-")</f>
        <v/>
      </c>
      <c r="AR26" s="22">
        <f>IF(AND($H26&lt;&gt;"",$AF26&lt;&gt;"",$H26&lt;&gt;$AF26,IFERROR(VLOOKUP($H26,areaCercaPuntiClassificaSquadra,3,FALSE),-1)=IFERROR(VLOOKUP($AF26,areaCercaPuntiClassificaSquadra,3,FALSE),-2)),SUMIFS(Dati!$B$2:$B$451,Dati!$A$2:$A$451,$H26,Dati!$H$2:$H$451,$AF26)+SUMIFS(Dati!$I$2:$I$451,Dati!$H$2:$H$451,$H26,Dati!$A$2:$A$451,$AF26),"-")</f>
        <v/>
      </c>
      <c r="AS26" s="22">
        <f>IF(AND($H26&lt;&gt;"",$AG26&lt;&gt;"",$H26&lt;&gt;$AG26,IFERROR(VLOOKUP($H26,areaCercaPuntiClassificaSquadra,3,FALSE),-1)=IFERROR(VLOOKUP($AG26,areaCercaPuntiClassificaSquadra,3,FALSE),-2)),SUMIFS(Dati!$B$2:$B$451,Dati!$A$2:$A$451,$H26,Dati!$H$2:$H$451,$AG26)+SUMIFS(Dati!$I$2:$I$451,Dati!$H$2:$H$451,$H26,Dati!$A$2:$A$451,$AG26),"-")</f>
        <v/>
      </c>
      <c r="AT26" s="22">
        <f>IF(AND($H26&lt;&gt;"",$AH26&lt;&gt;"",$H26&lt;&gt;$AH26,IFERROR(VLOOKUP($H26,areaCercaPuntiClassificaSquadra,3,FALSE),-1)=IFERROR(VLOOKUP($AH26,areaCercaPuntiClassificaSquadra,3,FALSE),-2)),SUMIFS(Dati!$B$2:$B$451,Dati!$A$2:$A$451,$H26,Dati!$H$2:$H$451,$AH26)+SUMIFS(Dati!$I$2:$I$451,Dati!$H$2:$H$451,$H26,Dati!$A$2:$A$451,$AH26),"-")</f>
        <v/>
      </c>
      <c r="AV26" s="21">
        <f>$C26</f>
        <v/>
      </c>
      <c r="AW26" s="22">
        <f>IF(AND($H26&lt;&gt;"",$Y26&lt;&gt;"",$H26&lt;&gt;$Y26,IFERROR(VLOOKUP($H26,areaCercaPuntiClassificaSquadra,3,FALSE),-1)=IFERROR(VLOOKUP($Y26,areaCercaPuntiClassificaSquadra,3,FALSE),-2)),SUMIFS(Dati!$D$2:$D$451,Dati!$A$2:$A$451,$H26,Dati!$H$2:$H$451,$Y26)+SUMIFS(Dati!$K$2:$K$451,Dati!$H$2:$H$451,$H26,Dati!$A$2:$A$451,$Y26)+SUMIFS(Dati!$C$2:$C$451,Dati!$A$2:$A$451,$H26,Dati!$H$2:$H$451,$Y26)+SUMIFS(Dati!$J$2:$J$451,Dati!$H$2:$H$451,$H26,Dati!$A$2:$A$451,$Y26),"-")</f>
        <v/>
      </c>
      <c r="AX26" s="22">
        <f>IF(AND($H26&lt;&gt;"",$Z26&lt;&gt;"",$H26&lt;&gt;$Z26,IFERROR(VLOOKUP($H26,areaCercaPuntiClassificaSquadra,3,FALSE),-1)=IFERROR(VLOOKUP($Z26,areaCercaPuntiClassificaSquadra,3,FALSE),-2)),SUMIFS(Dati!$D$2:$D$451,Dati!$A$2:$A$451,$H26,Dati!$H$2:$H$451,$Z26)+SUMIFS(Dati!$K$2:$K$451,Dati!$H$2:$H$451,$H26,Dati!$A$2:$A$451,$Z26)+SUMIFS(Dati!$C$2:$C$451,Dati!$A$2:$A$451,$H26,Dati!$H$2:$H$451,$Z26)+SUMIFS(Dati!$J$2:$J$451,Dati!$H$2:$H$451,$H26,Dati!$A$2:$A$451,$Z26),"-")</f>
        <v/>
      </c>
      <c r="AY26" s="22">
        <f>IF(AND($H26&lt;&gt;"",$AA26&lt;&gt;"",$H26&lt;&gt;$AA26,IFERROR(VLOOKUP($H26,areaCercaPuntiClassificaSquadra,3,FALSE),-1)=IFERROR(VLOOKUP($AA26,areaCercaPuntiClassificaSquadra,3,FALSE),-2)),SUMIFS(Dati!$D$2:$D$451,Dati!$A$2:$A$451,$H26,Dati!$H$2:$H$451,$AA26)+SUMIFS(Dati!$K$2:$K$451,Dati!$H$2:$H$451,$H26,Dati!$A$2:$A$451,$AA26)+SUMIFS(Dati!$C$2:$C$451,Dati!$A$2:$A$451,$H26,Dati!$H$2:$H$451,$AA26)+SUMIFS(Dati!$J$2:$J$451,Dati!$H$2:$H$451,$H26,Dati!$A$2:$A$451,$AA26),"-")</f>
        <v/>
      </c>
      <c r="AZ26" s="22">
        <f>IF(AND($H26&lt;&gt;"",$AB26&lt;&gt;"",$H26&lt;&gt;$AB26,IFERROR(VLOOKUP($H26,areaCercaPuntiClassificaSquadra,3,FALSE),-1)=IFERROR(VLOOKUP($AB26,areaCercaPuntiClassificaSquadra,3,FALSE),-2)),SUMIFS(Dati!$D$2:$D$451,Dati!$A$2:$A$451,$H26,Dati!$H$2:$H$451,$AB26)+SUMIFS(Dati!$K$2:$K$451,Dati!$H$2:$H$451,$H26,Dati!$A$2:$A$451,$AB26)+SUMIFS(Dati!$C$2:$C$451,Dati!$A$2:$A$451,$H26,Dati!$H$2:$H$451,$AB26)+SUMIFS(Dati!$J$2:$J$451,Dati!$H$2:$H$451,$H26,Dati!$A$2:$A$451,$AB26),"-")</f>
        <v/>
      </c>
      <c r="BA26" s="22">
        <f>IF(AND($H26&lt;&gt;"",$AC26&lt;&gt;"",$H26&lt;&gt;$AC26,IFERROR(VLOOKUP($H26,areaCercaPuntiClassificaSquadra,3,FALSE),-1)=IFERROR(VLOOKUP($AC26,areaCercaPuntiClassificaSquadra,3,FALSE),-2)),SUMIFS(Dati!$D$2:$D$451,Dati!$A$2:$A$451,$H26,Dati!$H$2:$H$451,$AC26)+SUMIFS(Dati!$K$2:$K$451,Dati!$H$2:$H$451,$H26,Dati!$A$2:$A$451,$AC26)+SUMIFS(Dati!$C$2:$C$451,Dati!$A$2:$A$451,$H26,Dati!$H$2:$H$451,$AC26)+SUMIFS(Dati!$J$2:$J$451,Dati!$H$2:$H$451,$H26,Dati!$A$2:$A$451,$AC26),"-")</f>
        <v/>
      </c>
      <c r="BB26" s="22">
        <f>IF(AND($H26&lt;&gt;"",$AD26&lt;&gt;"",$H26&lt;&gt;$AD26,IFERROR(VLOOKUP($H26,areaCercaPuntiClassificaSquadra,3,FALSE),-1)=IFERROR(VLOOKUP($AD26,areaCercaPuntiClassificaSquadra,3,FALSE),-2)),SUMIFS(Dati!$D$2:$D$451,Dati!$A$2:$A$451,$H26,Dati!$H$2:$H$451,$AD26)+SUMIFS(Dati!$K$2:$K$451,Dati!$H$2:$H$451,$H26,Dati!$A$2:$A$451,$AD26)+SUMIFS(Dati!$C$2:$C$451,Dati!$A$2:$A$451,$H26,Dati!$H$2:$H$451,$AD26)+SUMIFS(Dati!$J$2:$J$451,Dati!$H$2:$H$451,$H26,Dati!$A$2:$A$451,$AD26),"-")</f>
        <v/>
      </c>
      <c r="BC26" s="22">
        <f>IF(AND($H26&lt;&gt;"",$AE26&lt;&gt;"",$H26&lt;&gt;$AE26,IFERROR(VLOOKUP($H26,areaCercaPuntiClassificaSquadra,3,FALSE),-1)=IFERROR(VLOOKUP($AE26,areaCercaPuntiClassificaSquadra,3,FALSE),-2)),SUMIFS(Dati!$D$2:$D$451,Dati!$A$2:$A$451,$H26,Dati!$H$2:$H$451,$AE26)+SUMIFS(Dati!$K$2:$K$451,Dati!$H$2:$H$451,$H26,Dati!$A$2:$A$451,$AE26)+SUMIFS(Dati!$C$2:$C$451,Dati!$A$2:$A$451,$H26,Dati!$H$2:$H$451,$AE26)+SUMIFS(Dati!$J$2:$J$451,Dati!$H$2:$H$451,$H26,Dati!$A$2:$A$451,$AE26),"-")</f>
        <v/>
      </c>
      <c r="BD26" s="22">
        <f>IF(AND($H26&lt;&gt;"",$AF26&lt;&gt;"",$H26&lt;&gt;$AF26,IFERROR(VLOOKUP($H26,areaCercaPuntiClassificaSquadra,3,FALSE),-1)=IFERROR(VLOOKUP($AF26,areaCercaPuntiClassificaSquadra,3,FALSE),-2)),SUMIFS(Dati!$D$2:$D$451,Dati!$A$2:$A$451,$H26,Dati!$H$2:$H$451,$AF26)+SUMIFS(Dati!$K$2:$K$451,Dati!$H$2:$H$451,$H26,Dati!$A$2:$A$451,$AF26)+SUMIFS(Dati!$C$2:$C$451,Dati!$A$2:$A$451,$H26,Dati!$H$2:$H$451,$AF26)+SUMIFS(Dati!$J$2:$J$451,Dati!$H$2:$H$451,$H26,Dati!$A$2:$A$451,$AF26),"-")</f>
        <v/>
      </c>
      <c r="BE26" s="22">
        <f>IF(AND($H26&lt;&gt;"",$AG26&lt;&gt;"",$H26&lt;&gt;$AG26,IFERROR(VLOOKUP($H26,areaCercaPuntiClassificaSquadra,3,FALSE),-1)=IFERROR(VLOOKUP($AG26,areaCercaPuntiClassificaSquadra,3,FALSE),-2)),SUMIFS(Dati!$D$2:$D$451,Dati!$A$2:$A$451,$H26,Dati!$H$2:$H$451,$AG26)+SUMIFS(Dati!$K$2:$K$451,Dati!$H$2:$H$451,$H26,Dati!$A$2:$A$451,$AG26)+SUMIFS(Dati!$C$2:$C$451,Dati!$A$2:$A$451,$H26,Dati!$H$2:$H$451,$AG26)+SUMIFS(Dati!$J$2:$J$451,Dati!$H$2:$H$451,$H26,Dati!$A$2:$A$451,$AG26),"-")</f>
        <v/>
      </c>
      <c r="BF26" s="22">
        <f>IF(AND($H26&lt;&gt;"",$AH26&lt;&gt;"",$H26&lt;&gt;$AH26,IFERROR(VLOOKUP($H26,areaCercaPuntiClassificaSquadra,3,FALSE),-1)=IFERROR(VLOOKUP($AH26,areaCercaPuntiClassificaSquadra,3,FALSE),-2)),SUMIFS(Dati!$D$2:$D$451,Dati!$A$2:$A$451,$H26,Dati!$H$2:$H$451,$AH26)+SUMIFS(Dati!$K$2:$K$451,Dati!$H$2:$H$451,$H26,Dati!$A$2:$A$451,$AH26)+SUMIFS(Dati!$C$2:$C$451,Dati!$A$2:$A$451,$H26,Dati!$H$2:$H$451,$AH26)+SUMIFS(Dati!$J$2:$J$451,Dati!$H$2:$H$451,$H26,Dati!$A$2:$A$451,$AH26),"-")</f>
        <v/>
      </c>
      <c r="BH26" s="21">
        <f>$C26</f>
        <v/>
      </c>
      <c r="BI26" s="22">
        <f>IF(AND($H26&lt;&gt;"",$Y26&lt;&gt;"",$H26&lt;&gt;$Y26,IFERROR(VLOOKUP($H26,areaCercaPuntiClassificaSquadra,3,FALSE),-1)=IFERROR(VLOOKUP($Y26,areaCercaPuntiClassificaSquadra,3,FALSE),-2)),SUMIFS(Dati!$E$2:$E$451,Dati!$A$2:$A$451,$H26,Dati!$H$2:$H$451,$Y26)+SUMIFS(Dati!$L$2:$L$451,Dati!$H$2:$H$451,$H26,Dati!$A$2:$A$451,$Y26),"-")</f>
        <v/>
      </c>
      <c r="BJ26" s="22">
        <f>IF(AND($H26&lt;&gt;"",$Z26&lt;&gt;"",$H26&lt;&gt;$Z26,IFERROR(VLOOKUP($H26,areaCercaPuntiClassificaSquadra,3,FALSE),-1)=IFERROR(VLOOKUP($Z26,areaCercaPuntiClassificaSquadra,3,FALSE),-2)),SUMIFS(Dati!$E$2:$E$451,Dati!$A$2:$A$451,$H26,Dati!$H$2:$H$451,$Z26)+SUMIFS(Dati!$L$2:$L$451,Dati!$H$2:$H$451,$H26,Dati!$A$2:$A$451,$Z26),"-")</f>
        <v/>
      </c>
      <c r="BK26" s="22">
        <f>IF(AND($H26&lt;&gt;"",$AA26&lt;&gt;"",$H26&lt;&gt;$AA26,IFERROR(VLOOKUP($H26,areaCercaPuntiClassificaSquadra,3,FALSE),-1)=IFERROR(VLOOKUP($AA26,areaCercaPuntiClassificaSquadra,3,FALSE),-2)),SUMIFS(Dati!$E$2:$E$451,Dati!$A$2:$A$451,$H26,Dati!$H$2:$H$451,$AA26)+SUMIFS(Dati!$L$2:$L$451,Dati!$H$2:$H$451,$H26,Dati!$A$2:$A$451,$AA26),"-")</f>
        <v/>
      </c>
      <c r="BL26" s="22">
        <f>IF(AND($H26&lt;&gt;"",$AB26&lt;&gt;"",$H26&lt;&gt;$AB26,IFERROR(VLOOKUP($H26,areaCercaPuntiClassificaSquadra,3,FALSE),-1)=IFERROR(VLOOKUP($AB26,areaCercaPuntiClassificaSquadra,3,FALSE),-2)),SUMIFS(Dati!$E$2:$E$451,Dati!$A$2:$A$451,$H26,Dati!$H$2:$H$451,$AB26)+SUMIFS(Dati!$L$2:$L$451,Dati!$H$2:$H$451,$H26,Dati!$A$2:$A$451,$AB26),"-")</f>
        <v/>
      </c>
      <c r="BM26" s="22">
        <f>IF(AND($H26&lt;&gt;"",$AC26&lt;&gt;"",$H26&lt;&gt;$AC26,IFERROR(VLOOKUP($H26,areaCercaPuntiClassificaSquadra,3,FALSE),-1)=IFERROR(VLOOKUP($AC26,areaCercaPuntiClassificaSquadra,3,FALSE),-2)),SUMIFS(Dati!$E$2:$E$451,Dati!$A$2:$A$451,$H26,Dati!$H$2:$H$451,$AC26)+SUMIFS(Dati!$L$2:$L$451,Dati!$H$2:$H$451,$H26,Dati!$A$2:$A$451,$AC26),"-")</f>
        <v/>
      </c>
      <c r="BN26" s="22">
        <f>IF(AND($H26&lt;&gt;"",$AD26&lt;&gt;"",$H26&lt;&gt;$AD26,IFERROR(VLOOKUP($H26,areaCercaPuntiClassificaSquadra,3,FALSE),-1)=IFERROR(VLOOKUP($AD26,areaCercaPuntiClassificaSquadra,3,FALSE),-2)),SUMIFS(Dati!$E$2:$E$451,Dati!$A$2:$A$451,$H26,Dati!$H$2:$H$451,$AD26)+SUMIFS(Dati!$L$2:$L$451,Dati!$H$2:$H$451,$H26,Dati!$A$2:$A$451,$AD26),"-")</f>
        <v/>
      </c>
      <c r="BO26" s="22">
        <f>IF(AND($H26&lt;&gt;"",$AE26&lt;&gt;"",$H26&lt;&gt;$AE26,IFERROR(VLOOKUP($H26,areaCercaPuntiClassificaSquadra,3,FALSE),-1)=IFERROR(VLOOKUP($AE26,areaCercaPuntiClassificaSquadra,3,FALSE),-2)),SUMIFS(Dati!$E$2:$E$451,Dati!$A$2:$A$451,$H26,Dati!$H$2:$H$451,$AE26)+SUMIFS(Dati!$L$2:$L$451,Dati!$H$2:$H$451,$H26,Dati!$A$2:$A$451,$AE26),"-")</f>
        <v/>
      </c>
      <c r="BP26" s="22">
        <f>IF(AND($H26&lt;&gt;"",$AF26&lt;&gt;"",$H26&lt;&gt;$AF26,IFERROR(VLOOKUP($H26,areaCercaPuntiClassificaSquadra,3,FALSE),-1)=IFERROR(VLOOKUP($AF26,areaCercaPuntiClassificaSquadra,3,FALSE),-2)),SUMIFS(Dati!$E$2:$E$451,Dati!$A$2:$A$451,$H26,Dati!$H$2:$H$451,$AF26)+SUMIFS(Dati!$L$2:$L$451,Dati!$H$2:$H$451,$H26,Dati!$A$2:$A$451,$AF26),"-")</f>
        <v/>
      </c>
      <c r="BQ26" s="22">
        <f>IF(AND($H26&lt;&gt;"",$AG26&lt;&gt;"",$H26&lt;&gt;$AG26,IFERROR(VLOOKUP($H26,areaCercaPuntiClassificaSquadra,3,FALSE),-1)=IFERROR(VLOOKUP($AG26,areaCercaPuntiClassificaSquadra,3,FALSE),-2)),SUMIFS(Dati!$E$2:$E$451,Dati!$A$2:$A$451,$H26,Dati!$H$2:$H$451,$AG26)+SUMIFS(Dati!$L$2:$L$451,Dati!$H$2:$H$451,$H26,Dati!$A$2:$A$451,$AG26),"-")</f>
        <v/>
      </c>
      <c r="BR26" s="22">
        <f>IF(AND($H26&lt;&gt;"",$AH26&lt;&gt;"",$H26&lt;&gt;$AH26,IFERROR(VLOOKUP($H26,areaCercaPuntiClassificaSquadra,3,FALSE),-1)=IFERROR(VLOOKUP($AH26,areaCercaPuntiClassificaSquadra,3,FALSE),-2)),SUMIFS(Dati!$E$2:$E$451,Dati!$A$2:$A$451,$H26,Dati!$H$2:$H$451,$AH26)+SUMIFS(Dati!$L$2:$L$451,Dati!$H$2:$H$451,$H26,Dati!$A$2:$A$451,$AH26),"-")</f>
        <v/>
      </c>
      <c r="BT26" s="21">
        <f>$C26</f>
        <v/>
      </c>
      <c r="BU26" s="22">
        <f>IF(AND($H26&lt;&gt;"",$Y26&lt;&gt;"",$H26&lt;&gt;$Y26,IFERROR(VLOOKUP($H26,areaCercaPuntiClassificaSquadra,3,FALSE),-1)=IFERROR(VLOOKUP($Y26,areaCercaPuntiClassificaSquadra,3,FALSE),-2)),SUMIFS(Dati!$F$2:$F$451,Dati!$A$2:$A$451,$H26,Dati!$H$2:$H$451,$Y26)+SUMIFS(Dati!$M$2:$M$451,Dati!$H$2:$H$451,$H26,Dati!$A$2:$A$451,$Y26),"-")</f>
        <v/>
      </c>
      <c r="BV26" s="22">
        <f>IF(AND($H26&lt;&gt;"",$Z26&lt;&gt;"",$H26&lt;&gt;$Z26,IFERROR(VLOOKUP($H26,areaCercaPuntiClassificaSquadra,3,FALSE),-1)=IFERROR(VLOOKUP($Z26,areaCercaPuntiClassificaSquadra,3,FALSE),-2)),SUMIFS(Dati!$F$2:$F$451,Dati!$A$2:$A$451,$H26,Dati!$H$2:$H$451,$Z26)+SUMIFS(Dati!$M$2:$M$451,Dati!$H$2:$H$451,$H26,Dati!$A$2:$A$451,$Z26),"-")</f>
        <v/>
      </c>
      <c r="BW26" s="22">
        <f>IF(AND($H26&lt;&gt;"",$AA26&lt;&gt;"",$H26&lt;&gt;$AA26,IFERROR(VLOOKUP($H26,areaCercaPuntiClassificaSquadra,3,FALSE),-1)=IFERROR(VLOOKUP($AA26,areaCercaPuntiClassificaSquadra,3,FALSE),-2)),SUMIFS(Dati!$F$2:$F$451,Dati!$A$2:$A$451,$H26,Dati!$H$2:$H$451,$AA26)+SUMIFS(Dati!$M$2:$M$451,Dati!$H$2:$H$451,$H26,Dati!$A$2:$A$451,$AA26),"-")</f>
        <v/>
      </c>
      <c r="BX26" s="22">
        <f>IF(AND($H26&lt;&gt;"",$AB26&lt;&gt;"",$H26&lt;&gt;$AB26,IFERROR(VLOOKUP($H26,areaCercaPuntiClassificaSquadra,3,FALSE),-1)=IFERROR(VLOOKUP($AB26,areaCercaPuntiClassificaSquadra,3,FALSE),-2)),SUMIFS(Dati!$F$2:$F$451,Dati!$A$2:$A$451,$H26,Dati!$H$2:$H$451,$AB26)+SUMIFS(Dati!$M$2:$M$451,Dati!$H$2:$H$451,$H26,Dati!$A$2:$A$451,$AB26),"-")</f>
        <v/>
      </c>
      <c r="BY26" s="22">
        <f>IF(AND($H26&lt;&gt;"",$AC26&lt;&gt;"",$H26&lt;&gt;$AC26,IFERROR(VLOOKUP($H26,areaCercaPuntiClassificaSquadra,3,FALSE),-1)=IFERROR(VLOOKUP($AC26,areaCercaPuntiClassificaSquadra,3,FALSE),-2)),SUMIFS(Dati!$F$2:$F$451,Dati!$A$2:$A$451,$H26,Dati!$H$2:$H$451,$AC26)+SUMIFS(Dati!$M$2:$M$451,Dati!$H$2:$H$451,$H26,Dati!$A$2:$A$451,$AC26),"-")</f>
        <v/>
      </c>
      <c r="BZ26" s="22">
        <f>IF(AND($H26&lt;&gt;"",$AD26&lt;&gt;"",$H26&lt;&gt;$AD26,IFERROR(VLOOKUP($H26,areaCercaPuntiClassificaSquadra,3,FALSE),-1)=IFERROR(VLOOKUP($AD26,areaCercaPuntiClassificaSquadra,3,FALSE),-2)),SUMIFS(Dati!$F$2:$F$451,Dati!$A$2:$A$451,$H26,Dati!$H$2:$H$451,$AD26)+SUMIFS(Dati!$M$2:$M$451,Dati!$H$2:$H$451,$H26,Dati!$A$2:$A$451,$AD26),"-")</f>
        <v/>
      </c>
      <c r="CA26" s="22">
        <f>IF(AND($H26&lt;&gt;"",$AE26&lt;&gt;"",$H26&lt;&gt;$AE26,IFERROR(VLOOKUP($H26,areaCercaPuntiClassificaSquadra,3,FALSE),-1)=IFERROR(VLOOKUP($AE26,areaCercaPuntiClassificaSquadra,3,FALSE),-2)),SUMIFS(Dati!$F$2:$F$451,Dati!$A$2:$A$451,$H26,Dati!$H$2:$H$451,$AE26)+SUMIFS(Dati!$M$2:$M$451,Dati!$H$2:$H$451,$H26,Dati!$A$2:$A$451,$AE26),"-")</f>
        <v/>
      </c>
      <c r="CB26" s="22">
        <f>IF(AND($H26&lt;&gt;"",$AF26&lt;&gt;"",$H26&lt;&gt;$AF26,IFERROR(VLOOKUP($H26,areaCercaPuntiClassificaSquadra,3,FALSE),-1)=IFERROR(VLOOKUP($AF26,areaCercaPuntiClassificaSquadra,3,FALSE),-2)),SUMIFS(Dati!$F$2:$F$451,Dati!$A$2:$A$451,$H26,Dati!$H$2:$H$451,$AF26)+SUMIFS(Dati!$M$2:$M$451,Dati!$H$2:$H$451,$H26,Dati!$A$2:$A$451,$AF26),"-")</f>
        <v/>
      </c>
      <c r="CC26" s="22">
        <f>IF(AND($H26&lt;&gt;"",$AG26&lt;&gt;"",$H26&lt;&gt;$AG26,IFERROR(VLOOKUP($H26,areaCercaPuntiClassificaSquadra,3,FALSE),-1)=IFERROR(VLOOKUP($AG26,areaCercaPuntiClassificaSquadra,3,FALSE),-2)),SUMIFS(Dati!$F$2:$F$451,Dati!$A$2:$A$451,$H26,Dati!$H$2:$H$451,$AG26)+SUMIFS(Dati!$M$2:$M$451,Dati!$H$2:$H$451,$H26,Dati!$A$2:$A$451,$AG26),"-")</f>
        <v/>
      </c>
      <c r="CD26" s="22">
        <f>IF(AND($H26&lt;&gt;"",$AH26&lt;&gt;"",$H26&lt;&gt;$AH26,IFERROR(VLOOKUP($H26,areaCercaPuntiClassificaSquadra,3,FALSE),-1)=IFERROR(VLOOKUP($AH26,areaCercaPuntiClassificaSquadra,3,FALSE),-2)),SUMIFS(Dati!$F$2:$F$451,Dati!$A$2:$A$451,$H26,Dati!$H$2:$H$451,$AH26)+SUMIFS(Dati!$M$2:$M$451,Dati!$H$2:$H$451,$H26,Dati!$A$2:$A$451,$AH26),"-")</f>
        <v/>
      </c>
      <c r="CF26" s="22">
        <f>IF($C26="","",SUM(AK26:AT26))</f>
        <v/>
      </c>
    </row>
    <row r="27">
      <c r="B27" s="12" t="inlineStr">
        <is>
          <t>B04</t>
        </is>
      </c>
      <c r="C27" s="13" t="n"/>
      <c r="D27" s="14" t="n"/>
      <c r="E27" s="23" t="inlineStr">
        <is>
          <t>B</t>
        </is>
      </c>
      <c r="G27" s="24">
        <f>IF($C27="","",$E27&amp;(COUNTIFS(I$14:I$113,"&gt;"&amp;I27,E$14:E$113,"="&amp;E27,C$14:C$113,"&lt;&gt;")+COUNTIFS(I$14:I$113,"="&amp;I27,H$14:H$113,"&lt;="&amp;H27,E$14:E$113,"="&amp;E27,C$14:C$113,"&lt;&gt;")))</f>
        <v/>
      </c>
      <c r="H27" s="17">
        <f>IF($C27="","",IFERROR(LEFT($C27,FIND("-",$C27)-1),$C27))</f>
        <v/>
      </c>
      <c r="I27" s="12">
        <f>TEXT(1000000000+J27,"|0000000000|")&amp;TEXT(SUM(AK27:AT27),"0000000000|")&amp;IF(SUM(BU27:CD27)=0,"0000000000|",TEXT(ROUND(SUM(BI27:BR27)/SUM(BU27:CD27),4)*100000,"0000000000|"))&amp;IF(P27=0,"0000000000|",TEXT(ROUND(O27/P27,4)*100000,"0000000000|"))</f>
        <v/>
      </c>
      <c r="J27" s="24">
        <f>L27*constPuntiVittoria+M27*constPuntiSconfitta+N27*constPuntiForfait+IF(D27="",0,D27)</f>
        <v/>
      </c>
      <c r="K27" s="12">
        <f>SUM(L27:N27)</f>
        <v/>
      </c>
      <c r="L27" s="12">
        <f>IF($H27="",0,SUMIF(Dati!$A$2:$A$451,$H27,Dati!$B$2:$B$451)+SUMIF(Dati!$H$2:$H$451,$H27,Dati!$I$2:$I$451))</f>
        <v/>
      </c>
      <c r="M27" s="12">
        <f>IF($H27="",0,SUMIF(Dati!$A$2:$A$451,$H27,Dati!$D$2:$D$451)+SUMIF(Dati!$H$2:$H$451,$H27,Dati!$K$2:$K$451))</f>
        <v/>
      </c>
      <c r="N27" s="12">
        <f>IF($H27="",0,SUMIF(Dati!$A$2:$A$451,$H27,Dati!$C$2:$C$451)+SUMIF(Dati!$H$2:$H$451,$H27,Dati!$J$2:$J$451))</f>
        <v/>
      </c>
      <c r="O27" s="12">
        <f>IF($H27="",0,SUMIF(Dati!$A$2:$A$451,$H27,Dati!$E$2:$E$451)+SUMIF(Dati!$H$2:$H$451,$H27,Dati!$L$2:$L$451))</f>
        <v/>
      </c>
      <c r="P27" s="12">
        <f>IF($H27="",0,SUMIF(Dati!$A$2:$A$451,$H27,Dati!$F$2:$F$451)+SUMIF(Dati!$H$2:$H$451,$H27,Dati!$M$2:$M$451))</f>
        <v/>
      </c>
      <c r="Q27" s="12">
        <f>IF($H27="",0,SUMIF(Dati!$A$2:$A$451,$H27,Dati!$G$2:$G$451)+SUMIF(Dati!$H$2:$H$451,$H27,Dati!$N$2:$N$451))</f>
        <v/>
      </c>
      <c r="R27" s="12">
        <f>IF(K27=0,0,ROUND(O27/K27,2))</f>
        <v/>
      </c>
      <c r="S27" s="12">
        <f>IF(K27=0,0,ROUND(P27/K27,2))</f>
        <v/>
      </c>
      <c r="T27" s="12">
        <f>IF(K27=0,0,ROUND(Q27/K27,2))</f>
        <v/>
      </c>
      <c r="U27" s="12">
        <f>IF(COUNTIFS($E$14:$E$113,$E27,$J$14:$J$113,$J27,$C$14:$C$113,"&lt;&gt;")&lt;=1,"-",SUM(AK27:AT27)&amp;"-"&amp;SUM(AW27:BF27))</f>
        <v/>
      </c>
      <c r="V27" s="18">
        <f>IF(COUNTIFS($E$14:$E$113,$E27,$J$14:$J$113,$J27,$C$14:$C$113,"&lt;&gt;",$CF$14:$CF$113,$CF27)&lt;=1,"-",IF(SUM(BU27:CD27)=0,0,ROUND(SUM(BI27:BR27)/SUM(BU27:CD27),3)))</f>
        <v/>
      </c>
      <c r="W27" s="18">
        <f>IF(COUNTIFS($E$14:$E$113,$E27,$J$14:$J$113,$J27,$C$14:$C$113,"&lt;&gt;",$CF$14:$CF$113,$CF27,$V$14:$V$113,$V27)&lt;=1,"-",IF(P27=0,0,ROUND(O27/P27,3)))</f>
        <v/>
      </c>
      <c r="X27" s="19">
        <f>IF($C27="","",$E27&amp;"#"&amp;COUNTIFS($E$14:$E27,$E27,$C$14:$C27,"&lt;&gt;"))</f>
        <v/>
      </c>
      <c r="Y27" s="20">
        <f>IFERROR(INDEX($H$14:$H$113,MATCH($E27&amp;"#1",$X$14:$X$113,0)),"")</f>
        <v/>
      </c>
      <c r="Z27" s="20">
        <f>IFERROR(INDEX($H$14:$H$113,MATCH($E27&amp;"#2",$X$14:$X$113,0)),"")</f>
        <v/>
      </c>
      <c r="AA27" s="20">
        <f>IFERROR(INDEX($H$14:$H$113,MATCH($E27&amp;"#3",$X$14:$X$113,0)),"")</f>
        <v/>
      </c>
      <c r="AB27" s="20">
        <f>IFERROR(INDEX($H$14:$H$113,MATCH($E27&amp;"#4",$X$14:$X$113,0)),"")</f>
        <v/>
      </c>
      <c r="AC27" s="20">
        <f>IFERROR(INDEX($H$14:$H$113,MATCH($E27&amp;"#5",$X$14:$X$113,0)),"")</f>
        <v/>
      </c>
      <c r="AD27" s="20">
        <f>IFERROR(INDEX($H$14:$H$113,MATCH($E27&amp;"#6",$X$14:$X$113,0)),"")</f>
        <v/>
      </c>
      <c r="AE27" s="20">
        <f>IFERROR(INDEX($H$14:$H$113,MATCH($E27&amp;"#7",$X$14:$X$113,0)),"")</f>
        <v/>
      </c>
      <c r="AF27" s="20">
        <f>IFERROR(INDEX($H$14:$H$113,MATCH($E27&amp;"#8",$X$14:$X$113,0)),"")</f>
        <v/>
      </c>
      <c r="AG27" s="20">
        <f>IFERROR(INDEX($H$14:$H$113,MATCH($E27&amp;"#9",$X$14:$X$113,0)),"")</f>
        <v/>
      </c>
      <c r="AH27" s="20">
        <f>IFERROR(INDEX($H$14:$H$113,MATCH($E27&amp;"#10",$X$14:$X$113,0)),"")</f>
        <v/>
      </c>
      <c r="AJ27" s="21">
        <f>$C27</f>
        <v/>
      </c>
      <c r="AK27" s="22">
        <f>IF(AND($H27&lt;&gt;"",$Y27&lt;&gt;"",$H27&lt;&gt;$Y27,IFERROR(VLOOKUP($H27,areaCercaPuntiClassificaSquadra,3,FALSE),-1)=IFERROR(VLOOKUP($Y27,areaCercaPuntiClassificaSquadra,3,FALSE),-2)),SUMIFS(Dati!$B$2:$B$451,Dati!$A$2:$A$451,$H27,Dati!$H$2:$H$451,$Y27)+SUMIFS(Dati!$I$2:$I$451,Dati!$H$2:$H$451,$H27,Dati!$A$2:$A$451,$Y27),"-")</f>
        <v/>
      </c>
      <c r="AL27" s="22">
        <f>IF(AND($H27&lt;&gt;"",$Z27&lt;&gt;"",$H27&lt;&gt;$Z27,IFERROR(VLOOKUP($H27,areaCercaPuntiClassificaSquadra,3,FALSE),-1)=IFERROR(VLOOKUP($Z27,areaCercaPuntiClassificaSquadra,3,FALSE),-2)),SUMIFS(Dati!$B$2:$B$451,Dati!$A$2:$A$451,$H27,Dati!$H$2:$H$451,$Z27)+SUMIFS(Dati!$I$2:$I$451,Dati!$H$2:$H$451,$H27,Dati!$A$2:$A$451,$Z27),"-")</f>
        <v/>
      </c>
      <c r="AM27" s="22">
        <f>IF(AND($H27&lt;&gt;"",$AA27&lt;&gt;"",$H27&lt;&gt;$AA27,IFERROR(VLOOKUP($H27,areaCercaPuntiClassificaSquadra,3,FALSE),-1)=IFERROR(VLOOKUP($AA27,areaCercaPuntiClassificaSquadra,3,FALSE),-2)),SUMIFS(Dati!$B$2:$B$451,Dati!$A$2:$A$451,$H27,Dati!$H$2:$H$451,$AA27)+SUMIFS(Dati!$I$2:$I$451,Dati!$H$2:$H$451,$H27,Dati!$A$2:$A$451,$AA27),"-")</f>
        <v/>
      </c>
      <c r="AN27" s="22">
        <f>IF(AND($H27&lt;&gt;"",$AB27&lt;&gt;"",$H27&lt;&gt;$AB27,IFERROR(VLOOKUP($H27,areaCercaPuntiClassificaSquadra,3,FALSE),-1)=IFERROR(VLOOKUP($AB27,areaCercaPuntiClassificaSquadra,3,FALSE),-2)),SUMIFS(Dati!$B$2:$B$451,Dati!$A$2:$A$451,$H27,Dati!$H$2:$H$451,$AB27)+SUMIFS(Dati!$I$2:$I$451,Dati!$H$2:$H$451,$H27,Dati!$A$2:$A$451,$AB27),"-")</f>
        <v/>
      </c>
      <c r="AO27" s="22">
        <f>IF(AND($H27&lt;&gt;"",$AC27&lt;&gt;"",$H27&lt;&gt;$AC27,IFERROR(VLOOKUP($H27,areaCercaPuntiClassificaSquadra,3,FALSE),-1)=IFERROR(VLOOKUP($AC27,areaCercaPuntiClassificaSquadra,3,FALSE),-2)),SUMIFS(Dati!$B$2:$B$451,Dati!$A$2:$A$451,$H27,Dati!$H$2:$H$451,$AC27)+SUMIFS(Dati!$I$2:$I$451,Dati!$H$2:$H$451,$H27,Dati!$A$2:$A$451,$AC27),"-")</f>
        <v/>
      </c>
      <c r="AP27" s="22">
        <f>IF(AND($H27&lt;&gt;"",$AD27&lt;&gt;"",$H27&lt;&gt;$AD27,IFERROR(VLOOKUP($H27,areaCercaPuntiClassificaSquadra,3,FALSE),-1)=IFERROR(VLOOKUP($AD27,areaCercaPuntiClassificaSquadra,3,FALSE),-2)),SUMIFS(Dati!$B$2:$B$451,Dati!$A$2:$A$451,$H27,Dati!$H$2:$H$451,$AD27)+SUMIFS(Dati!$I$2:$I$451,Dati!$H$2:$H$451,$H27,Dati!$A$2:$A$451,$AD27),"-")</f>
        <v/>
      </c>
      <c r="AQ27" s="22">
        <f>IF(AND($H27&lt;&gt;"",$AE27&lt;&gt;"",$H27&lt;&gt;$AE27,IFERROR(VLOOKUP($H27,areaCercaPuntiClassificaSquadra,3,FALSE),-1)=IFERROR(VLOOKUP($AE27,areaCercaPuntiClassificaSquadra,3,FALSE),-2)),SUMIFS(Dati!$B$2:$B$451,Dati!$A$2:$A$451,$H27,Dati!$H$2:$H$451,$AE27)+SUMIFS(Dati!$I$2:$I$451,Dati!$H$2:$H$451,$H27,Dati!$A$2:$A$451,$AE27),"-")</f>
        <v/>
      </c>
      <c r="AR27" s="22">
        <f>IF(AND($H27&lt;&gt;"",$AF27&lt;&gt;"",$H27&lt;&gt;$AF27,IFERROR(VLOOKUP($H27,areaCercaPuntiClassificaSquadra,3,FALSE),-1)=IFERROR(VLOOKUP($AF27,areaCercaPuntiClassificaSquadra,3,FALSE),-2)),SUMIFS(Dati!$B$2:$B$451,Dati!$A$2:$A$451,$H27,Dati!$H$2:$H$451,$AF27)+SUMIFS(Dati!$I$2:$I$451,Dati!$H$2:$H$451,$H27,Dati!$A$2:$A$451,$AF27),"-")</f>
        <v/>
      </c>
      <c r="AS27" s="22">
        <f>IF(AND($H27&lt;&gt;"",$AG27&lt;&gt;"",$H27&lt;&gt;$AG27,IFERROR(VLOOKUP($H27,areaCercaPuntiClassificaSquadra,3,FALSE),-1)=IFERROR(VLOOKUP($AG27,areaCercaPuntiClassificaSquadra,3,FALSE),-2)),SUMIFS(Dati!$B$2:$B$451,Dati!$A$2:$A$451,$H27,Dati!$H$2:$H$451,$AG27)+SUMIFS(Dati!$I$2:$I$451,Dati!$H$2:$H$451,$H27,Dati!$A$2:$A$451,$AG27),"-")</f>
        <v/>
      </c>
      <c r="AT27" s="22">
        <f>IF(AND($H27&lt;&gt;"",$AH27&lt;&gt;"",$H27&lt;&gt;$AH27,IFERROR(VLOOKUP($H27,areaCercaPuntiClassificaSquadra,3,FALSE),-1)=IFERROR(VLOOKUP($AH27,areaCercaPuntiClassificaSquadra,3,FALSE),-2)),SUMIFS(Dati!$B$2:$B$451,Dati!$A$2:$A$451,$H27,Dati!$H$2:$H$451,$AH27)+SUMIFS(Dati!$I$2:$I$451,Dati!$H$2:$H$451,$H27,Dati!$A$2:$A$451,$AH27),"-")</f>
        <v/>
      </c>
      <c r="AV27" s="21">
        <f>$C27</f>
        <v/>
      </c>
      <c r="AW27" s="22">
        <f>IF(AND($H27&lt;&gt;"",$Y27&lt;&gt;"",$H27&lt;&gt;$Y27,IFERROR(VLOOKUP($H27,areaCercaPuntiClassificaSquadra,3,FALSE),-1)=IFERROR(VLOOKUP($Y27,areaCercaPuntiClassificaSquadra,3,FALSE),-2)),SUMIFS(Dati!$D$2:$D$451,Dati!$A$2:$A$451,$H27,Dati!$H$2:$H$451,$Y27)+SUMIFS(Dati!$K$2:$K$451,Dati!$H$2:$H$451,$H27,Dati!$A$2:$A$451,$Y27)+SUMIFS(Dati!$C$2:$C$451,Dati!$A$2:$A$451,$H27,Dati!$H$2:$H$451,$Y27)+SUMIFS(Dati!$J$2:$J$451,Dati!$H$2:$H$451,$H27,Dati!$A$2:$A$451,$Y27),"-")</f>
        <v/>
      </c>
      <c r="AX27" s="22">
        <f>IF(AND($H27&lt;&gt;"",$Z27&lt;&gt;"",$H27&lt;&gt;$Z27,IFERROR(VLOOKUP($H27,areaCercaPuntiClassificaSquadra,3,FALSE),-1)=IFERROR(VLOOKUP($Z27,areaCercaPuntiClassificaSquadra,3,FALSE),-2)),SUMIFS(Dati!$D$2:$D$451,Dati!$A$2:$A$451,$H27,Dati!$H$2:$H$451,$Z27)+SUMIFS(Dati!$K$2:$K$451,Dati!$H$2:$H$451,$H27,Dati!$A$2:$A$451,$Z27)+SUMIFS(Dati!$C$2:$C$451,Dati!$A$2:$A$451,$H27,Dati!$H$2:$H$451,$Z27)+SUMIFS(Dati!$J$2:$J$451,Dati!$H$2:$H$451,$H27,Dati!$A$2:$A$451,$Z27),"-")</f>
        <v/>
      </c>
      <c r="AY27" s="22">
        <f>IF(AND($H27&lt;&gt;"",$AA27&lt;&gt;"",$H27&lt;&gt;$AA27,IFERROR(VLOOKUP($H27,areaCercaPuntiClassificaSquadra,3,FALSE),-1)=IFERROR(VLOOKUP($AA27,areaCercaPuntiClassificaSquadra,3,FALSE),-2)),SUMIFS(Dati!$D$2:$D$451,Dati!$A$2:$A$451,$H27,Dati!$H$2:$H$451,$AA27)+SUMIFS(Dati!$K$2:$K$451,Dati!$H$2:$H$451,$H27,Dati!$A$2:$A$451,$AA27)+SUMIFS(Dati!$C$2:$C$451,Dati!$A$2:$A$451,$H27,Dati!$H$2:$H$451,$AA27)+SUMIFS(Dati!$J$2:$J$451,Dati!$H$2:$H$451,$H27,Dati!$A$2:$A$451,$AA27),"-")</f>
        <v/>
      </c>
      <c r="AZ27" s="22">
        <f>IF(AND($H27&lt;&gt;"",$AB27&lt;&gt;"",$H27&lt;&gt;$AB27,IFERROR(VLOOKUP($H27,areaCercaPuntiClassificaSquadra,3,FALSE),-1)=IFERROR(VLOOKUP($AB27,areaCercaPuntiClassificaSquadra,3,FALSE),-2)),SUMIFS(Dati!$D$2:$D$451,Dati!$A$2:$A$451,$H27,Dati!$H$2:$H$451,$AB27)+SUMIFS(Dati!$K$2:$K$451,Dati!$H$2:$H$451,$H27,Dati!$A$2:$A$451,$AB27)+SUMIFS(Dati!$C$2:$C$451,Dati!$A$2:$A$451,$H27,Dati!$H$2:$H$451,$AB27)+SUMIFS(Dati!$J$2:$J$451,Dati!$H$2:$H$451,$H27,Dati!$A$2:$A$451,$AB27),"-")</f>
        <v/>
      </c>
      <c r="BA27" s="22">
        <f>IF(AND($H27&lt;&gt;"",$AC27&lt;&gt;"",$H27&lt;&gt;$AC27,IFERROR(VLOOKUP($H27,areaCercaPuntiClassificaSquadra,3,FALSE),-1)=IFERROR(VLOOKUP($AC27,areaCercaPuntiClassificaSquadra,3,FALSE),-2)),SUMIFS(Dati!$D$2:$D$451,Dati!$A$2:$A$451,$H27,Dati!$H$2:$H$451,$AC27)+SUMIFS(Dati!$K$2:$K$451,Dati!$H$2:$H$451,$H27,Dati!$A$2:$A$451,$AC27)+SUMIFS(Dati!$C$2:$C$451,Dati!$A$2:$A$451,$H27,Dati!$H$2:$H$451,$AC27)+SUMIFS(Dati!$J$2:$J$451,Dati!$H$2:$H$451,$H27,Dati!$A$2:$A$451,$AC27),"-")</f>
        <v/>
      </c>
      <c r="BB27" s="22">
        <f>IF(AND($H27&lt;&gt;"",$AD27&lt;&gt;"",$H27&lt;&gt;$AD27,IFERROR(VLOOKUP($H27,areaCercaPuntiClassificaSquadra,3,FALSE),-1)=IFERROR(VLOOKUP($AD27,areaCercaPuntiClassificaSquadra,3,FALSE),-2)),SUMIFS(Dati!$D$2:$D$451,Dati!$A$2:$A$451,$H27,Dati!$H$2:$H$451,$AD27)+SUMIFS(Dati!$K$2:$K$451,Dati!$H$2:$H$451,$H27,Dati!$A$2:$A$451,$AD27)+SUMIFS(Dati!$C$2:$C$451,Dati!$A$2:$A$451,$H27,Dati!$H$2:$H$451,$AD27)+SUMIFS(Dati!$J$2:$J$451,Dati!$H$2:$H$451,$H27,Dati!$A$2:$A$451,$AD27),"-")</f>
        <v/>
      </c>
      <c r="BC27" s="22">
        <f>IF(AND($H27&lt;&gt;"",$AE27&lt;&gt;"",$H27&lt;&gt;$AE27,IFERROR(VLOOKUP($H27,areaCercaPuntiClassificaSquadra,3,FALSE),-1)=IFERROR(VLOOKUP($AE27,areaCercaPuntiClassificaSquadra,3,FALSE),-2)),SUMIFS(Dati!$D$2:$D$451,Dati!$A$2:$A$451,$H27,Dati!$H$2:$H$451,$AE27)+SUMIFS(Dati!$K$2:$K$451,Dati!$H$2:$H$451,$H27,Dati!$A$2:$A$451,$AE27)+SUMIFS(Dati!$C$2:$C$451,Dati!$A$2:$A$451,$H27,Dati!$H$2:$H$451,$AE27)+SUMIFS(Dati!$J$2:$J$451,Dati!$H$2:$H$451,$H27,Dati!$A$2:$A$451,$AE27),"-")</f>
        <v/>
      </c>
      <c r="BD27" s="22">
        <f>IF(AND($H27&lt;&gt;"",$AF27&lt;&gt;"",$H27&lt;&gt;$AF27,IFERROR(VLOOKUP($H27,areaCercaPuntiClassificaSquadra,3,FALSE),-1)=IFERROR(VLOOKUP($AF27,areaCercaPuntiClassificaSquadra,3,FALSE),-2)),SUMIFS(Dati!$D$2:$D$451,Dati!$A$2:$A$451,$H27,Dati!$H$2:$H$451,$AF27)+SUMIFS(Dati!$K$2:$K$451,Dati!$H$2:$H$451,$H27,Dati!$A$2:$A$451,$AF27)+SUMIFS(Dati!$C$2:$C$451,Dati!$A$2:$A$451,$H27,Dati!$H$2:$H$451,$AF27)+SUMIFS(Dati!$J$2:$J$451,Dati!$H$2:$H$451,$H27,Dati!$A$2:$A$451,$AF27),"-")</f>
        <v/>
      </c>
      <c r="BE27" s="22">
        <f>IF(AND($H27&lt;&gt;"",$AG27&lt;&gt;"",$H27&lt;&gt;$AG27,IFERROR(VLOOKUP($H27,areaCercaPuntiClassificaSquadra,3,FALSE),-1)=IFERROR(VLOOKUP($AG27,areaCercaPuntiClassificaSquadra,3,FALSE),-2)),SUMIFS(Dati!$D$2:$D$451,Dati!$A$2:$A$451,$H27,Dati!$H$2:$H$451,$AG27)+SUMIFS(Dati!$K$2:$K$451,Dati!$H$2:$H$451,$H27,Dati!$A$2:$A$451,$AG27)+SUMIFS(Dati!$C$2:$C$451,Dati!$A$2:$A$451,$H27,Dati!$H$2:$H$451,$AG27)+SUMIFS(Dati!$J$2:$J$451,Dati!$H$2:$H$451,$H27,Dati!$A$2:$A$451,$AG27),"-")</f>
        <v/>
      </c>
      <c r="BF27" s="22">
        <f>IF(AND($H27&lt;&gt;"",$AH27&lt;&gt;"",$H27&lt;&gt;$AH27,IFERROR(VLOOKUP($H27,areaCercaPuntiClassificaSquadra,3,FALSE),-1)=IFERROR(VLOOKUP($AH27,areaCercaPuntiClassificaSquadra,3,FALSE),-2)),SUMIFS(Dati!$D$2:$D$451,Dati!$A$2:$A$451,$H27,Dati!$H$2:$H$451,$AH27)+SUMIFS(Dati!$K$2:$K$451,Dati!$H$2:$H$451,$H27,Dati!$A$2:$A$451,$AH27)+SUMIFS(Dati!$C$2:$C$451,Dati!$A$2:$A$451,$H27,Dati!$H$2:$H$451,$AH27)+SUMIFS(Dati!$J$2:$J$451,Dati!$H$2:$H$451,$H27,Dati!$A$2:$A$451,$AH27),"-")</f>
        <v/>
      </c>
      <c r="BH27" s="21">
        <f>$C27</f>
        <v/>
      </c>
      <c r="BI27" s="22">
        <f>IF(AND($H27&lt;&gt;"",$Y27&lt;&gt;"",$H27&lt;&gt;$Y27,IFERROR(VLOOKUP($H27,areaCercaPuntiClassificaSquadra,3,FALSE),-1)=IFERROR(VLOOKUP($Y27,areaCercaPuntiClassificaSquadra,3,FALSE),-2)),SUMIFS(Dati!$E$2:$E$451,Dati!$A$2:$A$451,$H27,Dati!$H$2:$H$451,$Y27)+SUMIFS(Dati!$L$2:$L$451,Dati!$H$2:$H$451,$H27,Dati!$A$2:$A$451,$Y27),"-")</f>
        <v/>
      </c>
      <c r="BJ27" s="22">
        <f>IF(AND($H27&lt;&gt;"",$Z27&lt;&gt;"",$H27&lt;&gt;$Z27,IFERROR(VLOOKUP($H27,areaCercaPuntiClassificaSquadra,3,FALSE),-1)=IFERROR(VLOOKUP($Z27,areaCercaPuntiClassificaSquadra,3,FALSE),-2)),SUMIFS(Dati!$E$2:$E$451,Dati!$A$2:$A$451,$H27,Dati!$H$2:$H$451,$Z27)+SUMIFS(Dati!$L$2:$L$451,Dati!$H$2:$H$451,$H27,Dati!$A$2:$A$451,$Z27),"-")</f>
        <v/>
      </c>
      <c r="BK27" s="22">
        <f>IF(AND($H27&lt;&gt;"",$AA27&lt;&gt;"",$H27&lt;&gt;$AA27,IFERROR(VLOOKUP($H27,areaCercaPuntiClassificaSquadra,3,FALSE),-1)=IFERROR(VLOOKUP($AA27,areaCercaPuntiClassificaSquadra,3,FALSE),-2)),SUMIFS(Dati!$E$2:$E$451,Dati!$A$2:$A$451,$H27,Dati!$H$2:$H$451,$AA27)+SUMIFS(Dati!$L$2:$L$451,Dati!$H$2:$H$451,$H27,Dati!$A$2:$A$451,$AA27),"-")</f>
        <v/>
      </c>
      <c r="BL27" s="22">
        <f>IF(AND($H27&lt;&gt;"",$AB27&lt;&gt;"",$H27&lt;&gt;$AB27,IFERROR(VLOOKUP($H27,areaCercaPuntiClassificaSquadra,3,FALSE),-1)=IFERROR(VLOOKUP($AB27,areaCercaPuntiClassificaSquadra,3,FALSE),-2)),SUMIFS(Dati!$E$2:$E$451,Dati!$A$2:$A$451,$H27,Dati!$H$2:$H$451,$AB27)+SUMIFS(Dati!$L$2:$L$451,Dati!$H$2:$H$451,$H27,Dati!$A$2:$A$451,$AB27),"-")</f>
        <v/>
      </c>
      <c r="BM27" s="22">
        <f>IF(AND($H27&lt;&gt;"",$AC27&lt;&gt;"",$H27&lt;&gt;$AC27,IFERROR(VLOOKUP($H27,areaCercaPuntiClassificaSquadra,3,FALSE),-1)=IFERROR(VLOOKUP($AC27,areaCercaPuntiClassificaSquadra,3,FALSE),-2)),SUMIFS(Dati!$E$2:$E$451,Dati!$A$2:$A$451,$H27,Dati!$H$2:$H$451,$AC27)+SUMIFS(Dati!$L$2:$L$451,Dati!$H$2:$H$451,$H27,Dati!$A$2:$A$451,$AC27),"-")</f>
        <v/>
      </c>
      <c r="BN27" s="22">
        <f>IF(AND($H27&lt;&gt;"",$AD27&lt;&gt;"",$H27&lt;&gt;$AD27,IFERROR(VLOOKUP($H27,areaCercaPuntiClassificaSquadra,3,FALSE),-1)=IFERROR(VLOOKUP($AD27,areaCercaPuntiClassificaSquadra,3,FALSE),-2)),SUMIFS(Dati!$E$2:$E$451,Dati!$A$2:$A$451,$H27,Dati!$H$2:$H$451,$AD27)+SUMIFS(Dati!$L$2:$L$451,Dati!$H$2:$H$451,$H27,Dati!$A$2:$A$451,$AD27),"-")</f>
        <v/>
      </c>
      <c r="BO27" s="22">
        <f>IF(AND($H27&lt;&gt;"",$AE27&lt;&gt;"",$H27&lt;&gt;$AE27,IFERROR(VLOOKUP($H27,areaCercaPuntiClassificaSquadra,3,FALSE),-1)=IFERROR(VLOOKUP($AE27,areaCercaPuntiClassificaSquadra,3,FALSE),-2)),SUMIFS(Dati!$E$2:$E$451,Dati!$A$2:$A$451,$H27,Dati!$H$2:$H$451,$AE27)+SUMIFS(Dati!$L$2:$L$451,Dati!$H$2:$H$451,$H27,Dati!$A$2:$A$451,$AE27),"-")</f>
        <v/>
      </c>
      <c r="BP27" s="22">
        <f>IF(AND($H27&lt;&gt;"",$AF27&lt;&gt;"",$H27&lt;&gt;$AF27,IFERROR(VLOOKUP($H27,areaCercaPuntiClassificaSquadra,3,FALSE),-1)=IFERROR(VLOOKUP($AF27,areaCercaPuntiClassificaSquadra,3,FALSE),-2)),SUMIFS(Dati!$E$2:$E$451,Dati!$A$2:$A$451,$H27,Dati!$H$2:$H$451,$AF27)+SUMIFS(Dati!$L$2:$L$451,Dati!$H$2:$H$451,$H27,Dati!$A$2:$A$451,$AF27),"-")</f>
        <v/>
      </c>
      <c r="BQ27" s="22">
        <f>IF(AND($H27&lt;&gt;"",$AG27&lt;&gt;"",$H27&lt;&gt;$AG27,IFERROR(VLOOKUP($H27,areaCercaPuntiClassificaSquadra,3,FALSE),-1)=IFERROR(VLOOKUP($AG27,areaCercaPuntiClassificaSquadra,3,FALSE),-2)),SUMIFS(Dati!$E$2:$E$451,Dati!$A$2:$A$451,$H27,Dati!$H$2:$H$451,$AG27)+SUMIFS(Dati!$L$2:$L$451,Dati!$H$2:$H$451,$H27,Dati!$A$2:$A$451,$AG27),"-")</f>
        <v/>
      </c>
      <c r="BR27" s="22">
        <f>IF(AND($H27&lt;&gt;"",$AH27&lt;&gt;"",$H27&lt;&gt;$AH27,IFERROR(VLOOKUP($H27,areaCercaPuntiClassificaSquadra,3,FALSE),-1)=IFERROR(VLOOKUP($AH27,areaCercaPuntiClassificaSquadra,3,FALSE),-2)),SUMIFS(Dati!$E$2:$E$451,Dati!$A$2:$A$451,$H27,Dati!$H$2:$H$451,$AH27)+SUMIFS(Dati!$L$2:$L$451,Dati!$H$2:$H$451,$H27,Dati!$A$2:$A$451,$AH27),"-")</f>
        <v/>
      </c>
      <c r="BT27" s="21">
        <f>$C27</f>
        <v/>
      </c>
      <c r="BU27" s="22">
        <f>IF(AND($H27&lt;&gt;"",$Y27&lt;&gt;"",$H27&lt;&gt;$Y27,IFERROR(VLOOKUP($H27,areaCercaPuntiClassificaSquadra,3,FALSE),-1)=IFERROR(VLOOKUP($Y27,areaCercaPuntiClassificaSquadra,3,FALSE),-2)),SUMIFS(Dati!$F$2:$F$451,Dati!$A$2:$A$451,$H27,Dati!$H$2:$H$451,$Y27)+SUMIFS(Dati!$M$2:$M$451,Dati!$H$2:$H$451,$H27,Dati!$A$2:$A$451,$Y27),"-")</f>
        <v/>
      </c>
      <c r="BV27" s="22">
        <f>IF(AND($H27&lt;&gt;"",$Z27&lt;&gt;"",$H27&lt;&gt;$Z27,IFERROR(VLOOKUP($H27,areaCercaPuntiClassificaSquadra,3,FALSE),-1)=IFERROR(VLOOKUP($Z27,areaCercaPuntiClassificaSquadra,3,FALSE),-2)),SUMIFS(Dati!$F$2:$F$451,Dati!$A$2:$A$451,$H27,Dati!$H$2:$H$451,$Z27)+SUMIFS(Dati!$M$2:$M$451,Dati!$H$2:$H$451,$H27,Dati!$A$2:$A$451,$Z27),"-")</f>
        <v/>
      </c>
      <c r="BW27" s="22">
        <f>IF(AND($H27&lt;&gt;"",$AA27&lt;&gt;"",$H27&lt;&gt;$AA27,IFERROR(VLOOKUP($H27,areaCercaPuntiClassificaSquadra,3,FALSE),-1)=IFERROR(VLOOKUP($AA27,areaCercaPuntiClassificaSquadra,3,FALSE),-2)),SUMIFS(Dati!$F$2:$F$451,Dati!$A$2:$A$451,$H27,Dati!$H$2:$H$451,$AA27)+SUMIFS(Dati!$M$2:$M$451,Dati!$H$2:$H$451,$H27,Dati!$A$2:$A$451,$AA27),"-")</f>
        <v/>
      </c>
      <c r="BX27" s="22">
        <f>IF(AND($H27&lt;&gt;"",$AB27&lt;&gt;"",$H27&lt;&gt;$AB27,IFERROR(VLOOKUP($H27,areaCercaPuntiClassificaSquadra,3,FALSE),-1)=IFERROR(VLOOKUP($AB27,areaCercaPuntiClassificaSquadra,3,FALSE),-2)),SUMIFS(Dati!$F$2:$F$451,Dati!$A$2:$A$451,$H27,Dati!$H$2:$H$451,$AB27)+SUMIFS(Dati!$M$2:$M$451,Dati!$H$2:$H$451,$H27,Dati!$A$2:$A$451,$AB27),"-")</f>
        <v/>
      </c>
      <c r="BY27" s="22">
        <f>IF(AND($H27&lt;&gt;"",$AC27&lt;&gt;"",$H27&lt;&gt;$AC27,IFERROR(VLOOKUP($H27,areaCercaPuntiClassificaSquadra,3,FALSE),-1)=IFERROR(VLOOKUP($AC27,areaCercaPuntiClassificaSquadra,3,FALSE),-2)),SUMIFS(Dati!$F$2:$F$451,Dati!$A$2:$A$451,$H27,Dati!$H$2:$H$451,$AC27)+SUMIFS(Dati!$M$2:$M$451,Dati!$H$2:$H$451,$H27,Dati!$A$2:$A$451,$AC27),"-")</f>
        <v/>
      </c>
      <c r="BZ27" s="22">
        <f>IF(AND($H27&lt;&gt;"",$AD27&lt;&gt;"",$H27&lt;&gt;$AD27,IFERROR(VLOOKUP($H27,areaCercaPuntiClassificaSquadra,3,FALSE),-1)=IFERROR(VLOOKUP($AD27,areaCercaPuntiClassificaSquadra,3,FALSE),-2)),SUMIFS(Dati!$F$2:$F$451,Dati!$A$2:$A$451,$H27,Dati!$H$2:$H$451,$AD27)+SUMIFS(Dati!$M$2:$M$451,Dati!$H$2:$H$451,$H27,Dati!$A$2:$A$451,$AD27),"-")</f>
        <v/>
      </c>
      <c r="CA27" s="22">
        <f>IF(AND($H27&lt;&gt;"",$AE27&lt;&gt;"",$H27&lt;&gt;$AE27,IFERROR(VLOOKUP($H27,areaCercaPuntiClassificaSquadra,3,FALSE),-1)=IFERROR(VLOOKUP($AE27,areaCercaPuntiClassificaSquadra,3,FALSE),-2)),SUMIFS(Dati!$F$2:$F$451,Dati!$A$2:$A$451,$H27,Dati!$H$2:$H$451,$AE27)+SUMIFS(Dati!$M$2:$M$451,Dati!$H$2:$H$451,$H27,Dati!$A$2:$A$451,$AE27),"-")</f>
        <v/>
      </c>
      <c r="CB27" s="22">
        <f>IF(AND($H27&lt;&gt;"",$AF27&lt;&gt;"",$H27&lt;&gt;$AF27,IFERROR(VLOOKUP($H27,areaCercaPuntiClassificaSquadra,3,FALSE),-1)=IFERROR(VLOOKUP($AF27,areaCercaPuntiClassificaSquadra,3,FALSE),-2)),SUMIFS(Dati!$F$2:$F$451,Dati!$A$2:$A$451,$H27,Dati!$H$2:$H$451,$AF27)+SUMIFS(Dati!$M$2:$M$451,Dati!$H$2:$H$451,$H27,Dati!$A$2:$A$451,$AF27),"-")</f>
        <v/>
      </c>
      <c r="CC27" s="22">
        <f>IF(AND($H27&lt;&gt;"",$AG27&lt;&gt;"",$H27&lt;&gt;$AG27,IFERROR(VLOOKUP($H27,areaCercaPuntiClassificaSquadra,3,FALSE),-1)=IFERROR(VLOOKUP($AG27,areaCercaPuntiClassificaSquadra,3,FALSE),-2)),SUMIFS(Dati!$F$2:$F$451,Dati!$A$2:$A$451,$H27,Dati!$H$2:$H$451,$AG27)+SUMIFS(Dati!$M$2:$M$451,Dati!$H$2:$H$451,$H27,Dati!$A$2:$A$451,$AG27),"-")</f>
        <v/>
      </c>
      <c r="CD27" s="22">
        <f>IF(AND($H27&lt;&gt;"",$AH27&lt;&gt;"",$H27&lt;&gt;$AH27,IFERROR(VLOOKUP($H27,areaCercaPuntiClassificaSquadra,3,FALSE),-1)=IFERROR(VLOOKUP($AH27,areaCercaPuntiClassificaSquadra,3,FALSE),-2)),SUMIFS(Dati!$F$2:$F$451,Dati!$A$2:$A$451,$H27,Dati!$H$2:$H$451,$AH27)+SUMIFS(Dati!$M$2:$M$451,Dati!$H$2:$H$451,$H27,Dati!$A$2:$A$451,$AH27),"-")</f>
        <v/>
      </c>
      <c r="CF27" s="22">
        <f>IF($C27="","",SUM(AK27:AT27))</f>
        <v/>
      </c>
    </row>
    <row r="28">
      <c r="B28" s="12" t="inlineStr">
        <is>
          <t>B05</t>
        </is>
      </c>
      <c r="C28" s="13" t="n"/>
      <c r="D28" s="14" t="n"/>
      <c r="E28" s="23" t="inlineStr">
        <is>
          <t>B</t>
        </is>
      </c>
      <c r="G28" s="24">
        <f>IF($C28="","",$E28&amp;(COUNTIFS(I$14:I$113,"&gt;"&amp;I28,E$14:E$113,"="&amp;E28,C$14:C$113,"&lt;&gt;")+COUNTIFS(I$14:I$113,"="&amp;I28,H$14:H$113,"&lt;="&amp;H28,E$14:E$113,"="&amp;E28,C$14:C$113,"&lt;&gt;")))</f>
        <v/>
      </c>
      <c r="H28" s="17">
        <f>IF($C28="","",IFERROR(LEFT($C28,FIND("-",$C28)-1),$C28))</f>
        <v/>
      </c>
      <c r="I28" s="12">
        <f>TEXT(1000000000+J28,"|0000000000|")&amp;TEXT(SUM(AK28:AT28),"0000000000|")&amp;IF(SUM(BU28:CD28)=0,"0000000000|",TEXT(ROUND(SUM(BI28:BR28)/SUM(BU28:CD28),4)*100000,"0000000000|"))&amp;IF(P28=0,"0000000000|",TEXT(ROUND(O28/P28,4)*100000,"0000000000|"))</f>
        <v/>
      </c>
      <c r="J28" s="24">
        <f>L28*constPuntiVittoria+M28*constPuntiSconfitta+N28*constPuntiForfait+IF(D28="",0,D28)</f>
        <v/>
      </c>
      <c r="K28" s="12">
        <f>SUM(L28:N28)</f>
        <v/>
      </c>
      <c r="L28" s="12">
        <f>IF($H28="",0,SUMIF(Dati!$A$2:$A$451,$H28,Dati!$B$2:$B$451)+SUMIF(Dati!$H$2:$H$451,$H28,Dati!$I$2:$I$451))</f>
        <v/>
      </c>
      <c r="M28" s="12">
        <f>IF($H28="",0,SUMIF(Dati!$A$2:$A$451,$H28,Dati!$D$2:$D$451)+SUMIF(Dati!$H$2:$H$451,$H28,Dati!$K$2:$K$451))</f>
        <v/>
      </c>
      <c r="N28" s="12">
        <f>IF($H28="",0,SUMIF(Dati!$A$2:$A$451,$H28,Dati!$C$2:$C$451)+SUMIF(Dati!$H$2:$H$451,$H28,Dati!$J$2:$J$451))</f>
        <v/>
      </c>
      <c r="O28" s="12">
        <f>IF($H28="",0,SUMIF(Dati!$A$2:$A$451,$H28,Dati!$E$2:$E$451)+SUMIF(Dati!$H$2:$H$451,$H28,Dati!$L$2:$L$451))</f>
        <v/>
      </c>
      <c r="P28" s="12">
        <f>IF($H28="",0,SUMIF(Dati!$A$2:$A$451,$H28,Dati!$F$2:$F$451)+SUMIF(Dati!$H$2:$H$451,$H28,Dati!$M$2:$M$451))</f>
        <v/>
      </c>
      <c r="Q28" s="12">
        <f>IF($H28="",0,SUMIF(Dati!$A$2:$A$451,$H28,Dati!$G$2:$G$451)+SUMIF(Dati!$H$2:$H$451,$H28,Dati!$N$2:$N$451))</f>
        <v/>
      </c>
      <c r="R28" s="12">
        <f>IF(K28=0,0,ROUND(O28/K28,2))</f>
        <v/>
      </c>
      <c r="S28" s="12">
        <f>IF(K28=0,0,ROUND(P28/K28,2))</f>
        <v/>
      </c>
      <c r="T28" s="12">
        <f>IF(K28=0,0,ROUND(Q28/K28,2))</f>
        <v/>
      </c>
      <c r="U28" s="12">
        <f>IF(COUNTIFS($E$14:$E$113,$E28,$J$14:$J$113,$J28,$C$14:$C$113,"&lt;&gt;")&lt;=1,"-",SUM(AK28:AT28)&amp;"-"&amp;SUM(AW28:BF28))</f>
        <v/>
      </c>
      <c r="V28" s="18">
        <f>IF(COUNTIFS($E$14:$E$113,$E28,$J$14:$J$113,$J28,$C$14:$C$113,"&lt;&gt;",$CF$14:$CF$113,$CF28)&lt;=1,"-",IF(SUM(BU28:CD28)=0,0,ROUND(SUM(BI28:BR28)/SUM(BU28:CD28),3)))</f>
        <v/>
      </c>
      <c r="W28" s="18">
        <f>IF(COUNTIFS($E$14:$E$113,$E28,$J$14:$J$113,$J28,$C$14:$C$113,"&lt;&gt;",$CF$14:$CF$113,$CF28,$V$14:$V$113,$V28)&lt;=1,"-",IF(P28=0,0,ROUND(O28/P28,3)))</f>
        <v/>
      </c>
      <c r="X28" s="19">
        <f>IF($C28="","",$E28&amp;"#"&amp;COUNTIFS($E$14:$E28,$E28,$C$14:$C28,"&lt;&gt;"))</f>
        <v/>
      </c>
      <c r="Y28" s="20">
        <f>IFERROR(INDEX($H$14:$H$113,MATCH($E28&amp;"#1",$X$14:$X$113,0)),"")</f>
        <v/>
      </c>
      <c r="Z28" s="20">
        <f>IFERROR(INDEX($H$14:$H$113,MATCH($E28&amp;"#2",$X$14:$X$113,0)),"")</f>
        <v/>
      </c>
      <c r="AA28" s="20">
        <f>IFERROR(INDEX($H$14:$H$113,MATCH($E28&amp;"#3",$X$14:$X$113,0)),"")</f>
        <v/>
      </c>
      <c r="AB28" s="20">
        <f>IFERROR(INDEX($H$14:$H$113,MATCH($E28&amp;"#4",$X$14:$X$113,0)),"")</f>
        <v/>
      </c>
      <c r="AC28" s="20">
        <f>IFERROR(INDEX($H$14:$H$113,MATCH($E28&amp;"#5",$X$14:$X$113,0)),"")</f>
        <v/>
      </c>
      <c r="AD28" s="20">
        <f>IFERROR(INDEX($H$14:$H$113,MATCH($E28&amp;"#6",$X$14:$X$113,0)),"")</f>
        <v/>
      </c>
      <c r="AE28" s="20">
        <f>IFERROR(INDEX($H$14:$H$113,MATCH($E28&amp;"#7",$X$14:$X$113,0)),"")</f>
        <v/>
      </c>
      <c r="AF28" s="20">
        <f>IFERROR(INDEX($H$14:$H$113,MATCH($E28&amp;"#8",$X$14:$X$113,0)),"")</f>
        <v/>
      </c>
      <c r="AG28" s="20">
        <f>IFERROR(INDEX($H$14:$H$113,MATCH($E28&amp;"#9",$X$14:$X$113,0)),"")</f>
        <v/>
      </c>
      <c r="AH28" s="20">
        <f>IFERROR(INDEX($H$14:$H$113,MATCH($E28&amp;"#10",$X$14:$X$113,0)),"")</f>
        <v/>
      </c>
      <c r="AJ28" s="21">
        <f>$C28</f>
        <v/>
      </c>
      <c r="AK28" s="22">
        <f>IF(AND($H28&lt;&gt;"",$Y28&lt;&gt;"",$H28&lt;&gt;$Y28,IFERROR(VLOOKUP($H28,areaCercaPuntiClassificaSquadra,3,FALSE),-1)=IFERROR(VLOOKUP($Y28,areaCercaPuntiClassificaSquadra,3,FALSE),-2)),SUMIFS(Dati!$B$2:$B$451,Dati!$A$2:$A$451,$H28,Dati!$H$2:$H$451,$Y28)+SUMIFS(Dati!$I$2:$I$451,Dati!$H$2:$H$451,$H28,Dati!$A$2:$A$451,$Y28),"-")</f>
        <v/>
      </c>
      <c r="AL28" s="22">
        <f>IF(AND($H28&lt;&gt;"",$Z28&lt;&gt;"",$H28&lt;&gt;$Z28,IFERROR(VLOOKUP($H28,areaCercaPuntiClassificaSquadra,3,FALSE),-1)=IFERROR(VLOOKUP($Z28,areaCercaPuntiClassificaSquadra,3,FALSE),-2)),SUMIFS(Dati!$B$2:$B$451,Dati!$A$2:$A$451,$H28,Dati!$H$2:$H$451,$Z28)+SUMIFS(Dati!$I$2:$I$451,Dati!$H$2:$H$451,$H28,Dati!$A$2:$A$451,$Z28),"-")</f>
        <v/>
      </c>
      <c r="AM28" s="22">
        <f>IF(AND($H28&lt;&gt;"",$AA28&lt;&gt;"",$H28&lt;&gt;$AA28,IFERROR(VLOOKUP($H28,areaCercaPuntiClassificaSquadra,3,FALSE),-1)=IFERROR(VLOOKUP($AA28,areaCercaPuntiClassificaSquadra,3,FALSE),-2)),SUMIFS(Dati!$B$2:$B$451,Dati!$A$2:$A$451,$H28,Dati!$H$2:$H$451,$AA28)+SUMIFS(Dati!$I$2:$I$451,Dati!$H$2:$H$451,$H28,Dati!$A$2:$A$451,$AA28),"-")</f>
        <v/>
      </c>
      <c r="AN28" s="22">
        <f>IF(AND($H28&lt;&gt;"",$AB28&lt;&gt;"",$H28&lt;&gt;$AB28,IFERROR(VLOOKUP($H28,areaCercaPuntiClassificaSquadra,3,FALSE),-1)=IFERROR(VLOOKUP($AB28,areaCercaPuntiClassificaSquadra,3,FALSE),-2)),SUMIFS(Dati!$B$2:$B$451,Dati!$A$2:$A$451,$H28,Dati!$H$2:$H$451,$AB28)+SUMIFS(Dati!$I$2:$I$451,Dati!$H$2:$H$451,$H28,Dati!$A$2:$A$451,$AB28),"-")</f>
        <v/>
      </c>
      <c r="AO28" s="22">
        <f>IF(AND($H28&lt;&gt;"",$AC28&lt;&gt;"",$H28&lt;&gt;$AC28,IFERROR(VLOOKUP($H28,areaCercaPuntiClassificaSquadra,3,FALSE),-1)=IFERROR(VLOOKUP($AC28,areaCercaPuntiClassificaSquadra,3,FALSE),-2)),SUMIFS(Dati!$B$2:$B$451,Dati!$A$2:$A$451,$H28,Dati!$H$2:$H$451,$AC28)+SUMIFS(Dati!$I$2:$I$451,Dati!$H$2:$H$451,$H28,Dati!$A$2:$A$451,$AC28),"-")</f>
        <v/>
      </c>
      <c r="AP28" s="22">
        <f>IF(AND($H28&lt;&gt;"",$AD28&lt;&gt;"",$H28&lt;&gt;$AD28,IFERROR(VLOOKUP($H28,areaCercaPuntiClassificaSquadra,3,FALSE),-1)=IFERROR(VLOOKUP($AD28,areaCercaPuntiClassificaSquadra,3,FALSE),-2)),SUMIFS(Dati!$B$2:$B$451,Dati!$A$2:$A$451,$H28,Dati!$H$2:$H$451,$AD28)+SUMIFS(Dati!$I$2:$I$451,Dati!$H$2:$H$451,$H28,Dati!$A$2:$A$451,$AD28),"-")</f>
        <v/>
      </c>
      <c r="AQ28" s="22">
        <f>IF(AND($H28&lt;&gt;"",$AE28&lt;&gt;"",$H28&lt;&gt;$AE28,IFERROR(VLOOKUP($H28,areaCercaPuntiClassificaSquadra,3,FALSE),-1)=IFERROR(VLOOKUP($AE28,areaCercaPuntiClassificaSquadra,3,FALSE),-2)),SUMIFS(Dati!$B$2:$B$451,Dati!$A$2:$A$451,$H28,Dati!$H$2:$H$451,$AE28)+SUMIFS(Dati!$I$2:$I$451,Dati!$H$2:$H$451,$H28,Dati!$A$2:$A$451,$AE28),"-")</f>
        <v/>
      </c>
      <c r="AR28" s="22">
        <f>IF(AND($H28&lt;&gt;"",$AF28&lt;&gt;"",$H28&lt;&gt;$AF28,IFERROR(VLOOKUP($H28,areaCercaPuntiClassificaSquadra,3,FALSE),-1)=IFERROR(VLOOKUP($AF28,areaCercaPuntiClassificaSquadra,3,FALSE),-2)),SUMIFS(Dati!$B$2:$B$451,Dati!$A$2:$A$451,$H28,Dati!$H$2:$H$451,$AF28)+SUMIFS(Dati!$I$2:$I$451,Dati!$H$2:$H$451,$H28,Dati!$A$2:$A$451,$AF28),"-")</f>
        <v/>
      </c>
      <c r="AS28" s="22">
        <f>IF(AND($H28&lt;&gt;"",$AG28&lt;&gt;"",$H28&lt;&gt;$AG28,IFERROR(VLOOKUP($H28,areaCercaPuntiClassificaSquadra,3,FALSE),-1)=IFERROR(VLOOKUP($AG28,areaCercaPuntiClassificaSquadra,3,FALSE),-2)),SUMIFS(Dati!$B$2:$B$451,Dati!$A$2:$A$451,$H28,Dati!$H$2:$H$451,$AG28)+SUMIFS(Dati!$I$2:$I$451,Dati!$H$2:$H$451,$H28,Dati!$A$2:$A$451,$AG28),"-")</f>
        <v/>
      </c>
      <c r="AT28" s="22">
        <f>IF(AND($H28&lt;&gt;"",$AH28&lt;&gt;"",$H28&lt;&gt;$AH28,IFERROR(VLOOKUP($H28,areaCercaPuntiClassificaSquadra,3,FALSE),-1)=IFERROR(VLOOKUP($AH28,areaCercaPuntiClassificaSquadra,3,FALSE),-2)),SUMIFS(Dati!$B$2:$B$451,Dati!$A$2:$A$451,$H28,Dati!$H$2:$H$451,$AH28)+SUMIFS(Dati!$I$2:$I$451,Dati!$H$2:$H$451,$H28,Dati!$A$2:$A$451,$AH28),"-")</f>
        <v/>
      </c>
      <c r="AV28" s="21">
        <f>$C28</f>
        <v/>
      </c>
      <c r="AW28" s="22">
        <f>IF(AND($H28&lt;&gt;"",$Y28&lt;&gt;"",$H28&lt;&gt;$Y28,IFERROR(VLOOKUP($H28,areaCercaPuntiClassificaSquadra,3,FALSE),-1)=IFERROR(VLOOKUP($Y28,areaCercaPuntiClassificaSquadra,3,FALSE),-2)),SUMIFS(Dati!$D$2:$D$451,Dati!$A$2:$A$451,$H28,Dati!$H$2:$H$451,$Y28)+SUMIFS(Dati!$K$2:$K$451,Dati!$H$2:$H$451,$H28,Dati!$A$2:$A$451,$Y28)+SUMIFS(Dati!$C$2:$C$451,Dati!$A$2:$A$451,$H28,Dati!$H$2:$H$451,$Y28)+SUMIFS(Dati!$J$2:$J$451,Dati!$H$2:$H$451,$H28,Dati!$A$2:$A$451,$Y28),"-")</f>
        <v/>
      </c>
      <c r="AX28" s="22">
        <f>IF(AND($H28&lt;&gt;"",$Z28&lt;&gt;"",$H28&lt;&gt;$Z28,IFERROR(VLOOKUP($H28,areaCercaPuntiClassificaSquadra,3,FALSE),-1)=IFERROR(VLOOKUP($Z28,areaCercaPuntiClassificaSquadra,3,FALSE),-2)),SUMIFS(Dati!$D$2:$D$451,Dati!$A$2:$A$451,$H28,Dati!$H$2:$H$451,$Z28)+SUMIFS(Dati!$K$2:$K$451,Dati!$H$2:$H$451,$H28,Dati!$A$2:$A$451,$Z28)+SUMIFS(Dati!$C$2:$C$451,Dati!$A$2:$A$451,$H28,Dati!$H$2:$H$451,$Z28)+SUMIFS(Dati!$J$2:$J$451,Dati!$H$2:$H$451,$H28,Dati!$A$2:$A$451,$Z28),"-")</f>
        <v/>
      </c>
      <c r="AY28" s="22">
        <f>IF(AND($H28&lt;&gt;"",$AA28&lt;&gt;"",$H28&lt;&gt;$AA28,IFERROR(VLOOKUP($H28,areaCercaPuntiClassificaSquadra,3,FALSE),-1)=IFERROR(VLOOKUP($AA28,areaCercaPuntiClassificaSquadra,3,FALSE),-2)),SUMIFS(Dati!$D$2:$D$451,Dati!$A$2:$A$451,$H28,Dati!$H$2:$H$451,$AA28)+SUMIFS(Dati!$K$2:$K$451,Dati!$H$2:$H$451,$H28,Dati!$A$2:$A$451,$AA28)+SUMIFS(Dati!$C$2:$C$451,Dati!$A$2:$A$451,$H28,Dati!$H$2:$H$451,$AA28)+SUMIFS(Dati!$J$2:$J$451,Dati!$H$2:$H$451,$H28,Dati!$A$2:$A$451,$AA28),"-")</f>
        <v/>
      </c>
      <c r="AZ28" s="22">
        <f>IF(AND($H28&lt;&gt;"",$AB28&lt;&gt;"",$H28&lt;&gt;$AB28,IFERROR(VLOOKUP($H28,areaCercaPuntiClassificaSquadra,3,FALSE),-1)=IFERROR(VLOOKUP($AB28,areaCercaPuntiClassificaSquadra,3,FALSE),-2)),SUMIFS(Dati!$D$2:$D$451,Dati!$A$2:$A$451,$H28,Dati!$H$2:$H$451,$AB28)+SUMIFS(Dati!$K$2:$K$451,Dati!$H$2:$H$451,$H28,Dati!$A$2:$A$451,$AB28)+SUMIFS(Dati!$C$2:$C$451,Dati!$A$2:$A$451,$H28,Dati!$H$2:$H$451,$AB28)+SUMIFS(Dati!$J$2:$J$451,Dati!$H$2:$H$451,$H28,Dati!$A$2:$A$451,$AB28),"-")</f>
        <v/>
      </c>
      <c r="BA28" s="22">
        <f>IF(AND($H28&lt;&gt;"",$AC28&lt;&gt;"",$H28&lt;&gt;$AC28,IFERROR(VLOOKUP($H28,areaCercaPuntiClassificaSquadra,3,FALSE),-1)=IFERROR(VLOOKUP($AC28,areaCercaPuntiClassificaSquadra,3,FALSE),-2)),SUMIFS(Dati!$D$2:$D$451,Dati!$A$2:$A$451,$H28,Dati!$H$2:$H$451,$AC28)+SUMIFS(Dati!$K$2:$K$451,Dati!$H$2:$H$451,$H28,Dati!$A$2:$A$451,$AC28)+SUMIFS(Dati!$C$2:$C$451,Dati!$A$2:$A$451,$H28,Dati!$H$2:$H$451,$AC28)+SUMIFS(Dati!$J$2:$J$451,Dati!$H$2:$H$451,$H28,Dati!$A$2:$A$451,$AC28),"-")</f>
        <v/>
      </c>
      <c r="BB28" s="22">
        <f>IF(AND($H28&lt;&gt;"",$AD28&lt;&gt;"",$H28&lt;&gt;$AD28,IFERROR(VLOOKUP($H28,areaCercaPuntiClassificaSquadra,3,FALSE),-1)=IFERROR(VLOOKUP($AD28,areaCercaPuntiClassificaSquadra,3,FALSE),-2)),SUMIFS(Dati!$D$2:$D$451,Dati!$A$2:$A$451,$H28,Dati!$H$2:$H$451,$AD28)+SUMIFS(Dati!$K$2:$K$451,Dati!$H$2:$H$451,$H28,Dati!$A$2:$A$451,$AD28)+SUMIFS(Dati!$C$2:$C$451,Dati!$A$2:$A$451,$H28,Dati!$H$2:$H$451,$AD28)+SUMIFS(Dati!$J$2:$J$451,Dati!$H$2:$H$451,$H28,Dati!$A$2:$A$451,$AD28),"-")</f>
        <v/>
      </c>
      <c r="BC28" s="22">
        <f>IF(AND($H28&lt;&gt;"",$AE28&lt;&gt;"",$H28&lt;&gt;$AE28,IFERROR(VLOOKUP($H28,areaCercaPuntiClassificaSquadra,3,FALSE),-1)=IFERROR(VLOOKUP($AE28,areaCercaPuntiClassificaSquadra,3,FALSE),-2)),SUMIFS(Dati!$D$2:$D$451,Dati!$A$2:$A$451,$H28,Dati!$H$2:$H$451,$AE28)+SUMIFS(Dati!$K$2:$K$451,Dati!$H$2:$H$451,$H28,Dati!$A$2:$A$451,$AE28)+SUMIFS(Dati!$C$2:$C$451,Dati!$A$2:$A$451,$H28,Dati!$H$2:$H$451,$AE28)+SUMIFS(Dati!$J$2:$J$451,Dati!$H$2:$H$451,$H28,Dati!$A$2:$A$451,$AE28),"-")</f>
        <v/>
      </c>
      <c r="BD28" s="22">
        <f>IF(AND($H28&lt;&gt;"",$AF28&lt;&gt;"",$H28&lt;&gt;$AF28,IFERROR(VLOOKUP($H28,areaCercaPuntiClassificaSquadra,3,FALSE),-1)=IFERROR(VLOOKUP($AF28,areaCercaPuntiClassificaSquadra,3,FALSE),-2)),SUMIFS(Dati!$D$2:$D$451,Dati!$A$2:$A$451,$H28,Dati!$H$2:$H$451,$AF28)+SUMIFS(Dati!$K$2:$K$451,Dati!$H$2:$H$451,$H28,Dati!$A$2:$A$451,$AF28)+SUMIFS(Dati!$C$2:$C$451,Dati!$A$2:$A$451,$H28,Dati!$H$2:$H$451,$AF28)+SUMIFS(Dati!$J$2:$J$451,Dati!$H$2:$H$451,$H28,Dati!$A$2:$A$451,$AF28),"-")</f>
        <v/>
      </c>
      <c r="BE28" s="22">
        <f>IF(AND($H28&lt;&gt;"",$AG28&lt;&gt;"",$H28&lt;&gt;$AG28,IFERROR(VLOOKUP($H28,areaCercaPuntiClassificaSquadra,3,FALSE),-1)=IFERROR(VLOOKUP($AG28,areaCercaPuntiClassificaSquadra,3,FALSE),-2)),SUMIFS(Dati!$D$2:$D$451,Dati!$A$2:$A$451,$H28,Dati!$H$2:$H$451,$AG28)+SUMIFS(Dati!$K$2:$K$451,Dati!$H$2:$H$451,$H28,Dati!$A$2:$A$451,$AG28)+SUMIFS(Dati!$C$2:$C$451,Dati!$A$2:$A$451,$H28,Dati!$H$2:$H$451,$AG28)+SUMIFS(Dati!$J$2:$J$451,Dati!$H$2:$H$451,$H28,Dati!$A$2:$A$451,$AG28),"-")</f>
        <v/>
      </c>
      <c r="BF28" s="22">
        <f>IF(AND($H28&lt;&gt;"",$AH28&lt;&gt;"",$H28&lt;&gt;$AH28,IFERROR(VLOOKUP($H28,areaCercaPuntiClassificaSquadra,3,FALSE),-1)=IFERROR(VLOOKUP($AH28,areaCercaPuntiClassificaSquadra,3,FALSE),-2)),SUMIFS(Dati!$D$2:$D$451,Dati!$A$2:$A$451,$H28,Dati!$H$2:$H$451,$AH28)+SUMIFS(Dati!$K$2:$K$451,Dati!$H$2:$H$451,$H28,Dati!$A$2:$A$451,$AH28)+SUMIFS(Dati!$C$2:$C$451,Dati!$A$2:$A$451,$H28,Dati!$H$2:$H$451,$AH28)+SUMIFS(Dati!$J$2:$J$451,Dati!$H$2:$H$451,$H28,Dati!$A$2:$A$451,$AH28),"-")</f>
        <v/>
      </c>
      <c r="BH28" s="21">
        <f>$C28</f>
        <v/>
      </c>
      <c r="BI28" s="22">
        <f>IF(AND($H28&lt;&gt;"",$Y28&lt;&gt;"",$H28&lt;&gt;$Y28,IFERROR(VLOOKUP($H28,areaCercaPuntiClassificaSquadra,3,FALSE),-1)=IFERROR(VLOOKUP($Y28,areaCercaPuntiClassificaSquadra,3,FALSE),-2)),SUMIFS(Dati!$E$2:$E$451,Dati!$A$2:$A$451,$H28,Dati!$H$2:$H$451,$Y28)+SUMIFS(Dati!$L$2:$L$451,Dati!$H$2:$H$451,$H28,Dati!$A$2:$A$451,$Y28),"-")</f>
        <v/>
      </c>
      <c r="BJ28" s="22">
        <f>IF(AND($H28&lt;&gt;"",$Z28&lt;&gt;"",$H28&lt;&gt;$Z28,IFERROR(VLOOKUP($H28,areaCercaPuntiClassificaSquadra,3,FALSE),-1)=IFERROR(VLOOKUP($Z28,areaCercaPuntiClassificaSquadra,3,FALSE),-2)),SUMIFS(Dati!$E$2:$E$451,Dati!$A$2:$A$451,$H28,Dati!$H$2:$H$451,$Z28)+SUMIFS(Dati!$L$2:$L$451,Dati!$H$2:$H$451,$H28,Dati!$A$2:$A$451,$Z28),"-")</f>
        <v/>
      </c>
      <c r="BK28" s="22">
        <f>IF(AND($H28&lt;&gt;"",$AA28&lt;&gt;"",$H28&lt;&gt;$AA28,IFERROR(VLOOKUP($H28,areaCercaPuntiClassificaSquadra,3,FALSE),-1)=IFERROR(VLOOKUP($AA28,areaCercaPuntiClassificaSquadra,3,FALSE),-2)),SUMIFS(Dati!$E$2:$E$451,Dati!$A$2:$A$451,$H28,Dati!$H$2:$H$451,$AA28)+SUMIFS(Dati!$L$2:$L$451,Dati!$H$2:$H$451,$H28,Dati!$A$2:$A$451,$AA28),"-")</f>
        <v/>
      </c>
      <c r="BL28" s="22">
        <f>IF(AND($H28&lt;&gt;"",$AB28&lt;&gt;"",$H28&lt;&gt;$AB28,IFERROR(VLOOKUP($H28,areaCercaPuntiClassificaSquadra,3,FALSE),-1)=IFERROR(VLOOKUP($AB28,areaCercaPuntiClassificaSquadra,3,FALSE),-2)),SUMIFS(Dati!$E$2:$E$451,Dati!$A$2:$A$451,$H28,Dati!$H$2:$H$451,$AB28)+SUMIFS(Dati!$L$2:$L$451,Dati!$H$2:$H$451,$H28,Dati!$A$2:$A$451,$AB28),"-")</f>
        <v/>
      </c>
      <c r="BM28" s="22">
        <f>IF(AND($H28&lt;&gt;"",$AC28&lt;&gt;"",$H28&lt;&gt;$AC28,IFERROR(VLOOKUP($H28,areaCercaPuntiClassificaSquadra,3,FALSE),-1)=IFERROR(VLOOKUP($AC28,areaCercaPuntiClassificaSquadra,3,FALSE),-2)),SUMIFS(Dati!$E$2:$E$451,Dati!$A$2:$A$451,$H28,Dati!$H$2:$H$451,$AC28)+SUMIFS(Dati!$L$2:$L$451,Dati!$H$2:$H$451,$H28,Dati!$A$2:$A$451,$AC28),"-")</f>
        <v/>
      </c>
      <c r="BN28" s="22">
        <f>IF(AND($H28&lt;&gt;"",$AD28&lt;&gt;"",$H28&lt;&gt;$AD28,IFERROR(VLOOKUP($H28,areaCercaPuntiClassificaSquadra,3,FALSE),-1)=IFERROR(VLOOKUP($AD28,areaCercaPuntiClassificaSquadra,3,FALSE),-2)),SUMIFS(Dati!$E$2:$E$451,Dati!$A$2:$A$451,$H28,Dati!$H$2:$H$451,$AD28)+SUMIFS(Dati!$L$2:$L$451,Dati!$H$2:$H$451,$H28,Dati!$A$2:$A$451,$AD28),"-")</f>
        <v/>
      </c>
      <c r="BO28" s="22">
        <f>IF(AND($H28&lt;&gt;"",$AE28&lt;&gt;"",$H28&lt;&gt;$AE28,IFERROR(VLOOKUP($H28,areaCercaPuntiClassificaSquadra,3,FALSE),-1)=IFERROR(VLOOKUP($AE28,areaCercaPuntiClassificaSquadra,3,FALSE),-2)),SUMIFS(Dati!$E$2:$E$451,Dati!$A$2:$A$451,$H28,Dati!$H$2:$H$451,$AE28)+SUMIFS(Dati!$L$2:$L$451,Dati!$H$2:$H$451,$H28,Dati!$A$2:$A$451,$AE28),"-")</f>
        <v/>
      </c>
      <c r="BP28" s="22">
        <f>IF(AND($H28&lt;&gt;"",$AF28&lt;&gt;"",$H28&lt;&gt;$AF28,IFERROR(VLOOKUP($H28,areaCercaPuntiClassificaSquadra,3,FALSE),-1)=IFERROR(VLOOKUP($AF28,areaCercaPuntiClassificaSquadra,3,FALSE),-2)),SUMIFS(Dati!$E$2:$E$451,Dati!$A$2:$A$451,$H28,Dati!$H$2:$H$451,$AF28)+SUMIFS(Dati!$L$2:$L$451,Dati!$H$2:$H$451,$H28,Dati!$A$2:$A$451,$AF28),"-")</f>
        <v/>
      </c>
      <c r="BQ28" s="22">
        <f>IF(AND($H28&lt;&gt;"",$AG28&lt;&gt;"",$H28&lt;&gt;$AG28,IFERROR(VLOOKUP($H28,areaCercaPuntiClassificaSquadra,3,FALSE),-1)=IFERROR(VLOOKUP($AG28,areaCercaPuntiClassificaSquadra,3,FALSE),-2)),SUMIFS(Dati!$E$2:$E$451,Dati!$A$2:$A$451,$H28,Dati!$H$2:$H$451,$AG28)+SUMIFS(Dati!$L$2:$L$451,Dati!$H$2:$H$451,$H28,Dati!$A$2:$A$451,$AG28),"-")</f>
        <v/>
      </c>
      <c r="BR28" s="22">
        <f>IF(AND($H28&lt;&gt;"",$AH28&lt;&gt;"",$H28&lt;&gt;$AH28,IFERROR(VLOOKUP($H28,areaCercaPuntiClassificaSquadra,3,FALSE),-1)=IFERROR(VLOOKUP($AH28,areaCercaPuntiClassificaSquadra,3,FALSE),-2)),SUMIFS(Dati!$E$2:$E$451,Dati!$A$2:$A$451,$H28,Dati!$H$2:$H$451,$AH28)+SUMIFS(Dati!$L$2:$L$451,Dati!$H$2:$H$451,$H28,Dati!$A$2:$A$451,$AH28),"-")</f>
        <v/>
      </c>
      <c r="BT28" s="21">
        <f>$C28</f>
        <v/>
      </c>
      <c r="BU28" s="22">
        <f>IF(AND($H28&lt;&gt;"",$Y28&lt;&gt;"",$H28&lt;&gt;$Y28,IFERROR(VLOOKUP($H28,areaCercaPuntiClassificaSquadra,3,FALSE),-1)=IFERROR(VLOOKUP($Y28,areaCercaPuntiClassificaSquadra,3,FALSE),-2)),SUMIFS(Dati!$F$2:$F$451,Dati!$A$2:$A$451,$H28,Dati!$H$2:$H$451,$Y28)+SUMIFS(Dati!$M$2:$M$451,Dati!$H$2:$H$451,$H28,Dati!$A$2:$A$451,$Y28),"-")</f>
        <v/>
      </c>
      <c r="BV28" s="22">
        <f>IF(AND($H28&lt;&gt;"",$Z28&lt;&gt;"",$H28&lt;&gt;$Z28,IFERROR(VLOOKUP($H28,areaCercaPuntiClassificaSquadra,3,FALSE),-1)=IFERROR(VLOOKUP($Z28,areaCercaPuntiClassificaSquadra,3,FALSE),-2)),SUMIFS(Dati!$F$2:$F$451,Dati!$A$2:$A$451,$H28,Dati!$H$2:$H$451,$Z28)+SUMIFS(Dati!$M$2:$M$451,Dati!$H$2:$H$451,$H28,Dati!$A$2:$A$451,$Z28),"-")</f>
        <v/>
      </c>
      <c r="BW28" s="22">
        <f>IF(AND($H28&lt;&gt;"",$AA28&lt;&gt;"",$H28&lt;&gt;$AA28,IFERROR(VLOOKUP($H28,areaCercaPuntiClassificaSquadra,3,FALSE),-1)=IFERROR(VLOOKUP($AA28,areaCercaPuntiClassificaSquadra,3,FALSE),-2)),SUMIFS(Dati!$F$2:$F$451,Dati!$A$2:$A$451,$H28,Dati!$H$2:$H$451,$AA28)+SUMIFS(Dati!$M$2:$M$451,Dati!$H$2:$H$451,$H28,Dati!$A$2:$A$451,$AA28),"-")</f>
        <v/>
      </c>
      <c r="BX28" s="22">
        <f>IF(AND($H28&lt;&gt;"",$AB28&lt;&gt;"",$H28&lt;&gt;$AB28,IFERROR(VLOOKUP($H28,areaCercaPuntiClassificaSquadra,3,FALSE),-1)=IFERROR(VLOOKUP($AB28,areaCercaPuntiClassificaSquadra,3,FALSE),-2)),SUMIFS(Dati!$F$2:$F$451,Dati!$A$2:$A$451,$H28,Dati!$H$2:$H$451,$AB28)+SUMIFS(Dati!$M$2:$M$451,Dati!$H$2:$H$451,$H28,Dati!$A$2:$A$451,$AB28),"-")</f>
        <v/>
      </c>
      <c r="BY28" s="22">
        <f>IF(AND($H28&lt;&gt;"",$AC28&lt;&gt;"",$H28&lt;&gt;$AC28,IFERROR(VLOOKUP($H28,areaCercaPuntiClassificaSquadra,3,FALSE),-1)=IFERROR(VLOOKUP($AC28,areaCercaPuntiClassificaSquadra,3,FALSE),-2)),SUMIFS(Dati!$F$2:$F$451,Dati!$A$2:$A$451,$H28,Dati!$H$2:$H$451,$AC28)+SUMIFS(Dati!$M$2:$M$451,Dati!$H$2:$H$451,$H28,Dati!$A$2:$A$451,$AC28),"-")</f>
        <v/>
      </c>
      <c r="BZ28" s="22">
        <f>IF(AND($H28&lt;&gt;"",$AD28&lt;&gt;"",$H28&lt;&gt;$AD28,IFERROR(VLOOKUP($H28,areaCercaPuntiClassificaSquadra,3,FALSE),-1)=IFERROR(VLOOKUP($AD28,areaCercaPuntiClassificaSquadra,3,FALSE),-2)),SUMIFS(Dati!$F$2:$F$451,Dati!$A$2:$A$451,$H28,Dati!$H$2:$H$451,$AD28)+SUMIFS(Dati!$M$2:$M$451,Dati!$H$2:$H$451,$H28,Dati!$A$2:$A$451,$AD28),"-")</f>
        <v/>
      </c>
      <c r="CA28" s="22">
        <f>IF(AND($H28&lt;&gt;"",$AE28&lt;&gt;"",$H28&lt;&gt;$AE28,IFERROR(VLOOKUP($H28,areaCercaPuntiClassificaSquadra,3,FALSE),-1)=IFERROR(VLOOKUP($AE28,areaCercaPuntiClassificaSquadra,3,FALSE),-2)),SUMIFS(Dati!$F$2:$F$451,Dati!$A$2:$A$451,$H28,Dati!$H$2:$H$451,$AE28)+SUMIFS(Dati!$M$2:$M$451,Dati!$H$2:$H$451,$H28,Dati!$A$2:$A$451,$AE28),"-")</f>
        <v/>
      </c>
      <c r="CB28" s="22">
        <f>IF(AND($H28&lt;&gt;"",$AF28&lt;&gt;"",$H28&lt;&gt;$AF28,IFERROR(VLOOKUP($H28,areaCercaPuntiClassificaSquadra,3,FALSE),-1)=IFERROR(VLOOKUP($AF28,areaCercaPuntiClassificaSquadra,3,FALSE),-2)),SUMIFS(Dati!$F$2:$F$451,Dati!$A$2:$A$451,$H28,Dati!$H$2:$H$451,$AF28)+SUMIFS(Dati!$M$2:$M$451,Dati!$H$2:$H$451,$H28,Dati!$A$2:$A$451,$AF28),"-")</f>
        <v/>
      </c>
      <c r="CC28" s="22">
        <f>IF(AND($H28&lt;&gt;"",$AG28&lt;&gt;"",$H28&lt;&gt;$AG28,IFERROR(VLOOKUP($H28,areaCercaPuntiClassificaSquadra,3,FALSE),-1)=IFERROR(VLOOKUP($AG28,areaCercaPuntiClassificaSquadra,3,FALSE),-2)),SUMIFS(Dati!$F$2:$F$451,Dati!$A$2:$A$451,$H28,Dati!$H$2:$H$451,$AG28)+SUMIFS(Dati!$M$2:$M$451,Dati!$H$2:$H$451,$H28,Dati!$A$2:$A$451,$AG28),"-")</f>
        <v/>
      </c>
      <c r="CD28" s="22">
        <f>IF(AND($H28&lt;&gt;"",$AH28&lt;&gt;"",$H28&lt;&gt;$AH28,IFERROR(VLOOKUP($H28,areaCercaPuntiClassificaSquadra,3,FALSE),-1)=IFERROR(VLOOKUP($AH28,areaCercaPuntiClassificaSquadra,3,FALSE),-2)),SUMIFS(Dati!$F$2:$F$451,Dati!$A$2:$A$451,$H28,Dati!$H$2:$H$451,$AH28)+SUMIFS(Dati!$M$2:$M$451,Dati!$H$2:$H$451,$H28,Dati!$A$2:$A$451,$AH28),"-")</f>
        <v/>
      </c>
      <c r="CF28" s="22">
        <f>IF($C28="","",SUM(AK28:AT28))</f>
        <v/>
      </c>
    </row>
    <row r="29">
      <c r="B29" s="12" t="inlineStr">
        <is>
          <t>B06</t>
        </is>
      </c>
      <c r="C29" s="13" t="n"/>
      <c r="D29" s="14" t="n"/>
      <c r="E29" s="23" t="inlineStr">
        <is>
          <t>B</t>
        </is>
      </c>
      <c r="G29" s="24">
        <f>IF($C29="","",$E29&amp;(COUNTIFS(I$14:I$113,"&gt;"&amp;I29,E$14:E$113,"="&amp;E29,C$14:C$113,"&lt;&gt;")+COUNTIFS(I$14:I$113,"="&amp;I29,H$14:H$113,"&lt;="&amp;H29,E$14:E$113,"="&amp;E29,C$14:C$113,"&lt;&gt;")))</f>
        <v/>
      </c>
      <c r="H29" s="17">
        <f>IF($C29="","",IFERROR(LEFT($C29,FIND("-",$C29)-1),$C29))</f>
        <v/>
      </c>
      <c r="I29" s="12">
        <f>TEXT(1000000000+J29,"|0000000000|")&amp;TEXT(SUM(AK29:AT29),"0000000000|")&amp;IF(SUM(BU29:CD29)=0,"0000000000|",TEXT(ROUND(SUM(BI29:BR29)/SUM(BU29:CD29),4)*100000,"0000000000|"))&amp;IF(P29=0,"0000000000|",TEXT(ROUND(O29/P29,4)*100000,"0000000000|"))</f>
        <v/>
      </c>
      <c r="J29" s="24">
        <f>L29*constPuntiVittoria+M29*constPuntiSconfitta+N29*constPuntiForfait+IF(D29="",0,D29)</f>
        <v/>
      </c>
      <c r="K29" s="12">
        <f>SUM(L29:N29)</f>
        <v/>
      </c>
      <c r="L29" s="12">
        <f>IF($H29="",0,SUMIF(Dati!$A$2:$A$451,$H29,Dati!$B$2:$B$451)+SUMIF(Dati!$H$2:$H$451,$H29,Dati!$I$2:$I$451))</f>
        <v/>
      </c>
      <c r="M29" s="12">
        <f>IF($H29="",0,SUMIF(Dati!$A$2:$A$451,$H29,Dati!$D$2:$D$451)+SUMIF(Dati!$H$2:$H$451,$H29,Dati!$K$2:$K$451))</f>
        <v/>
      </c>
      <c r="N29" s="12">
        <f>IF($H29="",0,SUMIF(Dati!$A$2:$A$451,$H29,Dati!$C$2:$C$451)+SUMIF(Dati!$H$2:$H$451,$H29,Dati!$J$2:$J$451))</f>
        <v/>
      </c>
      <c r="O29" s="12">
        <f>IF($H29="",0,SUMIF(Dati!$A$2:$A$451,$H29,Dati!$E$2:$E$451)+SUMIF(Dati!$H$2:$H$451,$H29,Dati!$L$2:$L$451))</f>
        <v/>
      </c>
      <c r="P29" s="12">
        <f>IF($H29="",0,SUMIF(Dati!$A$2:$A$451,$H29,Dati!$F$2:$F$451)+SUMIF(Dati!$H$2:$H$451,$H29,Dati!$M$2:$M$451))</f>
        <v/>
      </c>
      <c r="Q29" s="12">
        <f>IF($H29="",0,SUMIF(Dati!$A$2:$A$451,$H29,Dati!$G$2:$G$451)+SUMIF(Dati!$H$2:$H$451,$H29,Dati!$N$2:$N$451))</f>
        <v/>
      </c>
      <c r="R29" s="12">
        <f>IF(K29=0,0,ROUND(O29/K29,2))</f>
        <v/>
      </c>
      <c r="S29" s="12">
        <f>IF(K29=0,0,ROUND(P29/K29,2))</f>
        <v/>
      </c>
      <c r="T29" s="12">
        <f>IF(K29=0,0,ROUND(Q29/K29,2))</f>
        <v/>
      </c>
      <c r="U29" s="12">
        <f>IF(COUNTIFS($E$14:$E$113,$E29,$J$14:$J$113,$J29,$C$14:$C$113,"&lt;&gt;")&lt;=1,"-",SUM(AK29:AT29)&amp;"-"&amp;SUM(AW29:BF29))</f>
        <v/>
      </c>
      <c r="V29" s="18">
        <f>IF(COUNTIFS($E$14:$E$113,$E29,$J$14:$J$113,$J29,$C$14:$C$113,"&lt;&gt;",$CF$14:$CF$113,$CF29)&lt;=1,"-",IF(SUM(BU29:CD29)=0,0,ROUND(SUM(BI29:BR29)/SUM(BU29:CD29),3)))</f>
        <v/>
      </c>
      <c r="W29" s="18">
        <f>IF(COUNTIFS($E$14:$E$113,$E29,$J$14:$J$113,$J29,$C$14:$C$113,"&lt;&gt;",$CF$14:$CF$113,$CF29,$V$14:$V$113,$V29)&lt;=1,"-",IF(P29=0,0,ROUND(O29/P29,3)))</f>
        <v/>
      </c>
      <c r="X29" s="19">
        <f>IF($C29="","",$E29&amp;"#"&amp;COUNTIFS($E$14:$E29,$E29,$C$14:$C29,"&lt;&gt;"))</f>
        <v/>
      </c>
      <c r="Y29" s="20">
        <f>IFERROR(INDEX($H$14:$H$113,MATCH($E29&amp;"#1",$X$14:$X$113,0)),"")</f>
        <v/>
      </c>
      <c r="Z29" s="20">
        <f>IFERROR(INDEX($H$14:$H$113,MATCH($E29&amp;"#2",$X$14:$X$113,0)),"")</f>
        <v/>
      </c>
      <c r="AA29" s="20">
        <f>IFERROR(INDEX($H$14:$H$113,MATCH($E29&amp;"#3",$X$14:$X$113,0)),"")</f>
        <v/>
      </c>
      <c r="AB29" s="20">
        <f>IFERROR(INDEX($H$14:$H$113,MATCH($E29&amp;"#4",$X$14:$X$113,0)),"")</f>
        <v/>
      </c>
      <c r="AC29" s="20">
        <f>IFERROR(INDEX($H$14:$H$113,MATCH($E29&amp;"#5",$X$14:$X$113,0)),"")</f>
        <v/>
      </c>
      <c r="AD29" s="20">
        <f>IFERROR(INDEX($H$14:$H$113,MATCH($E29&amp;"#6",$X$14:$X$113,0)),"")</f>
        <v/>
      </c>
      <c r="AE29" s="20">
        <f>IFERROR(INDEX($H$14:$H$113,MATCH($E29&amp;"#7",$X$14:$X$113,0)),"")</f>
        <v/>
      </c>
      <c r="AF29" s="20">
        <f>IFERROR(INDEX($H$14:$H$113,MATCH($E29&amp;"#8",$X$14:$X$113,0)),"")</f>
        <v/>
      </c>
      <c r="AG29" s="20">
        <f>IFERROR(INDEX($H$14:$H$113,MATCH($E29&amp;"#9",$X$14:$X$113,0)),"")</f>
        <v/>
      </c>
      <c r="AH29" s="20">
        <f>IFERROR(INDEX($H$14:$H$113,MATCH($E29&amp;"#10",$X$14:$X$113,0)),"")</f>
        <v/>
      </c>
      <c r="AJ29" s="21">
        <f>$C29</f>
        <v/>
      </c>
      <c r="AK29" s="22">
        <f>IF(AND($H29&lt;&gt;"",$Y29&lt;&gt;"",$H29&lt;&gt;$Y29,IFERROR(VLOOKUP($H29,areaCercaPuntiClassificaSquadra,3,FALSE),-1)=IFERROR(VLOOKUP($Y29,areaCercaPuntiClassificaSquadra,3,FALSE),-2)),SUMIFS(Dati!$B$2:$B$451,Dati!$A$2:$A$451,$H29,Dati!$H$2:$H$451,$Y29)+SUMIFS(Dati!$I$2:$I$451,Dati!$H$2:$H$451,$H29,Dati!$A$2:$A$451,$Y29),"-")</f>
        <v/>
      </c>
      <c r="AL29" s="22">
        <f>IF(AND($H29&lt;&gt;"",$Z29&lt;&gt;"",$H29&lt;&gt;$Z29,IFERROR(VLOOKUP($H29,areaCercaPuntiClassificaSquadra,3,FALSE),-1)=IFERROR(VLOOKUP($Z29,areaCercaPuntiClassificaSquadra,3,FALSE),-2)),SUMIFS(Dati!$B$2:$B$451,Dati!$A$2:$A$451,$H29,Dati!$H$2:$H$451,$Z29)+SUMIFS(Dati!$I$2:$I$451,Dati!$H$2:$H$451,$H29,Dati!$A$2:$A$451,$Z29),"-")</f>
        <v/>
      </c>
      <c r="AM29" s="22">
        <f>IF(AND($H29&lt;&gt;"",$AA29&lt;&gt;"",$H29&lt;&gt;$AA29,IFERROR(VLOOKUP($H29,areaCercaPuntiClassificaSquadra,3,FALSE),-1)=IFERROR(VLOOKUP($AA29,areaCercaPuntiClassificaSquadra,3,FALSE),-2)),SUMIFS(Dati!$B$2:$B$451,Dati!$A$2:$A$451,$H29,Dati!$H$2:$H$451,$AA29)+SUMIFS(Dati!$I$2:$I$451,Dati!$H$2:$H$451,$H29,Dati!$A$2:$A$451,$AA29),"-")</f>
        <v/>
      </c>
      <c r="AN29" s="22">
        <f>IF(AND($H29&lt;&gt;"",$AB29&lt;&gt;"",$H29&lt;&gt;$AB29,IFERROR(VLOOKUP($H29,areaCercaPuntiClassificaSquadra,3,FALSE),-1)=IFERROR(VLOOKUP($AB29,areaCercaPuntiClassificaSquadra,3,FALSE),-2)),SUMIFS(Dati!$B$2:$B$451,Dati!$A$2:$A$451,$H29,Dati!$H$2:$H$451,$AB29)+SUMIFS(Dati!$I$2:$I$451,Dati!$H$2:$H$451,$H29,Dati!$A$2:$A$451,$AB29),"-")</f>
        <v/>
      </c>
      <c r="AO29" s="22">
        <f>IF(AND($H29&lt;&gt;"",$AC29&lt;&gt;"",$H29&lt;&gt;$AC29,IFERROR(VLOOKUP($H29,areaCercaPuntiClassificaSquadra,3,FALSE),-1)=IFERROR(VLOOKUP($AC29,areaCercaPuntiClassificaSquadra,3,FALSE),-2)),SUMIFS(Dati!$B$2:$B$451,Dati!$A$2:$A$451,$H29,Dati!$H$2:$H$451,$AC29)+SUMIFS(Dati!$I$2:$I$451,Dati!$H$2:$H$451,$H29,Dati!$A$2:$A$451,$AC29),"-")</f>
        <v/>
      </c>
      <c r="AP29" s="22">
        <f>IF(AND($H29&lt;&gt;"",$AD29&lt;&gt;"",$H29&lt;&gt;$AD29,IFERROR(VLOOKUP($H29,areaCercaPuntiClassificaSquadra,3,FALSE),-1)=IFERROR(VLOOKUP($AD29,areaCercaPuntiClassificaSquadra,3,FALSE),-2)),SUMIFS(Dati!$B$2:$B$451,Dati!$A$2:$A$451,$H29,Dati!$H$2:$H$451,$AD29)+SUMIFS(Dati!$I$2:$I$451,Dati!$H$2:$H$451,$H29,Dati!$A$2:$A$451,$AD29),"-")</f>
        <v/>
      </c>
      <c r="AQ29" s="22">
        <f>IF(AND($H29&lt;&gt;"",$AE29&lt;&gt;"",$H29&lt;&gt;$AE29,IFERROR(VLOOKUP($H29,areaCercaPuntiClassificaSquadra,3,FALSE),-1)=IFERROR(VLOOKUP($AE29,areaCercaPuntiClassificaSquadra,3,FALSE),-2)),SUMIFS(Dati!$B$2:$B$451,Dati!$A$2:$A$451,$H29,Dati!$H$2:$H$451,$AE29)+SUMIFS(Dati!$I$2:$I$451,Dati!$H$2:$H$451,$H29,Dati!$A$2:$A$451,$AE29),"-")</f>
        <v/>
      </c>
      <c r="AR29" s="22">
        <f>IF(AND($H29&lt;&gt;"",$AF29&lt;&gt;"",$H29&lt;&gt;$AF29,IFERROR(VLOOKUP($H29,areaCercaPuntiClassificaSquadra,3,FALSE),-1)=IFERROR(VLOOKUP($AF29,areaCercaPuntiClassificaSquadra,3,FALSE),-2)),SUMIFS(Dati!$B$2:$B$451,Dati!$A$2:$A$451,$H29,Dati!$H$2:$H$451,$AF29)+SUMIFS(Dati!$I$2:$I$451,Dati!$H$2:$H$451,$H29,Dati!$A$2:$A$451,$AF29),"-")</f>
        <v/>
      </c>
      <c r="AS29" s="22">
        <f>IF(AND($H29&lt;&gt;"",$AG29&lt;&gt;"",$H29&lt;&gt;$AG29,IFERROR(VLOOKUP($H29,areaCercaPuntiClassificaSquadra,3,FALSE),-1)=IFERROR(VLOOKUP($AG29,areaCercaPuntiClassificaSquadra,3,FALSE),-2)),SUMIFS(Dati!$B$2:$B$451,Dati!$A$2:$A$451,$H29,Dati!$H$2:$H$451,$AG29)+SUMIFS(Dati!$I$2:$I$451,Dati!$H$2:$H$451,$H29,Dati!$A$2:$A$451,$AG29),"-")</f>
        <v/>
      </c>
      <c r="AT29" s="22">
        <f>IF(AND($H29&lt;&gt;"",$AH29&lt;&gt;"",$H29&lt;&gt;$AH29,IFERROR(VLOOKUP($H29,areaCercaPuntiClassificaSquadra,3,FALSE),-1)=IFERROR(VLOOKUP($AH29,areaCercaPuntiClassificaSquadra,3,FALSE),-2)),SUMIFS(Dati!$B$2:$B$451,Dati!$A$2:$A$451,$H29,Dati!$H$2:$H$451,$AH29)+SUMIFS(Dati!$I$2:$I$451,Dati!$H$2:$H$451,$H29,Dati!$A$2:$A$451,$AH29),"-")</f>
        <v/>
      </c>
      <c r="AV29" s="21">
        <f>$C29</f>
        <v/>
      </c>
      <c r="AW29" s="22">
        <f>IF(AND($H29&lt;&gt;"",$Y29&lt;&gt;"",$H29&lt;&gt;$Y29,IFERROR(VLOOKUP($H29,areaCercaPuntiClassificaSquadra,3,FALSE),-1)=IFERROR(VLOOKUP($Y29,areaCercaPuntiClassificaSquadra,3,FALSE),-2)),SUMIFS(Dati!$D$2:$D$451,Dati!$A$2:$A$451,$H29,Dati!$H$2:$H$451,$Y29)+SUMIFS(Dati!$K$2:$K$451,Dati!$H$2:$H$451,$H29,Dati!$A$2:$A$451,$Y29)+SUMIFS(Dati!$C$2:$C$451,Dati!$A$2:$A$451,$H29,Dati!$H$2:$H$451,$Y29)+SUMIFS(Dati!$J$2:$J$451,Dati!$H$2:$H$451,$H29,Dati!$A$2:$A$451,$Y29),"-")</f>
        <v/>
      </c>
      <c r="AX29" s="22">
        <f>IF(AND($H29&lt;&gt;"",$Z29&lt;&gt;"",$H29&lt;&gt;$Z29,IFERROR(VLOOKUP($H29,areaCercaPuntiClassificaSquadra,3,FALSE),-1)=IFERROR(VLOOKUP($Z29,areaCercaPuntiClassificaSquadra,3,FALSE),-2)),SUMIFS(Dati!$D$2:$D$451,Dati!$A$2:$A$451,$H29,Dati!$H$2:$H$451,$Z29)+SUMIFS(Dati!$K$2:$K$451,Dati!$H$2:$H$451,$H29,Dati!$A$2:$A$451,$Z29)+SUMIFS(Dati!$C$2:$C$451,Dati!$A$2:$A$451,$H29,Dati!$H$2:$H$451,$Z29)+SUMIFS(Dati!$J$2:$J$451,Dati!$H$2:$H$451,$H29,Dati!$A$2:$A$451,$Z29),"-")</f>
        <v/>
      </c>
      <c r="AY29" s="22">
        <f>IF(AND($H29&lt;&gt;"",$AA29&lt;&gt;"",$H29&lt;&gt;$AA29,IFERROR(VLOOKUP($H29,areaCercaPuntiClassificaSquadra,3,FALSE),-1)=IFERROR(VLOOKUP($AA29,areaCercaPuntiClassificaSquadra,3,FALSE),-2)),SUMIFS(Dati!$D$2:$D$451,Dati!$A$2:$A$451,$H29,Dati!$H$2:$H$451,$AA29)+SUMIFS(Dati!$K$2:$K$451,Dati!$H$2:$H$451,$H29,Dati!$A$2:$A$451,$AA29)+SUMIFS(Dati!$C$2:$C$451,Dati!$A$2:$A$451,$H29,Dati!$H$2:$H$451,$AA29)+SUMIFS(Dati!$J$2:$J$451,Dati!$H$2:$H$451,$H29,Dati!$A$2:$A$451,$AA29),"-")</f>
        <v/>
      </c>
      <c r="AZ29" s="22">
        <f>IF(AND($H29&lt;&gt;"",$AB29&lt;&gt;"",$H29&lt;&gt;$AB29,IFERROR(VLOOKUP($H29,areaCercaPuntiClassificaSquadra,3,FALSE),-1)=IFERROR(VLOOKUP($AB29,areaCercaPuntiClassificaSquadra,3,FALSE),-2)),SUMIFS(Dati!$D$2:$D$451,Dati!$A$2:$A$451,$H29,Dati!$H$2:$H$451,$AB29)+SUMIFS(Dati!$K$2:$K$451,Dati!$H$2:$H$451,$H29,Dati!$A$2:$A$451,$AB29)+SUMIFS(Dati!$C$2:$C$451,Dati!$A$2:$A$451,$H29,Dati!$H$2:$H$451,$AB29)+SUMIFS(Dati!$J$2:$J$451,Dati!$H$2:$H$451,$H29,Dati!$A$2:$A$451,$AB29),"-")</f>
        <v/>
      </c>
      <c r="BA29" s="22">
        <f>IF(AND($H29&lt;&gt;"",$AC29&lt;&gt;"",$H29&lt;&gt;$AC29,IFERROR(VLOOKUP($H29,areaCercaPuntiClassificaSquadra,3,FALSE),-1)=IFERROR(VLOOKUP($AC29,areaCercaPuntiClassificaSquadra,3,FALSE),-2)),SUMIFS(Dati!$D$2:$D$451,Dati!$A$2:$A$451,$H29,Dati!$H$2:$H$451,$AC29)+SUMIFS(Dati!$K$2:$K$451,Dati!$H$2:$H$451,$H29,Dati!$A$2:$A$451,$AC29)+SUMIFS(Dati!$C$2:$C$451,Dati!$A$2:$A$451,$H29,Dati!$H$2:$H$451,$AC29)+SUMIFS(Dati!$J$2:$J$451,Dati!$H$2:$H$451,$H29,Dati!$A$2:$A$451,$AC29),"-")</f>
        <v/>
      </c>
      <c r="BB29" s="22">
        <f>IF(AND($H29&lt;&gt;"",$AD29&lt;&gt;"",$H29&lt;&gt;$AD29,IFERROR(VLOOKUP($H29,areaCercaPuntiClassificaSquadra,3,FALSE),-1)=IFERROR(VLOOKUP($AD29,areaCercaPuntiClassificaSquadra,3,FALSE),-2)),SUMIFS(Dati!$D$2:$D$451,Dati!$A$2:$A$451,$H29,Dati!$H$2:$H$451,$AD29)+SUMIFS(Dati!$K$2:$K$451,Dati!$H$2:$H$451,$H29,Dati!$A$2:$A$451,$AD29)+SUMIFS(Dati!$C$2:$C$451,Dati!$A$2:$A$451,$H29,Dati!$H$2:$H$451,$AD29)+SUMIFS(Dati!$J$2:$J$451,Dati!$H$2:$H$451,$H29,Dati!$A$2:$A$451,$AD29),"-")</f>
        <v/>
      </c>
      <c r="BC29" s="22">
        <f>IF(AND($H29&lt;&gt;"",$AE29&lt;&gt;"",$H29&lt;&gt;$AE29,IFERROR(VLOOKUP($H29,areaCercaPuntiClassificaSquadra,3,FALSE),-1)=IFERROR(VLOOKUP($AE29,areaCercaPuntiClassificaSquadra,3,FALSE),-2)),SUMIFS(Dati!$D$2:$D$451,Dati!$A$2:$A$451,$H29,Dati!$H$2:$H$451,$AE29)+SUMIFS(Dati!$K$2:$K$451,Dati!$H$2:$H$451,$H29,Dati!$A$2:$A$451,$AE29)+SUMIFS(Dati!$C$2:$C$451,Dati!$A$2:$A$451,$H29,Dati!$H$2:$H$451,$AE29)+SUMIFS(Dati!$J$2:$J$451,Dati!$H$2:$H$451,$H29,Dati!$A$2:$A$451,$AE29),"-")</f>
        <v/>
      </c>
      <c r="BD29" s="22">
        <f>IF(AND($H29&lt;&gt;"",$AF29&lt;&gt;"",$H29&lt;&gt;$AF29,IFERROR(VLOOKUP($H29,areaCercaPuntiClassificaSquadra,3,FALSE),-1)=IFERROR(VLOOKUP($AF29,areaCercaPuntiClassificaSquadra,3,FALSE),-2)),SUMIFS(Dati!$D$2:$D$451,Dati!$A$2:$A$451,$H29,Dati!$H$2:$H$451,$AF29)+SUMIFS(Dati!$K$2:$K$451,Dati!$H$2:$H$451,$H29,Dati!$A$2:$A$451,$AF29)+SUMIFS(Dati!$C$2:$C$451,Dati!$A$2:$A$451,$H29,Dati!$H$2:$H$451,$AF29)+SUMIFS(Dati!$J$2:$J$451,Dati!$H$2:$H$451,$H29,Dati!$A$2:$A$451,$AF29),"-")</f>
        <v/>
      </c>
      <c r="BE29" s="22">
        <f>IF(AND($H29&lt;&gt;"",$AG29&lt;&gt;"",$H29&lt;&gt;$AG29,IFERROR(VLOOKUP($H29,areaCercaPuntiClassificaSquadra,3,FALSE),-1)=IFERROR(VLOOKUP($AG29,areaCercaPuntiClassificaSquadra,3,FALSE),-2)),SUMIFS(Dati!$D$2:$D$451,Dati!$A$2:$A$451,$H29,Dati!$H$2:$H$451,$AG29)+SUMIFS(Dati!$K$2:$K$451,Dati!$H$2:$H$451,$H29,Dati!$A$2:$A$451,$AG29)+SUMIFS(Dati!$C$2:$C$451,Dati!$A$2:$A$451,$H29,Dati!$H$2:$H$451,$AG29)+SUMIFS(Dati!$J$2:$J$451,Dati!$H$2:$H$451,$H29,Dati!$A$2:$A$451,$AG29),"-")</f>
        <v/>
      </c>
      <c r="BF29" s="22">
        <f>IF(AND($H29&lt;&gt;"",$AH29&lt;&gt;"",$H29&lt;&gt;$AH29,IFERROR(VLOOKUP($H29,areaCercaPuntiClassificaSquadra,3,FALSE),-1)=IFERROR(VLOOKUP($AH29,areaCercaPuntiClassificaSquadra,3,FALSE),-2)),SUMIFS(Dati!$D$2:$D$451,Dati!$A$2:$A$451,$H29,Dati!$H$2:$H$451,$AH29)+SUMIFS(Dati!$K$2:$K$451,Dati!$H$2:$H$451,$H29,Dati!$A$2:$A$451,$AH29)+SUMIFS(Dati!$C$2:$C$451,Dati!$A$2:$A$451,$H29,Dati!$H$2:$H$451,$AH29)+SUMIFS(Dati!$J$2:$J$451,Dati!$H$2:$H$451,$H29,Dati!$A$2:$A$451,$AH29),"-")</f>
        <v/>
      </c>
      <c r="BH29" s="21">
        <f>$C29</f>
        <v/>
      </c>
      <c r="BI29" s="22">
        <f>IF(AND($H29&lt;&gt;"",$Y29&lt;&gt;"",$H29&lt;&gt;$Y29,IFERROR(VLOOKUP($H29,areaCercaPuntiClassificaSquadra,3,FALSE),-1)=IFERROR(VLOOKUP($Y29,areaCercaPuntiClassificaSquadra,3,FALSE),-2)),SUMIFS(Dati!$E$2:$E$451,Dati!$A$2:$A$451,$H29,Dati!$H$2:$H$451,$Y29)+SUMIFS(Dati!$L$2:$L$451,Dati!$H$2:$H$451,$H29,Dati!$A$2:$A$451,$Y29),"-")</f>
        <v/>
      </c>
      <c r="BJ29" s="22">
        <f>IF(AND($H29&lt;&gt;"",$Z29&lt;&gt;"",$H29&lt;&gt;$Z29,IFERROR(VLOOKUP($H29,areaCercaPuntiClassificaSquadra,3,FALSE),-1)=IFERROR(VLOOKUP($Z29,areaCercaPuntiClassificaSquadra,3,FALSE),-2)),SUMIFS(Dati!$E$2:$E$451,Dati!$A$2:$A$451,$H29,Dati!$H$2:$H$451,$Z29)+SUMIFS(Dati!$L$2:$L$451,Dati!$H$2:$H$451,$H29,Dati!$A$2:$A$451,$Z29),"-")</f>
        <v/>
      </c>
      <c r="BK29" s="22">
        <f>IF(AND($H29&lt;&gt;"",$AA29&lt;&gt;"",$H29&lt;&gt;$AA29,IFERROR(VLOOKUP($H29,areaCercaPuntiClassificaSquadra,3,FALSE),-1)=IFERROR(VLOOKUP($AA29,areaCercaPuntiClassificaSquadra,3,FALSE),-2)),SUMIFS(Dati!$E$2:$E$451,Dati!$A$2:$A$451,$H29,Dati!$H$2:$H$451,$AA29)+SUMIFS(Dati!$L$2:$L$451,Dati!$H$2:$H$451,$H29,Dati!$A$2:$A$451,$AA29),"-")</f>
        <v/>
      </c>
      <c r="BL29" s="22">
        <f>IF(AND($H29&lt;&gt;"",$AB29&lt;&gt;"",$H29&lt;&gt;$AB29,IFERROR(VLOOKUP($H29,areaCercaPuntiClassificaSquadra,3,FALSE),-1)=IFERROR(VLOOKUP($AB29,areaCercaPuntiClassificaSquadra,3,FALSE),-2)),SUMIFS(Dati!$E$2:$E$451,Dati!$A$2:$A$451,$H29,Dati!$H$2:$H$451,$AB29)+SUMIFS(Dati!$L$2:$L$451,Dati!$H$2:$H$451,$H29,Dati!$A$2:$A$451,$AB29),"-")</f>
        <v/>
      </c>
      <c r="BM29" s="22">
        <f>IF(AND($H29&lt;&gt;"",$AC29&lt;&gt;"",$H29&lt;&gt;$AC29,IFERROR(VLOOKUP($H29,areaCercaPuntiClassificaSquadra,3,FALSE),-1)=IFERROR(VLOOKUP($AC29,areaCercaPuntiClassificaSquadra,3,FALSE),-2)),SUMIFS(Dati!$E$2:$E$451,Dati!$A$2:$A$451,$H29,Dati!$H$2:$H$451,$AC29)+SUMIFS(Dati!$L$2:$L$451,Dati!$H$2:$H$451,$H29,Dati!$A$2:$A$451,$AC29),"-")</f>
        <v/>
      </c>
      <c r="BN29" s="22">
        <f>IF(AND($H29&lt;&gt;"",$AD29&lt;&gt;"",$H29&lt;&gt;$AD29,IFERROR(VLOOKUP($H29,areaCercaPuntiClassificaSquadra,3,FALSE),-1)=IFERROR(VLOOKUP($AD29,areaCercaPuntiClassificaSquadra,3,FALSE),-2)),SUMIFS(Dati!$E$2:$E$451,Dati!$A$2:$A$451,$H29,Dati!$H$2:$H$451,$AD29)+SUMIFS(Dati!$L$2:$L$451,Dati!$H$2:$H$451,$H29,Dati!$A$2:$A$451,$AD29),"-")</f>
        <v/>
      </c>
      <c r="BO29" s="22">
        <f>IF(AND($H29&lt;&gt;"",$AE29&lt;&gt;"",$H29&lt;&gt;$AE29,IFERROR(VLOOKUP($H29,areaCercaPuntiClassificaSquadra,3,FALSE),-1)=IFERROR(VLOOKUP($AE29,areaCercaPuntiClassificaSquadra,3,FALSE),-2)),SUMIFS(Dati!$E$2:$E$451,Dati!$A$2:$A$451,$H29,Dati!$H$2:$H$451,$AE29)+SUMIFS(Dati!$L$2:$L$451,Dati!$H$2:$H$451,$H29,Dati!$A$2:$A$451,$AE29),"-")</f>
        <v/>
      </c>
      <c r="BP29" s="22">
        <f>IF(AND($H29&lt;&gt;"",$AF29&lt;&gt;"",$H29&lt;&gt;$AF29,IFERROR(VLOOKUP($H29,areaCercaPuntiClassificaSquadra,3,FALSE),-1)=IFERROR(VLOOKUP($AF29,areaCercaPuntiClassificaSquadra,3,FALSE),-2)),SUMIFS(Dati!$E$2:$E$451,Dati!$A$2:$A$451,$H29,Dati!$H$2:$H$451,$AF29)+SUMIFS(Dati!$L$2:$L$451,Dati!$H$2:$H$451,$H29,Dati!$A$2:$A$451,$AF29),"-")</f>
        <v/>
      </c>
      <c r="BQ29" s="22">
        <f>IF(AND($H29&lt;&gt;"",$AG29&lt;&gt;"",$H29&lt;&gt;$AG29,IFERROR(VLOOKUP($H29,areaCercaPuntiClassificaSquadra,3,FALSE),-1)=IFERROR(VLOOKUP($AG29,areaCercaPuntiClassificaSquadra,3,FALSE),-2)),SUMIFS(Dati!$E$2:$E$451,Dati!$A$2:$A$451,$H29,Dati!$H$2:$H$451,$AG29)+SUMIFS(Dati!$L$2:$L$451,Dati!$H$2:$H$451,$H29,Dati!$A$2:$A$451,$AG29),"-")</f>
        <v/>
      </c>
      <c r="BR29" s="22">
        <f>IF(AND($H29&lt;&gt;"",$AH29&lt;&gt;"",$H29&lt;&gt;$AH29,IFERROR(VLOOKUP($H29,areaCercaPuntiClassificaSquadra,3,FALSE),-1)=IFERROR(VLOOKUP($AH29,areaCercaPuntiClassificaSquadra,3,FALSE),-2)),SUMIFS(Dati!$E$2:$E$451,Dati!$A$2:$A$451,$H29,Dati!$H$2:$H$451,$AH29)+SUMIFS(Dati!$L$2:$L$451,Dati!$H$2:$H$451,$H29,Dati!$A$2:$A$451,$AH29),"-")</f>
        <v/>
      </c>
      <c r="BT29" s="21">
        <f>$C29</f>
        <v/>
      </c>
      <c r="BU29" s="22">
        <f>IF(AND($H29&lt;&gt;"",$Y29&lt;&gt;"",$H29&lt;&gt;$Y29,IFERROR(VLOOKUP($H29,areaCercaPuntiClassificaSquadra,3,FALSE),-1)=IFERROR(VLOOKUP($Y29,areaCercaPuntiClassificaSquadra,3,FALSE),-2)),SUMIFS(Dati!$F$2:$F$451,Dati!$A$2:$A$451,$H29,Dati!$H$2:$H$451,$Y29)+SUMIFS(Dati!$M$2:$M$451,Dati!$H$2:$H$451,$H29,Dati!$A$2:$A$451,$Y29),"-")</f>
        <v/>
      </c>
      <c r="BV29" s="22">
        <f>IF(AND($H29&lt;&gt;"",$Z29&lt;&gt;"",$H29&lt;&gt;$Z29,IFERROR(VLOOKUP($H29,areaCercaPuntiClassificaSquadra,3,FALSE),-1)=IFERROR(VLOOKUP($Z29,areaCercaPuntiClassificaSquadra,3,FALSE),-2)),SUMIFS(Dati!$F$2:$F$451,Dati!$A$2:$A$451,$H29,Dati!$H$2:$H$451,$Z29)+SUMIFS(Dati!$M$2:$M$451,Dati!$H$2:$H$451,$H29,Dati!$A$2:$A$451,$Z29),"-")</f>
        <v/>
      </c>
      <c r="BW29" s="22">
        <f>IF(AND($H29&lt;&gt;"",$AA29&lt;&gt;"",$H29&lt;&gt;$AA29,IFERROR(VLOOKUP($H29,areaCercaPuntiClassificaSquadra,3,FALSE),-1)=IFERROR(VLOOKUP($AA29,areaCercaPuntiClassificaSquadra,3,FALSE),-2)),SUMIFS(Dati!$F$2:$F$451,Dati!$A$2:$A$451,$H29,Dati!$H$2:$H$451,$AA29)+SUMIFS(Dati!$M$2:$M$451,Dati!$H$2:$H$451,$H29,Dati!$A$2:$A$451,$AA29),"-")</f>
        <v/>
      </c>
      <c r="BX29" s="22">
        <f>IF(AND($H29&lt;&gt;"",$AB29&lt;&gt;"",$H29&lt;&gt;$AB29,IFERROR(VLOOKUP($H29,areaCercaPuntiClassificaSquadra,3,FALSE),-1)=IFERROR(VLOOKUP($AB29,areaCercaPuntiClassificaSquadra,3,FALSE),-2)),SUMIFS(Dati!$F$2:$F$451,Dati!$A$2:$A$451,$H29,Dati!$H$2:$H$451,$AB29)+SUMIFS(Dati!$M$2:$M$451,Dati!$H$2:$H$451,$H29,Dati!$A$2:$A$451,$AB29),"-")</f>
        <v/>
      </c>
      <c r="BY29" s="22">
        <f>IF(AND($H29&lt;&gt;"",$AC29&lt;&gt;"",$H29&lt;&gt;$AC29,IFERROR(VLOOKUP($H29,areaCercaPuntiClassificaSquadra,3,FALSE),-1)=IFERROR(VLOOKUP($AC29,areaCercaPuntiClassificaSquadra,3,FALSE),-2)),SUMIFS(Dati!$F$2:$F$451,Dati!$A$2:$A$451,$H29,Dati!$H$2:$H$451,$AC29)+SUMIFS(Dati!$M$2:$M$451,Dati!$H$2:$H$451,$H29,Dati!$A$2:$A$451,$AC29),"-")</f>
        <v/>
      </c>
      <c r="BZ29" s="22">
        <f>IF(AND($H29&lt;&gt;"",$AD29&lt;&gt;"",$H29&lt;&gt;$AD29,IFERROR(VLOOKUP($H29,areaCercaPuntiClassificaSquadra,3,FALSE),-1)=IFERROR(VLOOKUP($AD29,areaCercaPuntiClassificaSquadra,3,FALSE),-2)),SUMIFS(Dati!$F$2:$F$451,Dati!$A$2:$A$451,$H29,Dati!$H$2:$H$451,$AD29)+SUMIFS(Dati!$M$2:$M$451,Dati!$H$2:$H$451,$H29,Dati!$A$2:$A$451,$AD29),"-")</f>
        <v/>
      </c>
      <c r="CA29" s="22">
        <f>IF(AND($H29&lt;&gt;"",$AE29&lt;&gt;"",$H29&lt;&gt;$AE29,IFERROR(VLOOKUP($H29,areaCercaPuntiClassificaSquadra,3,FALSE),-1)=IFERROR(VLOOKUP($AE29,areaCercaPuntiClassificaSquadra,3,FALSE),-2)),SUMIFS(Dati!$F$2:$F$451,Dati!$A$2:$A$451,$H29,Dati!$H$2:$H$451,$AE29)+SUMIFS(Dati!$M$2:$M$451,Dati!$H$2:$H$451,$H29,Dati!$A$2:$A$451,$AE29),"-")</f>
        <v/>
      </c>
      <c r="CB29" s="22">
        <f>IF(AND($H29&lt;&gt;"",$AF29&lt;&gt;"",$H29&lt;&gt;$AF29,IFERROR(VLOOKUP($H29,areaCercaPuntiClassificaSquadra,3,FALSE),-1)=IFERROR(VLOOKUP($AF29,areaCercaPuntiClassificaSquadra,3,FALSE),-2)),SUMIFS(Dati!$F$2:$F$451,Dati!$A$2:$A$451,$H29,Dati!$H$2:$H$451,$AF29)+SUMIFS(Dati!$M$2:$M$451,Dati!$H$2:$H$451,$H29,Dati!$A$2:$A$451,$AF29),"-")</f>
        <v/>
      </c>
      <c r="CC29" s="22">
        <f>IF(AND($H29&lt;&gt;"",$AG29&lt;&gt;"",$H29&lt;&gt;$AG29,IFERROR(VLOOKUP($H29,areaCercaPuntiClassificaSquadra,3,FALSE),-1)=IFERROR(VLOOKUP($AG29,areaCercaPuntiClassificaSquadra,3,FALSE),-2)),SUMIFS(Dati!$F$2:$F$451,Dati!$A$2:$A$451,$H29,Dati!$H$2:$H$451,$AG29)+SUMIFS(Dati!$M$2:$M$451,Dati!$H$2:$H$451,$H29,Dati!$A$2:$A$451,$AG29),"-")</f>
        <v/>
      </c>
      <c r="CD29" s="22">
        <f>IF(AND($H29&lt;&gt;"",$AH29&lt;&gt;"",$H29&lt;&gt;$AH29,IFERROR(VLOOKUP($H29,areaCercaPuntiClassificaSquadra,3,FALSE),-1)=IFERROR(VLOOKUP($AH29,areaCercaPuntiClassificaSquadra,3,FALSE),-2)),SUMIFS(Dati!$F$2:$F$451,Dati!$A$2:$A$451,$H29,Dati!$H$2:$H$451,$AH29)+SUMIFS(Dati!$M$2:$M$451,Dati!$H$2:$H$451,$H29,Dati!$A$2:$A$451,$AH29),"-")</f>
        <v/>
      </c>
      <c r="CF29" s="22">
        <f>IF($C29="","",SUM(AK29:AT29))</f>
        <v/>
      </c>
    </row>
    <row r="30">
      <c r="B30" s="12" t="inlineStr">
        <is>
          <t>B07</t>
        </is>
      </c>
      <c r="C30" s="13" t="n"/>
      <c r="D30" s="14" t="n"/>
      <c r="E30" s="23" t="inlineStr">
        <is>
          <t>B</t>
        </is>
      </c>
      <c r="G30" s="24">
        <f>IF($C30="","",$E30&amp;(COUNTIFS(I$14:I$113,"&gt;"&amp;I30,E$14:E$113,"="&amp;E30,C$14:C$113,"&lt;&gt;")+COUNTIFS(I$14:I$113,"="&amp;I30,H$14:H$113,"&lt;="&amp;H30,E$14:E$113,"="&amp;E30,C$14:C$113,"&lt;&gt;")))</f>
        <v/>
      </c>
      <c r="H30" s="17">
        <f>IF($C30="","",IFERROR(LEFT($C30,FIND("-",$C30)-1),$C30))</f>
        <v/>
      </c>
      <c r="I30" s="12">
        <f>TEXT(1000000000+J30,"|0000000000|")&amp;TEXT(SUM(AK30:AT30),"0000000000|")&amp;IF(SUM(BU30:CD30)=0,"0000000000|",TEXT(ROUND(SUM(BI30:BR30)/SUM(BU30:CD30),4)*100000,"0000000000|"))&amp;IF(P30=0,"0000000000|",TEXT(ROUND(O30/P30,4)*100000,"0000000000|"))</f>
        <v/>
      </c>
      <c r="J30" s="24">
        <f>L30*constPuntiVittoria+M30*constPuntiSconfitta+N30*constPuntiForfait+IF(D30="",0,D30)</f>
        <v/>
      </c>
      <c r="K30" s="12">
        <f>SUM(L30:N30)</f>
        <v/>
      </c>
      <c r="L30" s="12">
        <f>IF($H30="",0,SUMIF(Dati!$A$2:$A$451,$H30,Dati!$B$2:$B$451)+SUMIF(Dati!$H$2:$H$451,$H30,Dati!$I$2:$I$451))</f>
        <v/>
      </c>
      <c r="M30" s="12">
        <f>IF($H30="",0,SUMIF(Dati!$A$2:$A$451,$H30,Dati!$D$2:$D$451)+SUMIF(Dati!$H$2:$H$451,$H30,Dati!$K$2:$K$451))</f>
        <v/>
      </c>
      <c r="N30" s="12">
        <f>IF($H30="",0,SUMIF(Dati!$A$2:$A$451,$H30,Dati!$C$2:$C$451)+SUMIF(Dati!$H$2:$H$451,$H30,Dati!$J$2:$J$451))</f>
        <v/>
      </c>
      <c r="O30" s="12">
        <f>IF($H30="",0,SUMIF(Dati!$A$2:$A$451,$H30,Dati!$E$2:$E$451)+SUMIF(Dati!$H$2:$H$451,$H30,Dati!$L$2:$L$451))</f>
        <v/>
      </c>
      <c r="P30" s="12">
        <f>IF($H30="",0,SUMIF(Dati!$A$2:$A$451,$H30,Dati!$F$2:$F$451)+SUMIF(Dati!$H$2:$H$451,$H30,Dati!$M$2:$M$451))</f>
        <v/>
      </c>
      <c r="Q30" s="12">
        <f>IF($H30="",0,SUMIF(Dati!$A$2:$A$451,$H30,Dati!$G$2:$G$451)+SUMIF(Dati!$H$2:$H$451,$H30,Dati!$N$2:$N$451))</f>
        <v/>
      </c>
      <c r="R30" s="12">
        <f>IF(K30=0,0,ROUND(O30/K30,2))</f>
        <v/>
      </c>
      <c r="S30" s="12">
        <f>IF(K30=0,0,ROUND(P30/K30,2))</f>
        <v/>
      </c>
      <c r="T30" s="12">
        <f>IF(K30=0,0,ROUND(Q30/K30,2))</f>
        <v/>
      </c>
      <c r="U30" s="12">
        <f>IF(COUNTIFS($E$14:$E$113,$E30,$J$14:$J$113,$J30,$C$14:$C$113,"&lt;&gt;")&lt;=1,"-",SUM(AK30:AT30)&amp;"-"&amp;SUM(AW30:BF30))</f>
        <v/>
      </c>
      <c r="V30" s="18">
        <f>IF(COUNTIFS($E$14:$E$113,$E30,$J$14:$J$113,$J30,$C$14:$C$113,"&lt;&gt;",$CF$14:$CF$113,$CF30)&lt;=1,"-",IF(SUM(BU30:CD30)=0,0,ROUND(SUM(BI30:BR30)/SUM(BU30:CD30),3)))</f>
        <v/>
      </c>
      <c r="W30" s="18">
        <f>IF(COUNTIFS($E$14:$E$113,$E30,$J$14:$J$113,$J30,$C$14:$C$113,"&lt;&gt;",$CF$14:$CF$113,$CF30,$V$14:$V$113,$V30)&lt;=1,"-",IF(P30=0,0,ROUND(O30/P30,3)))</f>
        <v/>
      </c>
      <c r="X30" s="19">
        <f>IF($C30="","",$E30&amp;"#"&amp;COUNTIFS($E$14:$E30,$E30,$C$14:$C30,"&lt;&gt;"))</f>
        <v/>
      </c>
      <c r="Y30" s="20">
        <f>IFERROR(INDEX($H$14:$H$113,MATCH($E30&amp;"#1",$X$14:$X$113,0)),"")</f>
        <v/>
      </c>
      <c r="Z30" s="20">
        <f>IFERROR(INDEX($H$14:$H$113,MATCH($E30&amp;"#2",$X$14:$X$113,0)),"")</f>
        <v/>
      </c>
      <c r="AA30" s="20">
        <f>IFERROR(INDEX($H$14:$H$113,MATCH($E30&amp;"#3",$X$14:$X$113,0)),"")</f>
        <v/>
      </c>
      <c r="AB30" s="20">
        <f>IFERROR(INDEX($H$14:$H$113,MATCH($E30&amp;"#4",$X$14:$X$113,0)),"")</f>
        <v/>
      </c>
      <c r="AC30" s="20">
        <f>IFERROR(INDEX($H$14:$H$113,MATCH($E30&amp;"#5",$X$14:$X$113,0)),"")</f>
        <v/>
      </c>
      <c r="AD30" s="20">
        <f>IFERROR(INDEX($H$14:$H$113,MATCH($E30&amp;"#6",$X$14:$X$113,0)),"")</f>
        <v/>
      </c>
      <c r="AE30" s="20">
        <f>IFERROR(INDEX($H$14:$H$113,MATCH($E30&amp;"#7",$X$14:$X$113,0)),"")</f>
        <v/>
      </c>
      <c r="AF30" s="20">
        <f>IFERROR(INDEX($H$14:$H$113,MATCH($E30&amp;"#8",$X$14:$X$113,0)),"")</f>
        <v/>
      </c>
      <c r="AG30" s="20">
        <f>IFERROR(INDEX($H$14:$H$113,MATCH($E30&amp;"#9",$X$14:$X$113,0)),"")</f>
        <v/>
      </c>
      <c r="AH30" s="20">
        <f>IFERROR(INDEX($H$14:$H$113,MATCH($E30&amp;"#10",$X$14:$X$113,0)),"")</f>
        <v/>
      </c>
      <c r="AJ30" s="21">
        <f>$C30</f>
        <v/>
      </c>
      <c r="AK30" s="22">
        <f>IF(AND($H30&lt;&gt;"",$Y30&lt;&gt;"",$H30&lt;&gt;$Y30,IFERROR(VLOOKUP($H30,areaCercaPuntiClassificaSquadra,3,FALSE),-1)=IFERROR(VLOOKUP($Y30,areaCercaPuntiClassificaSquadra,3,FALSE),-2)),SUMIFS(Dati!$B$2:$B$451,Dati!$A$2:$A$451,$H30,Dati!$H$2:$H$451,$Y30)+SUMIFS(Dati!$I$2:$I$451,Dati!$H$2:$H$451,$H30,Dati!$A$2:$A$451,$Y30),"-")</f>
        <v/>
      </c>
      <c r="AL30" s="22">
        <f>IF(AND($H30&lt;&gt;"",$Z30&lt;&gt;"",$H30&lt;&gt;$Z30,IFERROR(VLOOKUP($H30,areaCercaPuntiClassificaSquadra,3,FALSE),-1)=IFERROR(VLOOKUP($Z30,areaCercaPuntiClassificaSquadra,3,FALSE),-2)),SUMIFS(Dati!$B$2:$B$451,Dati!$A$2:$A$451,$H30,Dati!$H$2:$H$451,$Z30)+SUMIFS(Dati!$I$2:$I$451,Dati!$H$2:$H$451,$H30,Dati!$A$2:$A$451,$Z30),"-")</f>
        <v/>
      </c>
      <c r="AM30" s="22">
        <f>IF(AND($H30&lt;&gt;"",$AA30&lt;&gt;"",$H30&lt;&gt;$AA30,IFERROR(VLOOKUP($H30,areaCercaPuntiClassificaSquadra,3,FALSE),-1)=IFERROR(VLOOKUP($AA30,areaCercaPuntiClassificaSquadra,3,FALSE),-2)),SUMIFS(Dati!$B$2:$B$451,Dati!$A$2:$A$451,$H30,Dati!$H$2:$H$451,$AA30)+SUMIFS(Dati!$I$2:$I$451,Dati!$H$2:$H$451,$H30,Dati!$A$2:$A$451,$AA30),"-")</f>
        <v/>
      </c>
      <c r="AN30" s="22">
        <f>IF(AND($H30&lt;&gt;"",$AB30&lt;&gt;"",$H30&lt;&gt;$AB30,IFERROR(VLOOKUP($H30,areaCercaPuntiClassificaSquadra,3,FALSE),-1)=IFERROR(VLOOKUP($AB30,areaCercaPuntiClassificaSquadra,3,FALSE),-2)),SUMIFS(Dati!$B$2:$B$451,Dati!$A$2:$A$451,$H30,Dati!$H$2:$H$451,$AB30)+SUMIFS(Dati!$I$2:$I$451,Dati!$H$2:$H$451,$H30,Dati!$A$2:$A$451,$AB30),"-")</f>
        <v/>
      </c>
      <c r="AO30" s="22">
        <f>IF(AND($H30&lt;&gt;"",$AC30&lt;&gt;"",$H30&lt;&gt;$AC30,IFERROR(VLOOKUP($H30,areaCercaPuntiClassificaSquadra,3,FALSE),-1)=IFERROR(VLOOKUP($AC30,areaCercaPuntiClassificaSquadra,3,FALSE),-2)),SUMIFS(Dati!$B$2:$B$451,Dati!$A$2:$A$451,$H30,Dati!$H$2:$H$451,$AC30)+SUMIFS(Dati!$I$2:$I$451,Dati!$H$2:$H$451,$H30,Dati!$A$2:$A$451,$AC30),"-")</f>
        <v/>
      </c>
      <c r="AP30" s="22">
        <f>IF(AND($H30&lt;&gt;"",$AD30&lt;&gt;"",$H30&lt;&gt;$AD30,IFERROR(VLOOKUP($H30,areaCercaPuntiClassificaSquadra,3,FALSE),-1)=IFERROR(VLOOKUP($AD30,areaCercaPuntiClassificaSquadra,3,FALSE),-2)),SUMIFS(Dati!$B$2:$B$451,Dati!$A$2:$A$451,$H30,Dati!$H$2:$H$451,$AD30)+SUMIFS(Dati!$I$2:$I$451,Dati!$H$2:$H$451,$H30,Dati!$A$2:$A$451,$AD30),"-")</f>
        <v/>
      </c>
      <c r="AQ30" s="22">
        <f>IF(AND($H30&lt;&gt;"",$AE30&lt;&gt;"",$H30&lt;&gt;$AE30,IFERROR(VLOOKUP($H30,areaCercaPuntiClassificaSquadra,3,FALSE),-1)=IFERROR(VLOOKUP($AE30,areaCercaPuntiClassificaSquadra,3,FALSE),-2)),SUMIFS(Dati!$B$2:$B$451,Dati!$A$2:$A$451,$H30,Dati!$H$2:$H$451,$AE30)+SUMIFS(Dati!$I$2:$I$451,Dati!$H$2:$H$451,$H30,Dati!$A$2:$A$451,$AE30),"-")</f>
        <v/>
      </c>
      <c r="AR30" s="22">
        <f>IF(AND($H30&lt;&gt;"",$AF30&lt;&gt;"",$H30&lt;&gt;$AF30,IFERROR(VLOOKUP($H30,areaCercaPuntiClassificaSquadra,3,FALSE),-1)=IFERROR(VLOOKUP($AF30,areaCercaPuntiClassificaSquadra,3,FALSE),-2)),SUMIFS(Dati!$B$2:$B$451,Dati!$A$2:$A$451,$H30,Dati!$H$2:$H$451,$AF30)+SUMIFS(Dati!$I$2:$I$451,Dati!$H$2:$H$451,$H30,Dati!$A$2:$A$451,$AF30),"-")</f>
        <v/>
      </c>
      <c r="AS30" s="22">
        <f>IF(AND($H30&lt;&gt;"",$AG30&lt;&gt;"",$H30&lt;&gt;$AG30,IFERROR(VLOOKUP($H30,areaCercaPuntiClassificaSquadra,3,FALSE),-1)=IFERROR(VLOOKUP($AG30,areaCercaPuntiClassificaSquadra,3,FALSE),-2)),SUMIFS(Dati!$B$2:$B$451,Dati!$A$2:$A$451,$H30,Dati!$H$2:$H$451,$AG30)+SUMIFS(Dati!$I$2:$I$451,Dati!$H$2:$H$451,$H30,Dati!$A$2:$A$451,$AG30),"-")</f>
        <v/>
      </c>
      <c r="AT30" s="22">
        <f>IF(AND($H30&lt;&gt;"",$AH30&lt;&gt;"",$H30&lt;&gt;$AH30,IFERROR(VLOOKUP($H30,areaCercaPuntiClassificaSquadra,3,FALSE),-1)=IFERROR(VLOOKUP($AH30,areaCercaPuntiClassificaSquadra,3,FALSE),-2)),SUMIFS(Dati!$B$2:$B$451,Dati!$A$2:$A$451,$H30,Dati!$H$2:$H$451,$AH30)+SUMIFS(Dati!$I$2:$I$451,Dati!$H$2:$H$451,$H30,Dati!$A$2:$A$451,$AH30),"-")</f>
        <v/>
      </c>
      <c r="AV30" s="21">
        <f>$C30</f>
        <v/>
      </c>
      <c r="AW30" s="22">
        <f>IF(AND($H30&lt;&gt;"",$Y30&lt;&gt;"",$H30&lt;&gt;$Y30,IFERROR(VLOOKUP($H30,areaCercaPuntiClassificaSquadra,3,FALSE),-1)=IFERROR(VLOOKUP($Y30,areaCercaPuntiClassificaSquadra,3,FALSE),-2)),SUMIFS(Dati!$D$2:$D$451,Dati!$A$2:$A$451,$H30,Dati!$H$2:$H$451,$Y30)+SUMIFS(Dati!$K$2:$K$451,Dati!$H$2:$H$451,$H30,Dati!$A$2:$A$451,$Y30)+SUMIFS(Dati!$C$2:$C$451,Dati!$A$2:$A$451,$H30,Dati!$H$2:$H$451,$Y30)+SUMIFS(Dati!$J$2:$J$451,Dati!$H$2:$H$451,$H30,Dati!$A$2:$A$451,$Y30),"-")</f>
        <v/>
      </c>
      <c r="AX30" s="22">
        <f>IF(AND($H30&lt;&gt;"",$Z30&lt;&gt;"",$H30&lt;&gt;$Z30,IFERROR(VLOOKUP($H30,areaCercaPuntiClassificaSquadra,3,FALSE),-1)=IFERROR(VLOOKUP($Z30,areaCercaPuntiClassificaSquadra,3,FALSE),-2)),SUMIFS(Dati!$D$2:$D$451,Dati!$A$2:$A$451,$H30,Dati!$H$2:$H$451,$Z30)+SUMIFS(Dati!$K$2:$K$451,Dati!$H$2:$H$451,$H30,Dati!$A$2:$A$451,$Z30)+SUMIFS(Dati!$C$2:$C$451,Dati!$A$2:$A$451,$H30,Dati!$H$2:$H$451,$Z30)+SUMIFS(Dati!$J$2:$J$451,Dati!$H$2:$H$451,$H30,Dati!$A$2:$A$451,$Z30),"-")</f>
        <v/>
      </c>
      <c r="AY30" s="22">
        <f>IF(AND($H30&lt;&gt;"",$AA30&lt;&gt;"",$H30&lt;&gt;$AA30,IFERROR(VLOOKUP($H30,areaCercaPuntiClassificaSquadra,3,FALSE),-1)=IFERROR(VLOOKUP($AA30,areaCercaPuntiClassificaSquadra,3,FALSE),-2)),SUMIFS(Dati!$D$2:$D$451,Dati!$A$2:$A$451,$H30,Dati!$H$2:$H$451,$AA30)+SUMIFS(Dati!$K$2:$K$451,Dati!$H$2:$H$451,$H30,Dati!$A$2:$A$451,$AA30)+SUMIFS(Dati!$C$2:$C$451,Dati!$A$2:$A$451,$H30,Dati!$H$2:$H$451,$AA30)+SUMIFS(Dati!$J$2:$J$451,Dati!$H$2:$H$451,$H30,Dati!$A$2:$A$451,$AA30),"-")</f>
        <v/>
      </c>
      <c r="AZ30" s="22">
        <f>IF(AND($H30&lt;&gt;"",$AB30&lt;&gt;"",$H30&lt;&gt;$AB30,IFERROR(VLOOKUP($H30,areaCercaPuntiClassificaSquadra,3,FALSE),-1)=IFERROR(VLOOKUP($AB30,areaCercaPuntiClassificaSquadra,3,FALSE),-2)),SUMIFS(Dati!$D$2:$D$451,Dati!$A$2:$A$451,$H30,Dati!$H$2:$H$451,$AB30)+SUMIFS(Dati!$K$2:$K$451,Dati!$H$2:$H$451,$H30,Dati!$A$2:$A$451,$AB30)+SUMIFS(Dati!$C$2:$C$451,Dati!$A$2:$A$451,$H30,Dati!$H$2:$H$451,$AB30)+SUMIFS(Dati!$J$2:$J$451,Dati!$H$2:$H$451,$H30,Dati!$A$2:$A$451,$AB30),"-")</f>
        <v/>
      </c>
      <c r="BA30" s="22">
        <f>IF(AND($H30&lt;&gt;"",$AC30&lt;&gt;"",$H30&lt;&gt;$AC30,IFERROR(VLOOKUP($H30,areaCercaPuntiClassificaSquadra,3,FALSE),-1)=IFERROR(VLOOKUP($AC30,areaCercaPuntiClassificaSquadra,3,FALSE),-2)),SUMIFS(Dati!$D$2:$D$451,Dati!$A$2:$A$451,$H30,Dati!$H$2:$H$451,$AC30)+SUMIFS(Dati!$K$2:$K$451,Dati!$H$2:$H$451,$H30,Dati!$A$2:$A$451,$AC30)+SUMIFS(Dati!$C$2:$C$451,Dati!$A$2:$A$451,$H30,Dati!$H$2:$H$451,$AC30)+SUMIFS(Dati!$J$2:$J$451,Dati!$H$2:$H$451,$H30,Dati!$A$2:$A$451,$AC30),"-")</f>
        <v/>
      </c>
      <c r="BB30" s="22">
        <f>IF(AND($H30&lt;&gt;"",$AD30&lt;&gt;"",$H30&lt;&gt;$AD30,IFERROR(VLOOKUP($H30,areaCercaPuntiClassificaSquadra,3,FALSE),-1)=IFERROR(VLOOKUP($AD30,areaCercaPuntiClassificaSquadra,3,FALSE),-2)),SUMIFS(Dati!$D$2:$D$451,Dati!$A$2:$A$451,$H30,Dati!$H$2:$H$451,$AD30)+SUMIFS(Dati!$K$2:$K$451,Dati!$H$2:$H$451,$H30,Dati!$A$2:$A$451,$AD30)+SUMIFS(Dati!$C$2:$C$451,Dati!$A$2:$A$451,$H30,Dati!$H$2:$H$451,$AD30)+SUMIFS(Dati!$J$2:$J$451,Dati!$H$2:$H$451,$H30,Dati!$A$2:$A$451,$AD30),"-")</f>
        <v/>
      </c>
      <c r="BC30" s="22">
        <f>IF(AND($H30&lt;&gt;"",$AE30&lt;&gt;"",$H30&lt;&gt;$AE30,IFERROR(VLOOKUP($H30,areaCercaPuntiClassificaSquadra,3,FALSE),-1)=IFERROR(VLOOKUP($AE30,areaCercaPuntiClassificaSquadra,3,FALSE),-2)),SUMIFS(Dati!$D$2:$D$451,Dati!$A$2:$A$451,$H30,Dati!$H$2:$H$451,$AE30)+SUMIFS(Dati!$K$2:$K$451,Dati!$H$2:$H$451,$H30,Dati!$A$2:$A$451,$AE30)+SUMIFS(Dati!$C$2:$C$451,Dati!$A$2:$A$451,$H30,Dati!$H$2:$H$451,$AE30)+SUMIFS(Dati!$J$2:$J$451,Dati!$H$2:$H$451,$H30,Dati!$A$2:$A$451,$AE30),"-")</f>
        <v/>
      </c>
      <c r="BD30" s="22">
        <f>IF(AND($H30&lt;&gt;"",$AF30&lt;&gt;"",$H30&lt;&gt;$AF30,IFERROR(VLOOKUP($H30,areaCercaPuntiClassificaSquadra,3,FALSE),-1)=IFERROR(VLOOKUP($AF30,areaCercaPuntiClassificaSquadra,3,FALSE),-2)),SUMIFS(Dati!$D$2:$D$451,Dati!$A$2:$A$451,$H30,Dati!$H$2:$H$451,$AF30)+SUMIFS(Dati!$K$2:$K$451,Dati!$H$2:$H$451,$H30,Dati!$A$2:$A$451,$AF30)+SUMIFS(Dati!$C$2:$C$451,Dati!$A$2:$A$451,$H30,Dati!$H$2:$H$451,$AF30)+SUMIFS(Dati!$J$2:$J$451,Dati!$H$2:$H$451,$H30,Dati!$A$2:$A$451,$AF30),"-")</f>
        <v/>
      </c>
      <c r="BE30" s="22">
        <f>IF(AND($H30&lt;&gt;"",$AG30&lt;&gt;"",$H30&lt;&gt;$AG30,IFERROR(VLOOKUP($H30,areaCercaPuntiClassificaSquadra,3,FALSE),-1)=IFERROR(VLOOKUP($AG30,areaCercaPuntiClassificaSquadra,3,FALSE),-2)),SUMIFS(Dati!$D$2:$D$451,Dati!$A$2:$A$451,$H30,Dati!$H$2:$H$451,$AG30)+SUMIFS(Dati!$K$2:$K$451,Dati!$H$2:$H$451,$H30,Dati!$A$2:$A$451,$AG30)+SUMIFS(Dati!$C$2:$C$451,Dati!$A$2:$A$451,$H30,Dati!$H$2:$H$451,$AG30)+SUMIFS(Dati!$J$2:$J$451,Dati!$H$2:$H$451,$H30,Dati!$A$2:$A$451,$AG30),"-")</f>
        <v/>
      </c>
      <c r="BF30" s="22">
        <f>IF(AND($H30&lt;&gt;"",$AH30&lt;&gt;"",$H30&lt;&gt;$AH30,IFERROR(VLOOKUP($H30,areaCercaPuntiClassificaSquadra,3,FALSE),-1)=IFERROR(VLOOKUP($AH30,areaCercaPuntiClassificaSquadra,3,FALSE),-2)),SUMIFS(Dati!$D$2:$D$451,Dati!$A$2:$A$451,$H30,Dati!$H$2:$H$451,$AH30)+SUMIFS(Dati!$K$2:$K$451,Dati!$H$2:$H$451,$H30,Dati!$A$2:$A$451,$AH30)+SUMIFS(Dati!$C$2:$C$451,Dati!$A$2:$A$451,$H30,Dati!$H$2:$H$451,$AH30)+SUMIFS(Dati!$J$2:$J$451,Dati!$H$2:$H$451,$H30,Dati!$A$2:$A$451,$AH30),"-")</f>
        <v/>
      </c>
      <c r="BH30" s="21">
        <f>$C30</f>
        <v/>
      </c>
      <c r="BI30" s="22">
        <f>IF(AND($H30&lt;&gt;"",$Y30&lt;&gt;"",$H30&lt;&gt;$Y30,IFERROR(VLOOKUP($H30,areaCercaPuntiClassificaSquadra,3,FALSE),-1)=IFERROR(VLOOKUP($Y30,areaCercaPuntiClassificaSquadra,3,FALSE),-2)),SUMIFS(Dati!$E$2:$E$451,Dati!$A$2:$A$451,$H30,Dati!$H$2:$H$451,$Y30)+SUMIFS(Dati!$L$2:$L$451,Dati!$H$2:$H$451,$H30,Dati!$A$2:$A$451,$Y30),"-")</f>
        <v/>
      </c>
      <c r="BJ30" s="22">
        <f>IF(AND($H30&lt;&gt;"",$Z30&lt;&gt;"",$H30&lt;&gt;$Z30,IFERROR(VLOOKUP($H30,areaCercaPuntiClassificaSquadra,3,FALSE),-1)=IFERROR(VLOOKUP($Z30,areaCercaPuntiClassificaSquadra,3,FALSE),-2)),SUMIFS(Dati!$E$2:$E$451,Dati!$A$2:$A$451,$H30,Dati!$H$2:$H$451,$Z30)+SUMIFS(Dati!$L$2:$L$451,Dati!$H$2:$H$451,$H30,Dati!$A$2:$A$451,$Z30),"-")</f>
        <v/>
      </c>
      <c r="BK30" s="22">
        <f>IF(AND($H30&lt;&gt;"",$AA30&lt;&gt;"",$H30&lt;&gt;$AA30,IFERROR(VLOOKUP($H30,areaCercaPuntiClassificaSquadra,3,FALSE),-1)=IFERROR(VLOOKUP($AA30,areaCercaPuntiClassificaSquadra,3,FALSE),-2)),SUMIFS(Dati!$E$2:$E$451,Dati!$A$2:$A$451,$H30,Dati!$H$2:$H$451,$AA30)+SUMIFS(Dati!$L$2:$L$451,Dati!$H$2:$H$451,$H30,Dati!$A$2:$A$451,$AA30),"-")</f>
        <v/>
      </c>
      <c r="BL30" s="22">
        <f>IF(AND($H30&lt;&gt;"",$AB30&lt;&gt;"",$H30&lt;&gt;$AB30,IFERROR(VLOOKUP($H30,areaCercaPuntiClassificaSquadra,3,FALSE),-1)=IFERROR(VLOOKUP($AB30,areaCercaPuntiClassificaSquadra,3,FALSE),-2)),SUMIFS(Dati!$E$2:$E$451,Dati!$A$2:$A$451,$H30,Dati!$H$2:$H$451,$AB30)+SUMIFS(Dati!$L$2:$L$451,Dati!$H$2:$H$451,$H30,Dati!$A$2:$A$451,$AB30),"-")</f>
        <v/>
      </c>
      <c r="BM30" s="22">
        <f>IF(AND($H30&lt;&gt;"",$AC30&lt;&gt;"",$H30&lt;&gt;$AC30,IFERROR(VLOOKUP($H30,areaCercaPuntiClassificaSquadra,3,FALSE),-1)=IFERROR(VLOOKUP($AC30,areaCercaPuntiClassificaSquadra,3,FALSE),-2)),SUMIFS(Dati!$E$2:$E$451,Dati!$A$2:$A$451,$H30,Dati!$H$2:$H$451,$AC30)+SUMIFS(Dati!$L$2:$L$451,Dati!$H$2:$H$451,$H30,Dati!$A$2:$A$451,$AC30),"-")</f>
        <v/>
      </c>
      <c r="BN30" s="22">
        <f>IF(AND($H30&lt;&gt;"",$AD30&lt;&gt;"",$H30&lt;&gt;$AD30,IFERROR(VLOOKUP($H30,areaCercaPuntiClassificaSquadra,3,FALSE),-1)=IFERROR(VLOOKUP($AD30,areaCercaPuntiClassificaSquadra,3,FALSE),-2)),SUMIFS(Dati!$E$2:$E$451,Dati!$A$2:$A$451,$H30,Dati!$H$2:$H$451,$AD30)+SUMIFS(Dati!$L$2:$L$451,Dati!$H$2:$H$451,$H30,Dati!$A$2:$A$451,$AD30),"-")</f>
        <v/>
      </c>
      <c r="BO30" s="22">
        <f>IF(AND($H30&lt;&gt;"",$AE30&lt;&gt;"",$H30&lt;&gt;$AE30,IFERROR(VLOOKUP($H30,areaCercaPuntiClassificaSquadra,3,FALSE),-1)=IFERROR(VLOOKUP($AE30,areaCercaPuntiClassificaSquadra,3,FALSE),-2)),SUMIFS(Dati!$E$2:$E$451,Dati!$A$2:$A$451,$H30,Dati!$H$2:$H$451,$AE30)+SUMIFS(Dati!$L$2:$L$451,Dati!$H$2:$H$451,$H30,Dati!$A$2:$A$451,$AE30),"-")</f>
        <v/>
      </c>
      <c r="BP30" s="22">
        <f>IF(AND($H30&lt;&gt;"",$AF30&lt;&gt;"",$H30&lt;&gt;$AF30,IFERROR(VLOOKUP($H30,areaCercaPuntiClassificaSquadra,3,FALSE),-1)=IFERROR(VLOOKUP($AF30,areaCercaPuntiClassificaSquadra,3,FALSE),-2)),SUMIFS(Dati!$E$2:$E$451,Dati!$A$2:$A$451,$H30,Dati!$H$2:$H$451,$AF30)+SUMIFS(Dati!$L$2:$L$451,Dati!$H$2:$H$451,$H30,Dati!$A$2:$A$451,$AF30),"-")</f>
        <v/>
      </c>
      <c r="BQ30" s="22">
        <f>IF(AND($H30&lt;&gt;"",$AG30&lt;&gt;"",$H30&lt;&gt;$AG30,IFERROR(VLOOKUP($H30,areaCercaPuntiClassificaSquadra,3,FALSE),-1)=IFERROR(VLOOKUP($AG30,areaCercaPuntiClassificaSquadra,3,FALSE),-2)),SUMIFS(Dati!$E$2:$E$451,Dati!$A$2:$A$451,$H30,Dati!$H$2:$H$451,$AG30)+SUMIFS(Dati!$L$2:$L$451,Dati!$H$2:$H$451,$H30,Dati!$A$2:$A$451,$AG30),"-")</f>
        <v/>
      </c>
      <c r="BR30" s="22">
        <f>IF(AND($H30&lt;&gt;"",$AH30&lt;&gt;"",$H30&lt;&gt;$AH30,IFERROR(VLOOKUP($H30,areaCercaPuntiClassificaSquadra,3,FALSE),-1)=IFERROR(VLOOKUP($AH30,areaCercaPuntiClassificaSquadra,3,FALSE),-2)),SUMIFS(Dati!$E$2:$E$451,Dati!$A$2:$A$451,$H30,Dati!$H$2:$H$451,$AH30)+SUMIFS(Dati!$L$2:$L$451,Dati!$H$2:$H$451,$H30,Dati!$A$2:$A$451,$AH30),"-")</f>
        <v/>
      </c>
      <c r="BT30" s="21">
        <f>$C30</f>
        <v/>
      </c>
      <c r="BU30" s="22">
        <f>IF(AND($H30&lt;&gt;"",$Y30&lt;&gt;"",$H30&lt;&gt;$Y30,IFERROR(VLOOKUP($H30,areaCercaPuntiClassificaSquadra,3,FALSE),-1)=IFERROR(VLOOKUP($Y30,areaCercaPuntiClassificaSquadra,3,FALSE),-2)),SUMIFS(Dati!$F$2:$F$451,Dati!$A$2:$A$451,$H30,Dati!$H$2:$H$451,$Y30)+SUMIFS(Dati!$M$2:$M$451,Dati!$H$2:$H$451,$H30,Dati!$A$2:$A$451,$Y30),"-")</f>
        <v/>
      </c>
      <c r="BV30" s="22">
        <f>IF(AND($H30&lt;&gt;"",$Z30&lt;&gt;"",$H30&lt;&gt;$Z30,IFERROR(VLOOKUP($H30,areaCercaPuntiClassificaSquadra,3,FALSE),-1)=IFERROR(VLOOKUP($Z30,areaCercaPuntiClassificaSquadra,3,FALSE),-2)),SUMIFS(Dati!$F$2:$F$451,Dati!$A$2:$A$451,$H30,Dati!$H$2:$H$451,$Z30)+SUMIFS(Dati!$M$2:$M$451,Dati!$H$2:$H$451,$H30,Dati!$A$2:$A$451,$Z30),"-")</f>
        <v/>
      </c>
      <c r="BW30" s="22">
        <f>IF(AND($H30&lt;&gt;"",$AA30&lt;&gt;"",$H30&lt;&gt;$AA30,IFERROR(VLOOKUP($H30,areaCercaPuntiClassificaSquadra,3,FALSE),-1)=IFERROR(VLOOKUP($AA30,areaCercaPuntiClassificaSquadra,3,FALSE),-2)),SUMIFS(Dati!$F$2:$F$451,Dati!$A$2:$A$451,$H30,Dati!$H$2:$H$451,$AA30)+SUMIFS(Dati!$M$2:$M$451,Dati!$H$2:$H$451,$H30,Dati!$A$2:$A$451,$AA30),"-")</f>
        <v/>
      </c>
      <c r="BX30" s="22">
        <f>IF(AND($H30&lt;&gt;"",$AB30&lt;&gt;"",$H30&lt;&gt;$AB30,IFERROR(VLOOKUP($H30,areaCercaPuntiClassificaSquadra,3,FALSE),-1)=IFERROR(VLOOKUP($AB30,areaCercaPuntiClassificaSquadra,3,FALSE),-2)),SUMIFS(Dati!$F$2:$F$451,Dati!$A$2:$A$451,$H30,Dati!$H$2:$H$451,$AB30)+SUMIFS(Dati!$M$2:$M$451,Dati!$H$2:$H$451,$H30,Dati!$A$2:$A$451,$AB30),"-")</f>
        <v/>
      </c>
      <c r="BY30" s="22">
        <f>IF(AND($H30&lt;&gt;"",$AC30&lt;&gt;"",$H30&lt;&gt;$AC30,IFERROR(VLOOKUP($H30,areaCercaPuntiClassificaSquadra,3,FALSE),-1)=IFERROR(VLOOKUP($AC30,areaCercaPuntiClassificaSquadra,3,FALSE),-2)),SUMIFS(Dati!$F$2:$F$451,Dati!$A$2:$A$451,$H30,Dati!$H$2:$H$451,$AC30)+SUMIFS(Dati!$M$2:$M$451,Dati!$H$2:$H$451,$H30,Dati!$A$2:$A$451,$AC30),"-")</f>
        <v/>
      </c>
      <c r="BZ30" s="22">
        <f>IF(AND($H30&lt;&gt;"",$AD30&lt;&gt;"",$H30&lt;&gt;$AD30,IFERROR(VLOOKUP($H30,areaCercaPuntiClassificaSquadra,3,FALSE),-1)=IFERROR(VLOOKUP($AD30,areaCercaPuntiClassificaSquadra,3,FALSE),-2)),SUMIFS(Dati!$F$2:$F$451,Dati!$A$2:$A$451,$H30,Dati!$H$2:$H$451,$AD30)+SUMIFS(Dati!$M$2:$M$451,Dati!$H$2:$H$451,$H30,Dati!$A$2:$A$451,$AD30),"-")</f>
        <v/>
      </c>
      <c r="CA30" s="22">
        <f>IF(AND($H30&lt;&gt;"",$AE30&lt;&gt;"",$H30&lt;&gt;$AE30,IFERROR(VLOOKUP($H30,areaCercaPuntiClassificaSquadra,3,FALSE),-1)=IFERROR(VLOOKUP($AE30,areaCercaPuntiClassificaSquadra,3,FALSE),-2)),SUMIFS(Dati!$F$2:$F$451,Dati!$A$2:$A$451,$H30,Dati!$H$2:$H$451,$AE30)+SUMIFS(Dati!$M$2:$M$451,Dati!$H$2:$H$451,$H30,Dati!$A$2:$A$451,$AE30),"-")</f>
        <v/>
      </c>
      <c r="CB30" s="22">
        <f>IF(AND($H30&lt;&gt;"",$AF30&lt;&gt;"",$H30&lt;&gt;$AF30,IFERROR(VLOOKUP($H30,areaCercaPuntiClassificaSquadra,3,FALSE),-1)=IFERROR(VLOOKUP($AF30,areaCercaPuntiClassificaSquadra,3,FALSE),-2)),SUMIFS(Dati!$F$2:$F$451,Dati!$A$2:$A$451,$H30,Dati!$H$2:$H$451,$AF30)+SUMIFS(Dati!$M$2:$M$451,Dati!$H$2:$H$451,$H30,Dati!$A$2:$A$451,$AF30),"-")</f>
        <v/>
      </c>
      <c r="CC30" s="22">
        <f>IF(AND($H30&lt;&gt;"",$AG30&lt;&gt;"",$H30&lt;&gt;$AG30,IFERROR(VLOOKUP($H30,areaCercaPuntiClassificaSquadra,3,FALSE),-1)=IFERROR(VLOOKUP($AG30,areaCercaPuntiClassificaSquadra,3,FALSE),-2)),SUMIFS(Dati!$F$2:$F$451,Dati!$A$2:$A$451,$H30,Dati!$H$2:$H$451,$AG30)+SUMIFS(Dati!$M$2:$M$451,Dati!$H$2:$H$451,$H30,Dati!$A$2:$A$451,$AG30),"-")</f>
        <v/>
      </c>
      <c r="CD30" s="22">
        <f>IF(AND($H30&lt;&gt;"",$AH30&lt;&gt;"",$H30&lt;&gt;$AH30,IFERROR(VLOOKUP($H30,areaCercaPuntiClassificaSquadra,3,FALSE),-1)=IFERROR(VLOOKUP($AH30,areaCercaPuntiClassificaSquadra,3,FALSE),-2)),SUMIFS(Dati!$F$2:$F$451,Dati!$A$2:$A$451,$H30,Dati!$H$2:$H$451,$AH30)+SUMIFS(Dati!$M$2:$M$451,Dati!$H$2:$H$451,$H30,Dati!$A$2:$A$451,$AH30),"-")</f>
        <v/>
      </c>
      <c r="CF30" s="22">
        <f>IF($C30="","",SUM(AK30:AT30))</f>
        <v/>
      </c>
    </row>
    <row r="31">
      <c r="B31" s="12" t="inlineStr">
        <is>
          <t>B08</t>
        </is>
      </c>
      <c r="C31" s="13" t="n"/>
      <c r="D31" s="14" t="n"/>
      <c r="E31" s="23" t="inlineStr">
        <is>
          <t>B</t>
        </is>
      </c>
      <c r="G31" s="24">
        <f>IF($C31="","",$E31&amp;(COUNTIFS(I$14:I$113,"&gt;"&amp;I31,E$14:E$113,"="&amp;E31,C$14:C$113,"&lt;&gt;")+COUNTIFS(I$14:I$113,"="&amp;I31,H$14:H$113,"&lt;="&amp;H31,E$14:E$113,"="&amp;E31,C$14:C$113,"&lt;&gt;")))</f>
        <v/>
      </c>
      <c r="H31" s="17">
        <f>IF($C31="","",IFERROR(LEFT($C31,FIND("-",$C31)-1),$C31))</f>
        <v/>
      </c>
      <c r="I31" s="12">
        <f>TEXT(1000000000+J31,"|0000000000|")&amp;TEXT(SUM(AK31:AT31),"0000000000|")&amp;IF(SUM(BU31:CD31)=0,"0000000000|",TEXT(ROUND(SUM(BI31:BR31)/SUM(BU31:CD31),4)*100000,"0000000000|"))&amp;IF(P31=0,"0000000000|",TEXT(ROUND(O31/P31,4)*100000,"0000000000|"))</f>
        <v/>
      </c>
      <c r="J31" s="24">
        <f>L31*constPuntiVittoria+M31*constPuntiSconfitta+N31*constPuntiForfait+IF(D31="",0,D31)</f>
        <v/>
      </c>
      <c r="K31" s="12">
        <f>SUM(L31:N31)</f>
        <v/>
      </c>
      <c r="L31" s="12">
        <f>IF($H31="",0,SUMIF(Dati!$A$2:$A$451,$H31,Dati!$B$2:$B$451)+SUMIF(Dati!$H$2:$H$451,$H31,Dati!$I$2:$I$451))</f>
        <v/>
      </c>
      <c r="M31" s="12">
        <f>IF($H31="",0,SUMIF(Dati!$A$2:$A$451,$H31,Dati!$D$2:$D$451)+SUMIF(Dati!$H$2:$H$451,$H31,Dati!$K$2:$K$451))</f>
        <v/>
      </c>
      <c r="N31" s="12">
        <f>IF($H31="",0,SUMIF(Dati!$A$2:$A$451,$H31,Dati!$C$2:$C$451)+SUMIF(Dati!$H$2:$H$451,$H31,Dati!$J$2:$J$451))</f>
        <v/>
      </c>
      <c r="O31" s="12">
        <f>IF($H31="",0,SUMIF(Dati!$A$2:$A$451,$H31,Dati!$E$2:$E$451)+SUMIF(Dati!$H$2:$H$451,$H31,Dati!$L$2:$L$451))</f>
        <v/>
      </c>
      <c r="P31" s="12">
        <f>IF($H31="",0,SUMIF(Dati!$A$2:$A$451,$H31,Dati!$F$2:$F$451)+SUMIF(Dati!$H$2:$H$451,$H31,Dati!$M$2:$M$451))</f>
        <v/>
      </c>
      <c r="Q31" s="12">
        <f>IF($H31="",0,SUMIF(Dati!$A$2:$A$451,$H31,Dati!$G$2:$G$451)+SUMIF(Dati!$H$2:$H$451,$H31,Dati!$N$2:$N$451))</f>
        <v/>
      </c>
      <c r="R31" s="12">
        <f>IF(K31=0,0,ROUND(O31/K31,2))</f>
        <v/>
      </c>
      <c r="S31" s="12">
        <f>IF(K31=0,0,ROUND(P31/K31,2))</f>
        <v/>
      </c>
      <c r="T31" s="12">
        <f>IF(K31=0,0,ROUND(Q31/K31,2))</f>
        <v/>
      </c>
      <c r="U31" s="12">
        <f>IF(COUNTIFS($E$14:$E$113,$E31,$J$14:$J$113,$J31,$C$14:$C$113,"&lt;&gt;")&lt;=1,"-",SUM(AK31:AT31)&amp;"-"&amp;SUM(AW31:BF31))</f>
        <v/>
      </c>
      <c r="V31" s="18">
        <f>IF(COUNTIFS($E$14:$E$113,$E31,$J$14:$J$113,$J31,$C$14:$C$113,"&lt;&gt;",$CF$14:$CF$113,$CF31)&lt;=1,"-",IF(SUM(BU31:CD31)=0,0,ROUND(SUM(BI31:BR31)/SUM(BU31:CD31),3)))</f>
        <v/>
      </c>
      <c r="W31" s="18">
        <f>IF(COUNTIFS($E$14:$E$113,$E31,$J$14:$J$113,$J31,$C$14:$C$113,"&lt;&gt;",$CF$14:$CF$113,$CF31,$V$14:$V$113,$V31)&lt;=1,"-",IF(P31=0,0,ROUND(O31/P31,3)))</f>
        <v/>
      </c>
      <c r="X31" s="19">
        <f>IF($C31="","",$E31&amp;"#"&amp;COUNTIFS($E$14:$E31,$E31,$C$14:$C31,"&lt;&gt;"))</f>
        <v/>
      </c>
      <c r="Y31" s="20">
        <f>IFERROR(INDEX($H$14:$H$113,MATCH($E31&amp;"#1",$X$14:$X$113,0)),"")</f>
        <v/>
      </c>
      <c r="Z31" s="20">
        <f>IFERROR(INDEX($H$14:$H$113,MATCH($E31&amp;"#2",$X$14:$X$113,0)),"")</f>
        <v/>
      </c>
      <c r="AA31" s="20">
        <f>IFERROR(INDEX($H$14:$H$113,MATCH($E31&amp;"#3",$X$14:$X$113,0)),"")</f>
        <v/>
      </c>
      <c r="AB31" s="20">
        <f>IFERROR(INDEX($H$14:$H$113,MATCH($E31&amp;"#4",$X$14:$X$113,0)),"")</f>
        <v/>
      </c>
      <c r="AC31" s="20">
        <f>IFERROR(INDEX($H$14:$H$113,MATCH($E31&amp;"#5",$X$14:$X$113,0)),"")</f>
        <v/>
      </c>
      <c r="AD31" s="20">
        <f>IFERROR(INDEX($H$14:$H$113,MATCH($E31&amp;"#6",$X$14:$X$113,0)),"")</f>
        <v/>
      </c>
      <c r="AE31" s="20">
        <f>IFERROR(INDEX($H$14:$H$113,MATCH($E31&amp;"#7",$X$14:$X$113,0)),"")</f>
        <v/>
      </c>
      <c r="AF31" s="20">
        <f>IFERROR(INDEX($H$14:$H$113,MATCH($E31&amp;"#8",$X$14:$X$113,0)),"")</f>
        <v/>
      </c>
      <c r="AG31" s="20">
        <f>IFERROR(INDEX($H$14:$H$113,MATCH($E31&amp;"#9",$X$14:$X$113,0)),"")</f>
        <v/>
      </c>
      <c r="AH31" s="20">
        <f>IFERROR(INDEX($H$14:$H$113,MATCH($E31&amp;"#10",$X$14:$X$113,0)),"")</f>
        <v/>
      </c>
      <c r="AJ31" s="21">
        <f>$C31</f>
        <v/>
      </c>
      <c r="AK31" s="22">
        <f>IF(AND($H31&lt;&gt;"",$Y31&lt;&gt;"",$H31&lt;&gt;$Y31,IFERROR(VLOOKUP($H31,areaCercaPuntiClassificaSquadra,3,FALSE),-1)=IFERROR(VLOOKUP($Y31,areaCercaPuntiClassificaSquadra,3,FALSE),-2)),SUMIFS(Dati!$B$2:$B$451,Dati!$A$2:$A$451,$H31,Dati!$H$2:$H$451,$Y31)+SUMIFS(Dati!$I$2:$I$451,Dati!$H$2:$H$451,$H31,Dati!$A$2:$A$451,$Y31),"-")</f>
        <v/>
      </c>
      <c r="AL31" s="22">
        <f>IF(AND($H31&lt;&gt;"",$Z31&lt;&gt;"",$H31&lt;&gt;$Z31,IFERROR(VLOOKUP($H31,areaCercaPuntiClassificaSquadra,3,FALSE),-1)=IFERROR(VLOOKUP($Z31,areaCercaPuntiClassificaSquadra,3,FALSE),-2)),SUMIFS(Dati!$B$2:$B$451,Dati!$A$2:$A$451,$H31,Dati!$H$2:$H$451,$Z31)+SUMIFS(Dati!$I$2:$I$451,Dati!$H$2:$H$451,$H31,Dati!$A$2:$A$451,$Z31),"-")</f>
        <v/>
      </c>
      <c r="AM31" s="22">
        <f>IF(AND($H31&lt;&gt;"",$AA31&lt;&gt;"",$H31&lt;&gt;$AA31,IFERROR(VLOOKUP($H31,areaCercaPuntiClassificaSquadra,3,FALSE),-1)=IFERROR(VLOOKUP($AA31,areaCercaPuntiClassificaSquadra,3,FALSE),-2)),SUMIFS(Dati!$B$2:$B$451,Dati!$A$2:$A$451,$H31,Dati!$H$2:$H$451,$AA31)+SUMIFS(Dati!$I$2:$I$451,Dati!$H$2:$H$451,$H31,Dati!$A$2:$A$451,$AA31),"-")</f>
        <v/>
      </c>
      <c r="AN31" s="22">
        <f>IF(AND($H31&lt;&gt;"",$AB31&lt;&gt;"",$H31&lt;&gt;$AB31,IFERROR(VLOOKUP($H31,areaCercaPuntiClassificaSquadra,3,FALSE),-1)=IFERROR(VLOOKUP($AB31,areaCercaPuntiClassificaSquadra,3,FALSE),-2)),SUMIFS(Dati!$B$2:$B$451,Dati!$A$2:$A$451,$H31,Dati!$H$2:$H$451,$AB31)+SUMIFS(Dati!$I$2:$I$451,Dati!$H$2:$H$451,$H31,Dati!$A$2:$A$451,$AB31),"-")</f>
        <v/>
      </c>
      <c r="AO31" s="22">
        <f>IF(AND($H31&lt;&gt;"",$AC31&lt;&gt;"",$H31&lt;&gt;$AC31,IFERROR(VLOOKUP($H31,areaCercaPuntiClassificaSquadra,3,FALSE),-1)=IFERROR(VLOOKUP($AC31,areaCercaPuntiClassificaSquadra,3,FALSE),-2)),SUMIFS(Dati!$B$2:$B$451,Dati!$A$2:$A$451,$H31,Dati!$H$2:$H$451,$AC31)+SUMIFS(Dati!$I$2:$I$451,Dati!$H$2:$H$451,$H31,Dati!$A$2:$A$451,$AC31),"-")</f>
        <v/>
      </c>
      <c r="AP31" s="22">
        <f>IF(AND($H31&lt;&gt;"",$AD31&lt;&gt;"",$H31&lt;&gt;$AD31,IFERROR(VLOOKUP($H31,areaCercaPuntiClassificaSquadra,3,FALSE),-1)=IFERROR(VLOOKUP($AD31,areaCercaPuntiClassificaSquadra,3,FALSE),-2)),SUMIFS(Dati!$B$2:$B$451,Dati!$A$2:$A$451,$H31,Dati!$H$2:$H$451,$AD31)+SUMIFS(Dati!$I$2:$I$451,Dati!$H$2:$H$451,$H31,Dati!$A$2:$A$451,$AD31),"-")</f>
        <v/>
      </c>
      <c r="AQ31" s="22">
        <f>IF(AND($H31&lt;&gt;"",$AE31&lt;&gt;"",$H31&lt;&gt;$AE31,IFERROR(VLOOKUP($H31,areaCercaPuntiClassificaSquadra,3,FALSE),-1)=IFERROR(VLOOKUP($AE31,areaCercaPuntiClassificaSquadra,3,FALSE),-2)),SUMIFS(Dati!$B$2:$B$451,Dati!$A$2:$A$451,$H31,Dati!$H$2:$H$451,$AE31)+SUMIFS(Dati!$I$2:$I$451,Dati!$H$2:$H$451,$H31,Dati!$A$2:$A$451,$AE31),"-")</f>
        <v/>
      </c>
      <c r="AR31" s="22">
        <f>IF(AND($H31&lt;&gt;"",$AF31&lt;&gt;"",$H31&lt;&gt;$AF31,IFERROR(VLOOKUP($H31,areaCercaPuntiClassificaSquadra,3,FALSE),-1)=IFERROR(VLOOKUP($AF31,areaCercaPuntiClassificaSquadra,3,FALSE),-2)),SUMIFS(Dati!$B$2:$B$451,Dati!$A$2:$A$451,$H31,Dati!$H$2:$H$451,$AF31)+SUMIFS(Dati!$I$2:$I$451,Dati!$H$2:$H$451,$H31,Dati!$A$2:$A$451,$AF31),"-")</f>
        <v/>
      </c>
      <c r="AS31" s="22">
        <f>IF(AND($H31&lt;&gt;"",$AG31&lt;&gt;"",$H31&lt;&gt;$AG31,IFERROR(VLOOKUP($H31,areaCercaPuntiClassificaSquadra,3,FALSE),-1)=IFERROR(VLOOKUP($AG31,areaCercaPuntiClassificaSquadra,3,FALSE),-2)),SUMIFS(Dati!$B$2:$B$451,Dati!$A$2:$A$451,$H31,Dati!$H$2:$H$451,$AG31)+SUMIFS(Dati!$I$2:$I$451,Dati!$H$2:$H$451,$H31,Dati!$A$2:$A$451,$AG31),"-")</f>
        <v/>
      </c>
      <c r="AT31" s="22">
        <f>IF(AND($H31&lt;&gt;"",$AH31&lt;&gt;"",$H31&lt;&gt;$AH31,IFERROR(VLOOKUP($H31,areaCercaPuntiClassificaSquadra,3,FALSE),-1)=IFERROR(VLOOKUP($AH31,areaCercaPuntiClassificaSquadra,3,FALSE),-2)),SUMIFS(Dati!$B$2:$B$451,Dati!$A$2:$A$451,$H31,Dati!$H$2:$H$451,$AH31)+SUMIFS(Dati!$I$2:$I$451,Dati!$H$2:$H$451,$H31,Dati!$A$2:$A$451,$AH31),"-")</f>
        <v/>
      </c>
      <c r="AV31" s="21">
        <f>$C31</f>
        <v/>
      </c>
      <c r="AW31" s="22">
        <f>IF(AND($H31&lt;&gt;"",$Y31&lt;&gt;"",$H31&lt;&gt;$Y31,IFERROR(VLOOKUP($H31,areaCercaPuntiClassificaSquadra,3,FALSE),-1)=IFERROR(VLOOKUP($Y31,areaCercaPuntiClassificaSquadra,3,FALSE),-2)),SUMIFS(Dati!$D$2:$D$451,Dati!$A$2:$A$451,$H31,Dati!$H$2:$H$451,$Y31)+SUMIFS(Dati!$K$2:$K$451,Dati!$H$2:$H$451,$H31,Dati!$A$2:$A$451,$Y31)+SUMIFS(Dati!$C$2:$C$451,Dati!$A$2:$A$451,$H31,Dati!$H$2:$H$451,$Y31)+SUMIFS(Dati!$J$2:$J$451,Dati!$H$2:$H$451,$H31,Dati!$A$2:$A$451,$Y31),"-")</f>
        <v/>
      </c>
      <c r="AX31" s="22">
        <f>IF(AND($H31&lt;&gt;"",$Z31&lt;&gt;"",$H31&lt;&gt;$Z31,IFERROR(VLOOKUP($H31,areaCercaPuntiClassificaSquadra,3,FALSE),-1)=IFERROR(VLOOKUP($Z31,areaCercaPuntiClassificaSquadra,3,FALSE),-2)),SUMIFS(Dati!$D$2:$D$451,Dati!$A$2:$A$451,$H31,Dati!$H$2:$H$451,$Z31)+SUMIFS(Dati!$K$2:$K$451,Dati!$H$2:$H$451,$H31,Dati!$A$2:$A$451,$Z31)+SUMIFS(Dati!$C$2:$C$451,Dati!$A$2:$A$451,$H31,Dati!$H$2:$H$451,$Z31)+SUMIFS(Dati!$J$2:$J$451,Dati!$H$2:$H$451,$H31,Dati!$A$2:$A$451,$Z31),"-")</f>
        <v/>
      </c>
      <c r="AY31" s="22">
        <f>IF(AND($H31&lt;&gt;"",$AA31&lt;&gt;"",$H31&lt;&gt;$AA31,IFERROR(VLOOKUP($H31,areaCercaPuntiClassificaSquadra,3,FALSE),-1)=IFERROR(VLOOKUP($AA31,areaCercaPuntiClassificaSquadra,3,FALSE),-2)),SUMIFS(Dati!$D$2:$D$451,Dati!$A$2:$A$451,$H31,Dati!$H$2:$H$451,$AA31)+SUMIFS(Dati!$K$2:$K$451,Dati!$H$2:$H$451,$H31,Dati!$A$2:$A$451,$AA31)+SUMIFS(Dati!$C$2:$C$451,Dati!$A$2:$A$451,$H31,Dati!$H$2:$H$451,$AA31)+SUMIFS(Dati!$J$2:$J$451,Dati!$H$2:$H$451,$H31,Dati!$A$2:$A$451,$AA31),"-")</f>
        <v/>
      </c>
      <c r="AZ31" s="22">
        <f>IF(AND($H31&lt;&gt;"",$AB31&lt;&gt;"",$H31&lt;&gt;$AB31,IFERROR(VLOOKUP($H31,areaCercaPuntiClassificaSquadra,3,FALSE),-1)=IFERROR(VLOOKUP($AB31,areaCercaPuntiClassificaSquadra,3,FALSE),-2)),SUMIFS(Dati!$D$2:$D$451,Dati!$A$2:$A$451,$H31,Dati!$H$2:$H$451,$AB31)+SUMIFS(Dati!$K$2:$K$451,Dati!$H$2:$H$451,$H31,Dati!$A$2:$A$451,$AB31)+SUMIFS(Dati!$C$2:$C$451,Dati!$A$2:$A$451,$H31,Dati!$H$2:$H$451,$AB31)+SUMIFS(Dati!$J$2:$J$451,Dati!$H$2:$H$451,$H31,Dati!$A$2:$A$451,$AB31),"-")</f>
        <v/>
      </c>
      <c r="BA31" s="22">
        <f>IF(AND($H31&lt;&gt;"",$AC31&lt;&gt;"",$H31&lt;&gt;$AC31,IFERROR(VLOOKUP($H31,areaCercaPuntiClassificaSquadra,3,FALSE),-1)=IFERROR(VLOOKUP($AC31,areaCercaPuntiClassificaSquadra,3,FALSE),-2)),SUMIFS(Dati!$D$2:$D$451,Dati!$A$2:$A$451,$H31,Dati!$H$2:$H$451,$AC31)+SUMIFS(Dati!$K$2:$K$451,Dati!$H$2:$H$451,$H31,Dati!$A$2:$A$451,$AC31)+SUMIFS(Dati!$C$2:$C$451,Dati!$A$2:$A$451,$H31,Dati!$H$2:$H$451,$AC31)+SUMIFS(Dati!$J$2:$J$451,Dati!$H$2:$H$451,$H31,Dati!$A$2:$A$451,$AC31),"-")</f>
        <v/>
      </c>
      <c r="BB31" s="22">
        <f>IF(AND($H31&lt;&gt;"",$AD31&lt;&gt;"",$H31&lt;&gt;$AD31,IFERROR(VLOOKUP($H31,areaCercaPuntiClassificaSquadra,3,FALSE),-1)=IFERROR(VLOOKUP($AD31,areaCercaPuntiClassificaSquadra,3,FALSE),-2)),SUMIFS(Dati!$D$2:$D$451,Dati!$A$2:$A$451,$H31,Dati!$H$2:$H$451,$AD31)+SUMIFS(Dati!$K$2:$K$451,Dati!$H$2:$H$451,$H31,Dati!$A$2:$A$451,$AD31)+SUMIFS(Dati!$C$2:$C$451,Dati!$A$2:$A$451,$H31,Dati!$H$2:$H$451,$AD31)+SUMIFS(Dati!$J$2:$J$451,Dati!$H$2:$H$451,$H31,Dati!$A$2:$A$451,$AD31),"-")</f>
        <v/>
      </c>
      <c r="BC31" s="22">
        <f>IF(AND($H31&lt;&gt;"",$AE31&lt;&gt;"",$H31&lt;&gt;$AE31,IFERROR(VLOOKUP($H31,areaCercaPuntiClassificaSquadra,3,FALSE),-1)=IFERROR(VLOOKUP($AE31,areaCercaPuntiClassificaSquadra,3,FALSE),-2)),SUMIFS(Dati!$D$2:$D$451,Dati!$A$2:$A$451,$H31,Dati!$H$2:$H$451,$AE31)+SUMIFS(Dati!$K$2:$K$451,Dati!$H$2:$H$451,$H31,Dati!$A$2:$A$451,$AE31)+SUMIFS(Dati!$C$2:$C$451,Dati!$A$2:$A$451,$H31,Dati!$H$2:$H$451,$AE31)+SUMIFS(Dati!$J$2:$J$451,Dati!$H$2:$H$451,$H31,Dati!$A$2:$A$451,$AE31),"-")</f>
        <v/>
      </c>
      <c r="BD31" s="22">
        <f>IF(AND($H31&lt;&gt;"",$AF31&lt;&gt;"",$H31&lt;&gt;$AF31,IFERROR(VLOOKUP($H31,areaCercaPuntiClassificaSquadra,3,FALSE),-1)=IFERROR(VLOOKUP($AF31,areaCercaPuntiClassificaSquadra,3,FALSE),-2)),SUMIFS(Dati!$D$2:$D$451,Dati!$A$2:$A$451,$H31,Dati!$H$2:$H$451,$AF31)+SUMIFS(Dati!$K$2:$K$451,Dati!$H$2:$H$451,$H31,Dati!$A$2:$A$451,$AF31)+SUMIFS(Dati!$C$2:$C$451,Dati!$A$2:$A$451,$H31,Dati!$H$2:$H$451,$AF31)+SUMIFS(Dati!$J$2:$J$451,Dati!$H$2:$H$451,$H31,Dati!$A$2:$A$451,$AF31),"-")</f>
        <v/>
      </c>
      <c r="BE31" s="22">
        <f>IF(AND($H31&lt;&gt;"",$AG31&lt;&gt;"",$H31&lt;&gt;$AG31,IFERROR(VLOOKUP($H31,areaCercaPuntiClassificaSquadra,3,FALSE),-1)=IFERROR(VLOOKUP($AG31,areaCercaPuntiClassificaSquadra,3,FALSE),-2)),SUMIFS(Dati!$D$2:$D$451,Dati!$A$2:$A$451,$H31,Dati!$H$2:$H$451,$AG31)+SUMIFS(Dati!$K$2:$K$451,Dati!$H$2:$H$451,$H31,Dati!$A$2:$A$451,$AG31)+SUMIFS(Dati!$C$2:$C$451,Dati!$A$2:$A$451,$H31,Dati!$H$2:$H$451,$AG31)+SUMIFS(Dati!$J$2:$J$451,Dati!$H$2:$H$451,$H31,Dati!$A$2:$A$451,$AG31),"-")</f>
        <v/>
      </c>
      <c r="BF31" s="22">
        <f>IF(AND($H31&lt;&gt;"",$AH31&lt;&gt;"",$H31&lt;&gt;$AH31,IFERROR(VLOOKUP($H31,areaCercaPuntiClassificaSquadra,3,FALSE),-1)=IFERROR(VLOOKUP($AH31,areaCercaPuntiClassificaSquadra,3,FALSE),-2)),SUMIFS(Dati!$D$2:$D$451,Dati!$A$2:$A$451,$H31,Dati!$H$2:$H$451,$AH31)+SUMIFS(Dati!$K$2:$K$451,Dati!$H$2:$H$451,$H31,Dati!$A$2:$A$451,$AH31)+SUMIFS(Dati!$C$2:$C$451,Dati!$A$2:$A$451,$H31,Dati!$H$2:$H$451,$AH31)+SUMIFS(Dati!$J$2:$J$451,Dati!$H$2:$H$451,$H31,Dati!$A$2:$A$451,$AH31),"-")</f>
        <v/>
      </c>
      <c r="BH31" s="21">
        <f>$C31</f>
        <v/>
      </c>
      <c r="BI31" s="22">
        <f>IF(AND($H31&lt;&gt;"",$Y31&lt;&gt;"",$H31&lt;&gt;$Y31,IFERROR(VLOOKUP($H31,areaCercaPuntiClassificaSquadra,3,FALSE),-1)=IFERROR(VLOOKUP($Y31,areaCercaPuntiClassificaSquadra,3,FALSE),-2)),SUMIFS(Dati!$E$2:$E$451,Dati!$A$2:$A$451,$H31,Dati!$H$2:$H$451,$Y31)+SUMIFS(Dati!$L$2:$L$451,Dati!$H$2:$H$451,$H31,Dati!$A$2:$A$451,$Y31),"-")</f>
        <v/>
      </c>
      <c r="BJ31" s="22">
        <f>IF(AND($H31&lt;&gt;"",$Z31&lt;&gt;"",$H31&lt;&gt;$Z31,IFERROR(VLOOKUP($H31,areaCercaPuntiClassificaSquadra,3,FALSE),-1)=IFERROR(VLOOKUP($Z31,areaCercaPuntiClassificaSquadra,3,FALSE),-2)),SUMIFS(Dati!$E$2:$E$451,Dati!$A$2:$A$451,$H31,Dati!$H$2:$H$451,$Z31)+SUMIFS(Dati!$L$2:$L$451,Dati!$H$2:$H$451,$H31,Dati!$A$2:$A$451,$Z31),"-")</f>
        <v/>
      </c>
      <c r="BK31" s="22">
        <f>IF(AND($H31&lt;&gt;"",$AA31&lt;&gt;"",$H31&lt;&gt;$AA31,IFERROR(VLOOKUP($H31,areaCercaPuntiClassificaSquadra,3,FALSE),-1)=IFERROR(VLOOKUP($AA31,areaCercaPuntiClassificaSquadra,3,FALSE),-2)),SUMIFS(Dati!$E$2:$E$451,Dati!$A$2:$A$451,$H31,Dati!$H$2:$H$451,$AA31)+SUMIFS(Dati!$L$2:$L$451,Dati!$H$2:$H$451,$H31,Dati!$A$2:$A$451,$AA31),"-")</f>
        <v/>
      </c>
      <c r="BL31" s="22">
        <f>IF(AND($H31&lt;&gt;"",$AB31&lt;&gt;"",$H31&lt;&gt;$AB31,IFERROR(VLOOKUP($H31,areaCercaPuntiClassificaSquadra,3,FALSE),-1)=IFERROR(VLOOKUP($AB31,areaCercaPuntiClassificaSquadra,3,FALSE),-2)),SUMIFS(Dati!$E$2:$E$451,Dati!$A$2:$A$451,$H31,Dati!$H$2:$H$451,$AB31)+SUMIFS(Dati!$L$2:$L$451,Dati!$H$2:$H$451,$H31,Dati!$A$2:$A$451,$AB31),"-")</f>
        <v/>
      </c>
      <c r="BM31" s="22">
        <f>IF(AND($H31&lt;&gt;"",$AC31&lt;&gt;"",$H31&lt;&gt;$AC31,IFERROR(VLOOKUP($H31,areaCercaPuntiClassificaSquadra,3,FALSE),-1)=IFERROR(VLOOKUP($AC31,areaCercaPuntiClassificaSquadra,3,FALSE),-2)),SUMIFS(Dati!$E$2:$E$451,Dati!$A$2:$A$451,$H31,Dati!$H$2:$H$451,$AC31)+SUMIFS(Dati!$L$2:$L$451,Dati!$H$2:$H$451,$H31,Dati!$A$2:$A$451,$AC31),"-")</f>
        <v/>
      </c>
      <c r="BN31" s="22">
        <f>IF(AND($H31&lt;&gt;"",$AD31&lt;&gt;"",$H31&lt;&gt;$AD31,IFERROR(VLOOKUP($H31,areaCercaPuntiClassificaSquadra,3,FALSE),-1)=IFERROR(VLOOKUP($AD31,areaCercaPuntiClassificaSquadra,3,FALSE),-2)),SUMIFS(Dati!$E$2:$E$451,Dati!$A$2:$A$451,$H31,Dati!$H$2:$H$451,$AD31)+SUMIFS(Dati!$L$2:$L$451,Dati!$H$2:$H$451,$H31,Dati!$A$2:$A$451,$AD31),"-")</f>
        <v/>
      </c>
      <c r="BO31" s="22">
        <f>IF(AND($H31&lt;&gt;"",$AE31&lt;&gt;"",$H31&lt;&gt;$AE31,IFERROR(VLOOKUP($H31,areaCercaPuntiClassificaSquadra,3,FALSE),-1)=IFERROR(VLOOKUP($AE31,areaCercaPuntiClassificaSquadra,3,FALSE),-2)),SUMIFS(Dati!$E$2:$E$451,Dati!$A$2:$A$451,$H31,Dati!$H$2:$H$451,$AE31)+SUMIFS(Dati!$L$2:$L$451,Dati!$H$2:$H$451,$H31,Dati!$A$2:$A$451,$AE31),"-")</f>
        <v/>
      </c>
      <c r="BP31" s="22">
        <f>IF(AND($H31&lt;&gt;"",$AF31&lt;&gt;"",$H31&lt;&gt;$AF31,IFERROR(VLOOKUP($H31,areaCercaPuntiClassificaSquadra,3,FALSE),-1)=IFERROR(VLOOKUP($AF31,areaCercaPuntiClassificaSquadra,3,FALSE),-2)),SUMIFS(Dati!$E$2:$E$451,Dati!$A$2:$A$451,$H31,Dati!$H$2:$H$451,$AF31)+SUMIFS(Dati!$L$2:$L$451,Dati!$H$2:$H$451,$H31,Dati!$A$2:$A$451,$AF31),"-")</f>
        <v/>
      </c>
      <c r="BQ31" s="22">
        <f>IF(AND($H31&lt;&gt;"",$AG31&lt;&gt;"",$H31&lt;&gt;$AG31,IFERROR(VLOOKUP($H31,areaCercaPuntiClassificaSquadra,3,FALSE),-1)=IFERROR(VLOOKUP($AG31,areaCercaPuntiClassificaSquadra,3,FALSE),-2)),SUMIFS(Dati!$E$2:$E$451,Dati!$A$2:$A$451,$H31,Dati!$H$2:$H$451,$AG31)+SUMIFS(Dati!$L$2:$L$451,Dati!$H$2:$H$451,$H31,Dati!$A$2:$A$451,$AG31),"-")</f>
        <v/>
      </c>
      <c r="BR31" s="22">
        <f>IF(AND($H31&lt;&gt;"",$AH31&lt;&gt;"",$H31&lt;&gt;$AH31,IFERROR(VLOOKUP($H31,areaCercaPuntiClassificaSquadra,3,FALSE),-1)=IFERROR(VLOOKUP($AH31,areaCercaPuntiClassificaSquadra,3,FALSE),-2)),SUMIFS(Dati!$E$2:$E$451,Dati!$A$2:$A$451,$H31,Dati!$H$2:$H$451,$AH31)+SUMIFS(Dati!$L$2:$L$451,Dati!$H$2:$H$451,$H31,Dati!$A$2:$A$451,$AH31),"-")</f>
        <v/>
      </c>
      <c r="BT31" s="21">
        <f>$C31</f>
        <v/>
      </c>
      <c r="BU31" s="22">
        <f>IF(AND($H31&lt;&gt;"",$Y31&lt;&gt;"",$H31&lt;&gt;$Y31,IFERROR(VLOOKUP($H31,areaCercaPuntiClassificaSquadra,3,FALSE),-1)=IFERROR(VLOOKUP($Y31,areaCercaPuntiClassificaSquadra,3,FALSE),-2)),SUMIFS(Dati!$F$2:$F$451,Dati!$A$2:$A$451,$H31,Dati!$H$2:$H$451,$Y31)+SUMIFS(Dati!$M$2:$M$451,Dati!$H$2:$H$451,$H31,Dati!$A$2:$A$451,$Y31),"-")</f>
        <v/>
      </c>
      <c r="BV31" s="22">
        <f>IF(AND($H31&lt;&gt;"",$Z31&lt;&gt;"",$H31&lt;&gt;$Z31,IFERROR(VLOOKUP($H31,areaCercaPuntiClassificaSquadra,3,FALSE),-1)=IFERROR(VLOOKUP($Z31,areaCercaPuntiClassificaSquadra,3,FALSE),-2)),SUMIFS(Dati!$F$2:$F$451,Dati!$A$2:$A$451,$H31,Dati!$H$2:$H$451,$Z31)+SUMIFS(Dati!$M$2:$M$451,Dati!$H$2:$H$451,$H31,Dati!$A$2:$A$451,$Z31),"-")</f>
        <v/>
      </c>
      <c r="BW31" s="22">
        <f>IF(AND($H31&lt;&gt;"",$AA31&lt;&gt;"",$H31&lt;&gt;$AA31,IFERROR(VLOOKUP($H31,areaCercaPuntiClassificaSquadra,3,FALSE),-1)=IFERROR(VLOOKUP($AA31,areaCercaPuntiClassificaSquadra,3,FALSE),-2)),SUMIFS(Dati!$F$2:$F$451,Dati!$A$2:$A$451,$H31,Dati!$H$2:$H$451,$AA31)+SUMIFS(Dati!$M$2:$M$451,Dati!$H$2:$H$451,$H31,Dati!$A$2:$A$451,$AA31),"-")</f>
        <v/>
      </c>
      <c r="BX31" s="22">
        <f>IF(AND($H31&lt;&gt;"",$AB31&lt;&gt;"",$H31&lt;&gt;$AB31,IFERROR(VLOOKUP($H31,areaCercaPuntiClassificaSquadra,3,FALSE),-1)=IFERROR(VLOOKUP($AB31,areaCercaPuntiClassificaSquadra,3,FALSE),-2)),SUMIFS(Dati!$F$2:$F$451,Dati!$A$2:$A$451,$H31,Dati!$H$2:$H$451,$AB31)+SUMIFS(Dati!$M$2:$M$451,Dati!$H$2:$H$451,$H31,Dati!$A$2:$A$451,$AB31),"-")</f>
        <v/>
      </c>
      <c r="BY31" s="22">
        <f>IF(AND($H31&lt;&gt;"",$AC31&lt;&gt;"",$H31&lt;&gt;$AC31,IFERROR(VLOOKUP($H31,areaCercaPuntiClassificaSquadra,3,FALSE),-1)=IFERROR(VLOOKUP($AC31,areaCercaPuntiClassificaSquadra,3,FALSE),-2)),SUMIFS(Dati!$F$2:$F$451,Dati!$A$2:$A$451,$H31,Dati!$H$2:$H$451,$AC31)+SUMIFS(Dati!$M$2:$M$451,Dati!$H$2:$H$451,$H31,Dati!$A$2:$A$451,$AC31),"-")</f>
        <v/>
      </c>
      <c r="BZ31" s="22">
        <f>IF(AND($H31&lt;&gt;"",$AD31&lt;&gt;"",$H31&lt;&gt;$AD31,IFERROR(VLOOKUP($H31,areaCercaPuntiClassificaSquadra,3,FALSE),-1)=IFERROR(VLOOKUP($AD31,areaCercaPuntiClassificaSquadra,3,FALSE),-2)),SUMIFS(Dati!$F$2:$F$451,Dati!$A$2:$A$451,$H31,Dati!$H$2:$H$451,$AD31)+SUMIFS(Dati!$M$2:$M$451,Dati!$H$2:$H$451,$H31,Dati!$A$2:$A$451,$AD31),"-")</f>
        <v/>
      </c>
      <c r="CA31" s="22">
        <f>IF(AND($H31&lt;&gt;"",$AE31&lt;&gt;"",$H31&lt;&gt;$AE31,IFERROR(VLOOKUP($H31,areaCercaPuntiClassificaSquadra,3,FALSE),-1)=IFERROR(VLOOKUP($AE31,areaCercaPuntiClassificaSquadra,3,FALSE),-2)),SUMIFS(Dati!$F$2:$F$451,Dati!$A$2:$A$451,$H31,Dati!$H$2:$H$451,$AE31)+SUMIFS(Dati!$M$2:$M$451,Dati!$H$2:$H$451,$H31,Dati!$A$2:$A$451,$AE31),"-")</f>
        <v/>
      </c>
      <c r="CB31" s="22">
        <f>IF(AND($H31&lt;&gt;"",$AF31&lt;&gt;"",$H31&lt;&gt;$AF31,IFERROR(VLOOKUP($H31,areaCercaPuntiClassificaSquadra,3,FALSE),-1)=IFERROR(VLOOKUP($AF31,areaCercaPuntiClassificaSquadra,3,FALSE),-2)),SUMIFS(Dati!$F$2:$F$451,Dati!$A$2:$A$451,$H31,Dati!$H$2:$H$451,$AF31)+SUMIFS(Dati!$M$2:$M$451,Dati!$H$2:$H$451,$H31,Dati!$A$2:$A$451,$AF31),"-")</f>
        <v/>
      </c>
      <c r="CC31" s="22">
        <f>IF(AND($H31&lt;&gt;"",$AG31&lt;&gt;"",$H31&lt;&gt;$AG31,IFERROR(VLOOKUP($H31,areaCercaPuntiClassificaSquadra,3,FALSE),-1)=IFERROR(VLOOKUP($AG31,areaCercaPuntiClassificaSquadra,3,FALSE),-2)),SUMIFS(Dati!$F$2:$F$451,Dati!$A$2:$A$451,$H31,Dati!$H$2:$H$451,$AG31)+SUMIFS(Dati!$M$2:$M$451,Dati!$H$2:$H$451,$H31,Dati!$A$2:$A$451,$AG31),"-")</f>
        <v/>
      </c>
      <c r="CD31" s="22">
        <f>IF(AND($H31&lt;&gt;"",$AH31&lt;&gt;"",$H31&lt;&gt;$AH31,IFERROR(VLOOKUP($H31,areaCercaPuntiClassificaSquadra,3,FALSE),-1)=IFERROR(VLOOKUP($AH31,areaCercaPuntiClassificaSquadra,3,FALSE),-2)),SUMIFS(Dati!$F$2:$F$451,Dati!$A$2:$A$451,$H31,Dati!$H$2:$H$451,$AH31)+SUMIFS(Dati!$M$2:$M$451,Dati!$H$2:$H$451,$H31,Dati!$A$2:$A$451,$AH31),"-")</f>
        <v/>
      </c>
      <c r="CF31" s="22">
        <f>IF($C31="","",SUM(AK31:AT31))</f>
        <v/>
      </c>
    </row>
    <row r="32">
      <c r="B32" s="12" t="inlineStr">
        <is>
          <t>B09</t>
        </is>
      </c>
      <c r="C32" s="13" t="n"/>
      <c r="D32" s="14" t="n"/>
      <c r="E32" s="23" t="inlineStr">
        <is>
          <t>B</t>
        </is>
      </c>
      <c r="G32" s="24">
        <f>IF($C32="","",$E32&amp;(COUNTIFS(I$14:I$113,"&gt;"&amp;I32,E$14:E$113,"="&amp;E32,C$14:C$113,"&lt;&gt;")+COUNTIFS(I$14:I$113,"="&amp;I32,H$14:H$113,"&lt;="&amp;H32,E$14:E$113,"="&amp;E32,C$14:C$113,"&lt;&gt;")))</f>
        <v/>
      </c>
      <c r="H32" s="17">
        <f>IF($C32="","",IFERROR(LEFT($C32,FIND("-",$C32)-1),$C32))</f>
        <v/>
      </c>
      <c r="I32" s="12">
        <f>TEXT(1000000000+J32,"|0000000000|")&amp;TEXT(SUM(AK32:AT32),"0000000000|")&amp;IF(SUM(BU32:CD32)=0,"0000000000|",TEXT(ROUND(SUM(BI32:BR32)/SUM(BU32:CD32),4)*100000,"0000000000|"))&amp;IF(P32=0,"0000000000|",TEXT(ROUND(O32/P32,4)*100000,"0000000000|"))</f>
        <v/>
      </c>
      <c r="J32" s="24">
        <f>L32*constPuntiVittoria+M32*constPuntiSconfitta+N32*constPuntiForfait+IF(D32="",0,D32)</f>
        <v/>
      </c>
      <c r="K32" s="12">
        <f>SUM(L32:N32)</f>
        <v/>
      </c>
      <c r="L32" s="12">
        <f>IF($H32="",0,SUMIF(Dati!$A$2:$A$451,$H32,Dati!$B$2:$B$451)+SUMIF(Dati!$H$2:$H$451,$H32,Dati!$I$2:$I$451))</f>
        <v/>
      </c>
      <c r="M32" s="12">
        <f>IF($H32="",0,SUMIF(Dati!$A$2:$A$451,$H32,Dati!$D$2:$D$451)+SUMIF(Dati!$H$2:$H$451,$H32,Dati!$K$2:$K$451))</f>
        <v/>
      </c>
      <c r="N32" s="12">
        <f>IF($H32="",0,SUMIF(Dati!$A$2:$A$451,$H32,Dati!$C$2:$C$451)+SUMIF(Dati!$H$2:$H$451,$H32,Dati!$J$2:$J$451))</f>
        <v/>
      </c>
      <c r="O32" s="12">
        <f>IF($H32="",0,SUMIF(Dati!$A$2:$A$451,$H32,Dati!$E$2:$E$451)+SUMIF(Dati!$H$2:$H$451,$H32,Dati!$L$2:$L$451))</f>
        <v/>
      </c>
      <c r="P32" s="12">
        <f>IF($H32="",0,SUMIF(Dati!$A$2:$A$451,$H32,Dati!$F$2:$F$451)+SUMIF(Dati!$H$2:$H$451,$H32,Dati!$M$2:$M$451))</f>
        <v/>
      </c>
      <c r="Q32" s="12">
        <f>IF($H32="",0,SUMIF(Dati!$A$2:$A$451,$H32,Dati!$G$2:$G$451)+SUMIF(Dati!$H$2:$H$451,$H32,Dati!$N$2:$N$451))</f>
        <v/>
      </c>
      <c r="R32" s="12">
        <f>IF(K32=0,0,ROUND(O32/K32,2))</f>
        <v/>
      </c>
      <c r="S32" s="12">
        <f>IF(K32=0,0,ROUND(P32/K32,2))</f>
        <v/>
      </c>
      <c r="T32" s="12">
        <f>IF(K32=0,0,ROUND(Q32/K32,2))</f>
        <v/>
      </c>
      <c r="U32" s="12">
        <f>IF(COUNTIFS($E$14:$E$113,$E32,$J$14:$J$113,$J32,$C$14:$C$113,"&lt;&gt;")&lt;=1,"-",SUM(AK32:AT32)&amp;"-"&amp;SUM(AW32:BF32))</f>
        <v/>
      </c>
      <c r="V32" s="18">
        <f>IF(COUNTIFS($E$14:$E$113,$E32,$J$14:$J$113,$J32,$C$14:$C$113,"&lt;&gt;",$CF$14:$CF$113,$CF32)&lt;=1,"-",IF(SUM(BU32:CD32)=0,0,ROUND(SUM(BI32:BR32)/SUM(BU32:CD32),3)))</f>
        <v/>
      </c>
      <c r="W32" s="18">
        <f>IF(COUNTIFS($E$14:$E$113,$E32,$J$14:$J$113,$J32,$C$14:$C$113,"&lt;&gt;",$CF$14:$CF$113,$CF32,$V$14:$V$113,$V32)&lt;=1,"-",IF(P32=0,0,ROUND(O32/P32,3)))</f>
        <v/>
      </c>
      <c r="X32" s="19">
        <f>IF($C32="","",$E32&amp;"#"&amp;COUNTIFS($E$14:$E32,$E32,$C$14:$C32,"&lt;&gt;"))</f>
        <v/>
      </c>
      <c r="Y32" s="20">
        <f>IFERROR(INDEX($H$14:$H$113,MATCH($E32&amp;"#1",$X$14:$X$113,0)),"")</f>
        <v/>
      </c>
      <c r="Z32" s="20">
        <f>IFERROR(INDEX($H$14:$H$113,MATCH($E32&amp;"#2",$X$14:$X$113,0)),"")</f>
        <v/>
      </c>
      <c r="AA32" s="20">
        <f>IFERROR(INDEX($H$14:$H$113,MATCH($E32&amp;"#3",$X$14:$X$113,0)),"")</f>
        <v/>
      </c>
      <c r="AB32" s="20">
        <f>IFERROR(INDEX($H$14:$H$113,MATCH($E32&amp;"#4",$X$14:$X$113,0)),"")</f>
        <v/>
      </c>
      <c r="AC32" s="20">
        <f>IFERROR(INDEX($H$14:$H$113,MATCH($E32&amp;"#5",$X$14:$X$113,0)),"")</f>
        <v/>
      </c>
      <c r="AD32" s="20">
        <f>IFERROR(INDEX($H$14:$H$113,MATCH($E32&amp;"#6",$X$14:$X$113,0)),"")</f>
        <v/>
      </c>
      <c r="AE32" s="20">
        <f>IFERROR(INDEX($H$14:$H$113,MATCH($E32&amp;"#7",$X$14:$X$113,0)),"")</f>
        <v/>
      </c>
      <c r="AF32" s="20">
        <f>IFERROR(INDEX($H$14:$H$113,MATCH($E32&amp;"#8",$X$14:$X$113,0)),"")</f>
        <v/>
      </c>
      <c r="AG32" s="20">
        <f>IFERROR(INDEX($H$14:$H$113,MATCH($E32&amp;"#9",$X$14:$X$113,0)),"")</f>
        <v/>
      </c>
      <c r="AH32" s="20">
        <f>IFERROR(INDEX($H$14:$H$113,MATCH($E32&amp;"#10",$X$14:$X$113,0)),"")</f>
        <v/>
      </c>
      <c r="AJ32" s="21">
        <f>$C32</f>
        <v/>
      </c>
      <c r="AK32" s="22">
        <f>IF(AND($H32&lt;&gt;"",$Y32&lt;&gt;"",$H32&lt;&gt;$Y32,IFERROR(VLOOKUP($H32,areaCercaPuntiClassificaSquadra,3,FALSE),-1)=IFERROR(VLOOKUP($Y32,areaCercaPuntiClassificaSquadra,3,FALSE),-2)),SUMIFS(Dati!$B$2:$B$451,Dati!$A$2:$A$451,$H32,Dati!$H$2:$H$451,$Y32)+SUMIFS(Dati!$I$2:$I$451,Dati!$H$2:$H$451,$H32,Dati!$A$2:$A$451,$Y32),"-")</f>
        <v/>
      </c>
      <c r="AL32" s="22">
        <f>IF(AND($H32&lt;&gt;"",$Z32&lt;&gt;"",$H32&lt;&gt;$Z32,IFERROR(VLOOKUP($H32,areaCercaPuntiClassificaSquadra,3,FALSE),-1)=IFERROR(VLOOKUP($Z32,areaCercaPuntiClassificaSquadra,3,FALSE),-2)),SUMIFS(Dati!$B$2:$B$451,Dati!$A$2:$A$451,$H32,Dati!$H$2:$H$451,$Z32)+SUMIFS(Dati!$I$2:$I$451,Dati!$H$2:$H$451,$H32,Dati!$A$2:$A$451,$Z32),"-")</f>
        <v/>
      </c>
      <c r="AM32" s="22">
        <f>IF(AND($H32&lt;&gt;"",$AA32&lt;&gt;"",$H32&lt;&gt;$AA32,IFERROR(VLOOKUP($H32,areaCercaPuntiClassificaSquadra,3,FALSE),-1)=IFERROR(VLOOKUP($AA32,areaCercaPuntiClassificaSquadra,3,FALSE),-2)),SUMIFS(Dati!$B$2:$B$451,Dati!$A$2:$A$451,$H32,Dati!$H$2:$H$451,$AA32)+SUMIFS(Dati!$I$2:$I$451,Dati!$H$2:$H$451,$H32,Dati!$A$2:$A$451,$AA32),"-")</f>
        <v/>
      </c>
      <c r="AN32" s="22">
        <f>IF(AND($H32&lt;&gt;"",$AB32&lt;&gt;"",$H32&lt;&gt;$AB32,IFERROR(VLOOKUP($H32,areaCercaPuntiClassificaSquadra,3,FALSE),-1)=IFERROR(VLOOKUP($AB32,areaCercaPuntiClassificaSquadra,3,FALSE),-2)),SUMIFS(Dati!$B$2:$B$451,Dati!$A$2:$A$451,$H32,Dati!$H$2:$H$451,$AB32)+SUMIFS(Dati!$I$2:$I$451,Dati!$H$2:$H$451,$H32,Dati!$A$2:$A$451,$AB32),"-")</f>
        <v/>
      </c>
      <c r="AO32" s="22">
        <f>IF(AND($H32&lt;&gt;"",$AC32&lt;&gt;"",$H32&lt;&gt;$AC32,IFERROR(VLOOKUP($H32,areaCercaPuntiClassificaSquadra,3,FALSE),-1)=IFERROR(VLOOKUP($AC32,areaCercaPuntiClassificaSquadra,3,FALSE),-2)),SUMIFS(Dati!$B$2:$B$451,Dati!$A$2:$A$451,$H32,Dati!$H$2:$H$451,$AC32)+SUMIFS(Dati!$I$2:$I$451,Dati!$H$2:$H$451,$H32,Dati!$A$2:$A$451,$AC32),"-")</f>
        <v/>
      </c>
      <c r="AP32" s="22">
        <f>IF(AND($H32&lt;&gt;"",$AD32&lt;&gt;"",$H32&lt;&gt;$AD32,IFERROR(VLOOKUP($H32,areaCercaPuntiClassificaSquadra,3,FALSE),-1)=IFERROR(VLOOKUP($AD32,areaCercaPuntiClassificaSquadra,3,FALSE),-2)),SUMIFS(Dati!$B$2:$B$451,Dati!$A$2:$A$451,$H32,Dati!$H$2:$H$451,$AD32)+SUMIFS(Dati!$I$2:$I$451,Dati!$H$2:$H$451,$H32,Dati!$A$2:$A$451,$AD32),"-")</f>
        <v/>
      </c>
      <c r="AQ32" s="22">
        <f>IF(AND($H32&lt;&gt;"",$AE32&lt;&gt;"",$H32&lt;&gt;$AE32,IFERROR(VLOOKUP($H32,areaCercaPuntiClassificaSquadra,3,FALSE),-1)=IFERROR(VLOOKUP($AE32,areaCercaPuntiClassificaSquadra,3,FALSE),-2)),SUMIFS(Dati!$B$2:$B$451,Dati!$A$2:$A$451,$H32,Dati!$H$2:$H$451,$AE32)+SUMIFS(Dati!$I$2:$I$451,Dati!$H$2:$H$451,$H32,Dati!$A$2:$A$451,$AE32),"-")</f>
        <v/>
      </c>
      <c r="AR32" s="22">
        <f>IF(AND($H32&lt;&gt;"",$AF32&lt;&gt;"",$H32&lt;&gt;$AF32,IFERROR(VLOOKUP($H32,areaCercaPuntiClassificaSquadra,3,FALSE),-1)=IFERROR(VLOOKUP($AF32,areaCercaPuntiClassificaSquadra,3,FALSE),-2)),SUMIFS(Dati!$B$2:$B$451,Dati!$A$2:$A$451,$H32,Dati!$H$2:$H$451,$AF32)+SUMIFS(Dati!$I$2:$I$451,Dati!$H$2:$H$451,$H32,Dati!$A$2:$A$451,$AF32),"-")</f>
        <v/>
      </c>
      <c r="AS32" s="22">
        <f>IF(AND($H32&lt;&gt;"",$AG32&lt;&gt;"",$H32&lt;&gt;$AG32,IFERROR(VLOOKUP($H32,areaCercaPuntiClassificaSquadra,3,FALSE),-1)=IFERROR(VLOOKUP($AG32,areaCercaPuntiClassificaSquadra,3,FALSE),-2)),SUMIFS(Dati!$B$2:$B$451,Dati!$A$2:$A$451,$H32,Dati!$H$2:$H$451,$AG32)+SUMIFS(Dati!$I$2:$I$451,Dati!$H$2:$H$451,$H32,Dati!$A$2:$A$451,$AG32),"-")</f>
        <v/>
      </c>
      <c r="AT32" s="22">
        <f>IF(AND($H32&lt;&gt;"",$AH32&lt;&gt;"",$H32&lt;&gt;$AH32,IFERROR(VLOOKUP($H32,areaCercaPuntiClassificaSquadra,3,FALSE),-1)=IFERROR(VLOOKUP($AH32,areaCercaPuntiClassificaSquadra,3,FALSE),-2)),SUMIFS(Dati!$B$2:$B$451,Dati!$A$2:$A$451,$H32,Dati!$H$2:$H$451,$AH32)+SUMIFS(Dati!$I$2:$I$451,Dati!$H$2:$H$451,$H32,Dati!$A$2:$A$451,$AH32),"-")</f>
        <v/>
      </c>
      <c r="AV32" s="21">
        <f>$C32</f>
        <v/>
      </c>
      <c r="AW32" s="22">
        <f>IF(AND($H32&lt;&gt;"",$Y32&lt;&gt;"",$H32&lt;&gt;$Y32,IFERROR(VLOOKUP($H32,areaCercaPuntiClassificaSquadra,3,FALSE),-1)=IFERROR(VLOOKUP($Y32,areaCercaPuntiClassificaSquadra,3,FALSE),-2)),SUMIFS(Dati!$D$2:$D$451,Dati!$A$2:$A$451,$H32,Dati!$H$2:$H$451,$Y32)+SUMIFS(Dati!$K$2:$K$451,Dati!$H$2:$H$451,$H32,Dati!$A$2:$A$451,$Y32)+SUMIFS(Dati!$C$2:$C$451,Dati!$A$2:$A$451,$H32,Dati!$H$2:$H$451,$Y32)+SUMIFS(Dati!$J$2:$J$451,Dati!$H$2:$H$451,$H32,Dati!$A$2:$A$451,$Y32),"-")</f>
        <v/>
      </c>
      <c r="AX32" s="22">
        <f>IF(AND($H32&lt;&gt;"",$Z32&lt;&gt;"",$H32&lt;&gt;$Z32,IFERROR(VLOOKUP($H32,areaCercaPuntiClassificaSquadra,3,FALSE),-1)=IFERROR(VLOOKUP($Z32,areaCercaPuntiClassificaSquadra,3,FALSE),-2)),SUMIFS(Dati!$D$2:$D$451,Dati!$A$2:$A$451,$H32,Dati!$H$2:$H$451,$Z32)+SUMIFS(Dati!$K$2:$K$451,Dati!$H$2:$H$451,$H32,Dati!$A$2:$A$451,$Z32)+SUMIFS(Dati!$C$2:$C$451,Dati!$A$2:$A$451,$H32,Dati!$H$2:$H$451,$Z32)+SUMIFS(Dati!$J$2:$J$451,Dati!$H$2:$H$451,$H32,Dati!$A$2:$A$451,$Z32),"-")</f>
        <v/>
      </c>
      <c r="AY32" s="22">
        <f>IF(AND($H32&lt;&gt;"",$AA32&lt;&gt;"",$H32&lt;&gt;$AA32,IFERROR(VLOOKUP($H32,areaCercaPuntiClassificaSquadra,3,FALSE),-1)=IFERROR(VLOOKUP($AA32,areaCercaPuntiClassificaSquadra,3,FALSE),-2)),SUMIFS(Dati!$D$2:$D$451,Dati!$A$2:$A$451,$H32,Dati!$H$2:$H$451,$AA32)+SUMIFS(Dati!$K$2:$K$451,Dati!$H$2:$H$451,$H32,Dati!$A$2:$A$451,$AA32)+SUMIFS(Dati!$C$2:$C$451,Dati!$A$2:$A$451,$H32,Dati!$H$2:$H$451,$AA32)+SUMIFS(Dati!$J$2:$J$451,Dati!$H$2:$H$451,$H32,Dati!$A$2:$A$451,$AA32),"-")</f>
        <v/>
      </c>
      <c r="AZ32" s="22">
        <f>IF(AND($H32&lt;&gt;"",$AB32&lt;&gt;"",$H32&lt;&gt;$AB32,IFERROR(VLOOKUP($H32,areaCercaPuntiClassificaSquadra,3,FALSE),-1)=IFERROR(VLOOKUP($AB32,areaCercaPuntiClassificaSquadra,3,FALSE),-2)),SUMIFS(Dati!$D$2:$D$451,Dati!$A$2:$A$451,$H32,Dati!$H$2:$H$451,$AB32)+SUMIFS(Dati!$K$2:$K$451,Dati!$H$2:$H$451,$H32,Dati!$A$2:$A$451,$AB32)+SUMIFS(Dati!$C$2:$C$451,Dati!$A$2:$A$451,$H32,Dati!$H$2:$H$451,$AB32)+SUMIFS(Dati!$J$2:$J$451,Dati!$H$2:$H$451,$H32,Dati!$A$2:$A$451,$AB32),"-")</f>
        <v/>
      </c>
      <c r="BA32" s="22">
        <f>IF(AND($H32&lt;&gt;"",$AC32&lt;&gt;"",$H32&lt;&gt;$AC32,IFERROR(VLOOKUP($H32,areaCercaPuntiClassificaSquadra,3,FALSE),-1)=IFERROR(VLOOKUP($AC32,areaCercaPuntiClassificaSquadra,3,FALSE),-2)),SUMIFS(Dati!$D$2:$D$451,Dati!$A$2:$A$451,$H32,Dati!$H$2:$H$451,$AC32)+SUMIFS(Dati!$K$2:$K$451,Dati!$H$2:$H$451,$H32,Dati!$A$2:$A$451,$AC32)+SUMIFS(Dati!$C$2:$C$451,Dati!$A$2:$A$451,$H32,Dati!$H$2:$H$451,$AC32)+SUMIFS(Dati!$J$2:$J$451,Dati!$H$2:$H$451,$H32,Dati!$A$2:$A$451,$AC32),"-")</f>
        <v/>
      </c>
      <c r="BB32" s="22">
        <f>IF(AND($H32&lt;&gt;"",$AD32&lt;&gt;"",$H32&lt;&gt;$AD32,IFERROR(VLOOKUP($H32,areaCercaPuntiClassificaSquadra,3,FALSE),-1)=IFERROR(VLOOKUP($AD32,areaCercaPuntiClassificaSquadra,3,FALSE),-2)),SUMIFS(Dati!$D$2:$D$451,Dati!$A$2:$A$451,$H32,Dati!$H$2:$H$451,$AD32)+SUMIFS(Dati!$K$2:$K$451,Dati!$H$2:$H$451,$H32,Dati!$A$2:$A$451,$AD32)+SUMIFS(Dati!$C$2:$C$451,Dati!$A$2:$A$451,$H32,Dati!$H$2:$H$451,$AD32)+SUMIFS(Dati!$J$2:$J$451,Dati!$H$2:$H$451,$H32,Dati!$A$2:$A$451,$AD32),"-")</f>
        <v/>
      </c>
      <c r="BC32" s="22">
        <f>IF(AND($H32&lt;&gt;"",$AE32&lt;&gt;"",$H32&lt;&gt;$AE32,IFERROR(VLOOKUP($H32,areaCercaPuntiClassificaSquadra,3,FALSE),-1)=IFERROR(VLOOKUP($AE32,areaCercaPuntiClassificaSquadra,3,FALSE),-2)),SUMIFS(Dati!$D$2:$D$451,Dati!$A$2:$A$451,$H32,Dati!$H$2:$H$451,$AE32)+SUMIFS(Dati!$K$2:$K$451,Dati!$H$2:$H$451,$H32,Dati!$A$2:$A$451,$AE32)+SUMIFS(Dati!$C$2:$C$451,Dati!$A$2:$A$451,$H32,Dati!$H$2:$H$451,$AE32)+SUMIFS(Dati!$J$2:$J$451,Dati!$H$2:$H$451,$H32,Dati!$A$2:$A$451,$AE32),"-")</f>
        <v/>
      </c>
      <c r="BD32" s="22">
        <f>IF(AND($H32&lt;&gt;"",$AF32&lt;&gt;"",$H32&lt;&gt;$AF32,IFERROR(VLOOKUP($H32,areaCercaPuntiClassificaSquadra,3,FALSE),-1)=IFERROR(VLOOKUP($AF32,areaCercaPuntiClassificaSquadra,3,FALSE),-2)),SUMIFS(Dati!$D$2:$D$451,Dati!$A$2:$A$451,$H32,Dati!$H$2:$H$451,$AF32)+SUMIFS(Dati!$K$2:$K$451,Dati!$H$2:$H$451,$H32,Dati!$A$2:$A$451,$AF32)+SUMIFS(Dati!$C$2:$C$451,Dati!$A$2:$A$451,$H32,Dati!$H$2:$H$451,$AF32)+SUMIFS(Dati!$J$2:$J$451,Dati!$H$2:$H$451,$H32,Dati!$A$2:$A$451,$AF32),"-")</f>
        <v/>
      </c>
      <c r="BE32" s="22">
        <f>IF(AND($H32&lt;&gt;"",$AG32&lt;&gt;"",$H32&lt;&gt;$AG32,IFERROR(VLOOKUP($H32,areaCercaPuntiClassificaSquadra,3,FALSE),-1)=IFERROR(VLOOKUP($AG32,areaCercaPuntiClassificaSquadra,3,FALSE),-2)),SUMIFS(Dati!$D$2:$D$451,Dati!$A$2:$A$451,$H32,Dati!$H$2:$H$451,$AG32)+SUMIFS(Dati!$K$2:$K$451,Dati!$H$2:$H$451,$H32,Dati!$A$2:$A$451,$AG32)+SUMIFS(Dati!$C$2:$C$451,Dati!$A$2:$A$451,$H32,Dati!$H$2:$H$451,$AG32)+SUMIFS(Dati!$J$2:$J$451,Dati!$H$2:$H$451,$H32,Dati!$A$2:$A$451,$AG32),"-")</f>
        <v/>
      </c>
      <c r="BF32" s="22">
        <f>IF(AND($H32&lt;&gt;"",$AH32&lt;&gt;"",$H32&lt;&gt;$AH32,IFERROR(VLOOKUP($H32,areaCercaPuntiClassificaSquadra,3,FALSE),-1)=IFERROR(VLOOKUP($AH32,areaCercaPuntiClassificaSquadra,3,FALSE),-2)),SUMIFS(Dati!$D$2:$D$451,Dati!$A$2:$A$451,$H32,Dati!$H$2:$H$451,$AH32)+SUMIFS(Dati!$K$2:$K$451,Dati!$H$2:$H$451,$H32,Dati!$A$2:$A$451,$AH32)+SUMIFS(Dati!$C$2:$C$451,Dati!$A$2:$A$451,$H32,Dati!$H$2:$H$451,$AH32)+SUMIFS(Dati!$J$2:$J$451,Dati!$H$2:$H$451,$H32,Dati!$A$2:$A$451,$AH32),"-")</f>
        <v/>
      </c>
      <c r="BH32" s="21">
        <f>$C32</f>
        <v/>
      </c>
      <c r="BI32" s="22">
        <f>IF(AND($H32&lt;&gt;"",$Y32&lt;&gt;"",$H32&lt;&gt;$Y32,IFERROR(VLOOKUP($H32,areaCercaPuntiClassificaSquadra,3,FALSE),-1)=IFERROR(VLOOKUP($Y32,areaCercaPuntiClassificaSquadra,3,FALSE),-2)),SUMIFS(Dati!$E$2:$E$451,Dati!$A$2:$A$451,$H32,Dati!$H$2:$H$451,$Y32)+SUMIFS(Dati!$L$2:$L$451,Dati!$H$2:$H$451,$H32,Dati!$A$2:$A$451,$Y32),"-")</f>
        <v/>
      </c>
      <c r="BJ32" s="22">
        <f>IF(AND($H32&lt;&gt;"",$Z32&lt;&gt;"",$H32&lt;&gt;$Z32,IFERROR(VLOOKUP($H32,areaCercaPuntiClassificaSquadra,3,FALSE),-1)=IFERROR(VLOOKUP($Z32,areaCercaPuntiClassificaSquadra,3,FALSE),-2)),SUMIFS(Dati!$E$2:$E$451,Dati!$A$2:$A$451,$H32,Dati!$H$2:$H$451,$Z32)+SUMIFS(Dati!$L$2:$L$451,Dati!$H$2:$H$451,$H32,Dati!$A$2:$A$451,$Z32),"-")</f>
        <v/>
      </c>
      <c r="BK32" s="22">
        <f>IF(AND($H32&lt;&gt;"",$AA32&lt;&gt;"",$H32&lt;&gt;$AA32,IFERROR(VLOOKUP($H32,areaCercaPuntiClassificaSquadra,3,FALSE),-1)=IFERROR(VLOOKUP($AA32,areaCercaPuntiClassificaSquadra,3,FALSE),-2)),SUMIFS(Dati!$E$2:$E$451,Dati!$A$2:$A$451,$H32,Dati!$H$2:$H$451,$AA32)+SUMIFS(Dati!$L$2:$L$451,Dati!$H$2:$H$451,$H32,Dati!$A$2:$A$451,$AA32),"-")</f>
        <v/>
      </c>
      <c r="BL32" s="22">
        <f>IF(AND($H32&lt;&gt;"",$AB32&lt;&gt;"",$H32&lt;&gt;$AB32,IFERROR(VLOOKUP($H32,areaCercaPuntiClassificaSquadra,3,FALSE),-1)=IFERROR(VLOOKUP($AB32,areaCercaPuntiClassificaSquadra,3,FALSE),-2)),SUMIFS(Dati!$E$2:$E$451,Dati!$A$2:$A$451,$H32,Dati!$H$2:$H$451,$AB32)+SUMIFS(Dati!$L$2:$L$451,Dati!$H$2:$H$451,$H32,Dati!$A$2:$A$451,$AB32),"-")</f>
        <v/>
      </c>
      <c r="BM32" s="22">
        <f>IF(AND($H32&lt;&gt;"",$AC32&lt;&gt;"",$H32&lt;&gt;$AC32,IFERROR(VLOOKUP($H32,areaCercaPuntiClassificaSquadra,3,FALSE),-1)=IFERROR(VLOOKUP($AC32,areaCercaPuntiClassificaSquadra,3,FALSE),-2)),SUMIFS(Dati!$E$2:$E$451,Dati!$A$2:$A$451,$H32,Dati!$H$2:$H$451,$AC32)+SUMIFS(Dati!$L$2:$L$451,Dati!$H$2:$H$451,$H32,Dati!$A$2:$A$451,$AC32),"-")</f>
        <v/>
      </c>
      <c r="BN32" s="22">
        <f>IF(AND($H32&lt;&gt;"",$AD32&lt;&gt;"",$H32&lt;&gt;$AD32,IFERROR(VLOOKUP($H32,areaCercaPuntiClassificaSquadra,3,FALSE),-1)=IFERROR(VLOOKUP($AD32,areaCercaPuntiClassificaSquadra,3,FALSE),-2)),SUMIFS(Dati!$E$2:$E$451,Dati!$A$2:$A$451,$H32,Dati!$H$2:$H$451,$AD32)+SUMIFS(Dati!$L$2:$L$451,Dati!$H$2:$H$451,$H32,Dati!$A$2:$A$451,$AD32),"-")</f>
        <v/>
      </c>
      <c r="BO32" s="22">
        <f>IF(AND($H32&lt;&gt;"",$AE32&lt;&gt;"",$H32&lt;&gt;$AE32,IFERROR(VLOOKUP($H32,areaCercaPuntiClassificaSquadra,3,FALSE),-1)=IFERROR(VLOOKUP($AE32,areaCercaPuntiClassificaSquadra,3,FALSE),-2)),SUMIFS(Dati!$E$2:$E$451,Dati!$A$2:$A$451,$H32,Dati!$H$2:$H$451,$AE32)+SUMIFS(Dati!$L$2:$L$451,Dati!$H$2:$H$451,$H32,Dati!$A$2:$A$451,$AE32),"-")</f>
        <v/>
      </c>
      <c r="BP32" s="22">
        <f>IF(AND($H32&lt;&gt;"",$AF32&lt;&gt;"",$H32&lt;&gt;$AF32,IFERROR(VLOOKUP($H32,areaCercaPuntiClassificaSquadra,3,FALSE),-1)=IFERROR(VLOOKUP($AF32,areaCercaPuntiClassificaSquadra,3,FALSE),-2)),SUMIFS(Dati!$E$2:$E$451,Dati!$A$2:$A$451,$H32,Dati!$H$2:$H$451,$AF32)+SUMIFS(Dati!$L$2:$L$451,Dati!$H$2:$H$451,$H32,Dati!$A$2:$A$451,$AF32),"-")</f>
        <v/>
      </c>
      <c r="BQ32" s="22">
        <f>IF(AND($H32&lt;&gt;"",$AG32&lt;&gt;"",$H32&lt;&gt;$AG32,IFERROR(VLOOKUP($H32,areaCercaPuntiClassificaSquadra,3,FALSE),-1)=IFERROR(VLOOKUP($AG32,areaCercaPuntiClassificaSquadra,3,FALSE),-2)),SUMIFS(Dati!$E$2:$E$451,Dati!$A$2:$A$451,$H32,Dati!$H$2:$H$451,$AG32)+SUMIFS(Dati!$L$2:$L$451,Dati!$H$2:$H$451,$H32,Dati!$A$2:$A$451,$AG32),"-")</f>
        <v/>
      </c>
      <c r="BR32" s="22">
        <f>IF(AND($H32&lt;&gt;"",$AH32&lt;&gt;"",$H32&lt;&gt;$AH32,IFERROR(VLOOKUP($H32,areaCercaPuntiClassificaSquadra,3,FALSE),-1)=IFERROR(VLOOKUP($AH32,areaCercaPuntiClassificaSquadra,3,FALSE),-2)),SUMIFS(Dati!$E$2:$E$451,Dati!$A$2:$A$451,$H32,Dati!$H$2:$H$451,$AH32)+SUMIFS(Dati!$L$2:$L$451,Dati!$H$2:$H$451,$H32,Dati!$A$2:$A$451,$AH32),"-")</f>
        <v/>
      </c>
      <c r="BT32" s="21">
        <f>$C32</f>
        <v/>
      </c>
      <c r="BU32" s="22">
        <f>IF(AND($H32&lt;&gt;"",$Y32&lt;&gt;"",$H32&lt;&gt;$Y32,IFERROR(VLOOKUP($H32,areaCercaPuntiClassificaSquadra,3,FALSE),-1)=IFERROR(VLOOKUP($Y32,areaCercaPuntiClassificaSquadra,3,FALSE),-2)),SUMIFS(Dati!$F$2:$F$451,Dati!$A$2:$A$451,$H32,Dati!$H$2:$H$451,$Y32)+SUMIFS(Dati!$M$2:$M$451,Dati!$H$2:$H$451,$H32,Dati!$A$2:$A$451,$Y32),"-")</f>
        <v/>
      </c>
      <c r="BV32" s="22">
        <f>IF(AND($H32&lt;&gt;"",$Z32&lt;&gt;"",$H32&lt;&gt;$Z32,IFERROR(VLOOKUP($H32,areaCercaPuntiClassificaSquadra,3,FALSE),-1)=IFERROR(VLOOKUP($Z32,areaCercaPuntiClassificaSquadra,3,FALSE),-2)),SUMIFS(Dati!$F$2:$F$451,Dati!$A$2:$A$451,$H32,Dati!$H$2:$H$451,$Z32)+SUMIFS(Dati!$M$2:$M$451,Dati!$H$2:$H$451,$H32,Dati!$A$2:$A$451,$Z32),"-")</f>
        <v/>
      </c>
      <c r="BW32" s="22">
        <f>IF(AND($H32&lt;&gt;"",$AA32&lt;&gt;"",$H32&lt;&gt;$AA32,IFERROR(VLOOKUP($H32,areaCercaPuntiClassificaSquadra,3,FALSE),-1)=IFERROR(VLOOKUP($AA32,areaCercaPuntiClassificaSquadra,3,FALSE),-2)),SUMIFS(Dati!$F$2:$F$451,Dati!$A$2:$A$451,$H32,Dati!$H$2:$H$451,$AA32)+SUMIFS(Dati!$M$2:$M$451,Dati!$H$2:$H$451,$H32,Dati!$A$2:$A$451,$AA32),"-")</f>
        <v/>
      </c>
      <c r="BX32" s="22">
        <f>IF(AND($H32&lt;&gt;"",$AB32&lt;&gt;"",$H32&lt;&gt;$AB32,IFERROR(VLOOKUP($H32,areaCercaPuntiClassificaSquadra,3,FALSE),-1)=IFERROR(VLOOKUP($AB32,areaCercaPuntiClassificaSquadra,3,FALSE),-2)),SUMIFS(Dati!$F$2:$F$451,Dati!$A$2:$A$451,$H32,Dati!$H$2:$H$451,$AB32)+SUMIFS(Dati!$M$2:$M$451,Dati!$H$2:$H$451,$H32,Dati!$A$2:$A$451,$AB32),"-")</f>
        <v/>
      </c>
      <c r="BY32" s="22">
        <f>IF(AND($H32&lt;&gt;"",$AC32&lt;&gt;"",$H32&lt;&gt;$AC32,IFERROR(VLOOKUP($H32,areaCercaPuntiClassificaSquadra,3,FALSE),-1)=IFERROR(VLOOKUP($AC32,areaCercaPuntiClassificaSquadra,3,FALSE),-2)),SUMIFS(Dati!$F$2:$F$451,Dati!$A$2:$A$451,$H32,Dati!$H$2:$H$451,$AC32)+SUMIFS(Dati!$M$2:$M$451,Dati!$H$2:$H$451,$H32,Dati!$A$2:$A$451,$AC32),"-")</f>
        <v/>
      </c>
      <c r="BZ32" s="22">
        <f>IF(AND($H32&lt;&gt;"",$AD32&lt;&gt;"",$H32&lt;&gt;$AD32,IFERROR(VLOOKUP($H32,areaCercaPuntiClassificaSquadra,3,FALSE),-1)=IFERROR(VLOOKUP($AD32,areaCercaPuntiClassificaSquadra,3,FALSE),-2)),SUMIFS(Dati!$F$2:$F$451,Dati!$A$2:$A$451,$H32,Dati!$H$2:$H$451,$AD32)+SUMIFS(Dati!$M$2:$M$451,Dati!$H$2:$H$451,$H32,Dati!$A$2:$A$451,$AD32),"-")</f>
        <v/>
      </c>
      <c r="CA32" s="22">
        <f>IF(AND($H32&lt;&gt;"",$AE32&lt;&gt;"",$H32&lt;&gt;$AE32,IFERROR(VLOOKUP($H32,areaCercaPuntiClassificaSquadra,3,FALSE),-1)=IFERROR(VLOOKUP($AE32,areaCercaPuntiClassificaSquadra,3,FALSE),-2)),SUMIFS(Dati!$F$2:$F$451,Dati!$A$2:$A$451,$H32,Dati!$H$2:$H$451,$AE32)+SUMIFS(Dati!$M$2:$M$451,Dati!$H$2:$H$451,$H32,Dati!$A$2:$A$451,$AE32),"-")</f>
        <v/>
      </c>
      <c r="CB32" s="22">
        <f>IF(AND($H32&lt;&gt;"",$AF32&lt;&gt;"",$H32&lt;&gt;$AF32,IFERROR(VLOOKUP($H32,areaCercaPuntiClassificaSquadra,3,FALSE),-1)=IFERROR(VLOOKUP($AF32,areaCercaPuntiClassificaSquadra,3,FALSE),-2)),SUMIFS(Dati!$F$2:$F$451,Dati!$A$2:$A$451,$H32,Dati!$H$2:$H$451,$AF32)+SUMIFS(Dati!$M$2:$M$451,Dati!$H$2:$H$451,$H32,Dati!$A$2:$A$451,$AF32),"-")</f>
        <v/>
      </c>
      <c r="CC32" s="22">
        <f>IF(AND($H32&lt;&gt;"",$AG32&lt;&gt;"",$H32&lt;&gt;$AG32,IFERROR(VLOOKUP($H32,areaCercaPuntiClassificaSquadra,3,FALSE),-1)=IFERROR(VLOOKUP($AG32,areaCercaPuntiClassificaSquadra,3,FALSE),-2)),SUMIFS(Dati!$F$2:$F$451,Dati!$A$2:$A$451,$H32,Dati!$H$2:$H$451,$AG32)+SUMIFS(Dati!$M$2:$M$451,Dati!$H$2:$H$451,$H32,Dati!$A$2:$A$451,$AG32),"-")</f>
        <v/>
      </c>
      <c r="CD32" s="22">
        <f>IF(AND($H32&lt;&gt;"",$AH32&lt;&gt;"",$H32&lt;&gt;$AH32,IFERROR(VLOOKUP($H32,areaCercaPuntiClassificaSquadra,3,FALSE),-1)=IFERROR(VLOOKUP($AH32,areaCercaPuntiClassificaSquadra,3,FALSE),-2)),SUMIFS(Dati!$F$2:$F$451,Dati!$A$2:$A$451,$H32,Dati!$H$2:$H$451,$AH32)+SUMIFS(Dati!$M$2:$M$451,Dati!$H$2:$H$451,$H32,Dati!$A$2:$A$451,$AH32),"-")</f>
        <v/>
      </c>
      <c r="CF32" s="22">
        <f>IF($C32="","",SUM(AK32:AT32))</f>
        <v/>
      </c>
    </row>
    <row r="33">
      <c r="B33" s="12" t="inlineStr">
        <is>
          <t>B10</t>
        </is>
      </c>
      <c r="C33" s="13" t="n"/>
      <c r="D33" s="14" t="n"/>
      <c r="E33" s="23" t="inlineStr">
        <is>
          <t>B</t>
        </is>
      </c>
      <c r="G33" s="24">
        <f>IF($C33="","",$E33&amp;(COUNTIFS(I$14:I$113,"&gt;"&amp;I33,E$14:E$113,"="&amp;E33,C$14:C$113,"&lt;&gt;")+COUNTIFS(I$14:I$113,"="&amp;I33,H$14:H$113,"&lt;="&amp;H33,E$14:E$113,"="&amp;E33,C$14:C$113,"&lt;&gt;")))</f>
        <v/>
      </c>
      <c r="H33" s="17">
        <f>IF($C33="","",IFERROR(LEFT($C33,FIND("-",$C33)-1),$C33))</f>
        <v/>
      </c>
      <c r="I33" s="12">
        <f>TEXT(1000000000+J33,"|0000000000|")&amp;TEXT(SUM(AK33:AT33),"0000000000|")&amp;IF(SUM(BU33:CD33)=0,"0000000000|",TEXT(ROUND(SUM(BI33:BR33)/SUM(BU33:CD33),4)*100000,"0000000000|"))&amp;IF(P33=0,"0000000000|",TEXT(ROUND(O33/P33,4)*100000,"0000000000|"))</f>
        <v/>
      </c>
      <c r="J33" s="24">
        <f>L33*constPuntiVittoria+M33*constPuntiSconfitta+N33*constPuntiForfait+IF(D33="",0,D33)</f>
        <v/>
      </c>
      <c r="K33" s="12">
        <f>SUM(L33:N33)</f>
        <v/>
      </c>
      <c r="L33" s="12">
        <f>IF($H33="",0,SUMIF(Dati!$A$2:$A$451,$H33,Dati!$B$2:$B$451)+SUMIF(Dati!$H$2:$H$451,$H33,Dati!$I$2:$I$451))</f>
        <v/>
      </c>
      <c r="M33" s="12">
        <f>IF($H33="",0,SUMIF(Dati!$A$2:$A$451,$H33,Dati!$D$2:$D$451)+SUMIF(Dati!$H$2:$H$451,$H33,Dati!$K$2:$K$451))</f>
        <v/>
      </c>
      <c r="N33" s="12">
        <f>IF($H33="",0,SUMIF(Dati!$A$2:$A$451,$H33,Dati!$C$2:$C$451)+SUMIF(Dati!$H$2:$H$451,$H33,Dati!$J$2:$J$451))</f>
        <v/>
      </c>
      <c r="O33" s="12">
        <f>IF($H33="",0,SUMIF(Dati!$A$2:$A$451,$H33,Dati!$E$2:$E$451)+SUMIF(Dati!$H$2:$H$451,$H33,Dati!$L$2:$L$451))</f>
        <v/>
      </c>
      <c r="P33" s="12">
        <f>IF($H33="",0,SUMIF(Dati!$A$2:$A$451,$H33,Dati!$F$2:$F$451)+SUMIF(Dati!$H$2:$H$451,$H33,Dati!$M$2:$M$451))</f>
        <v/>
      </c>
      <c r="Q33" s="12">
        <f>IF($H33="",0,SUMIF(Dati!$A$2:$A$451,$H33,Dati!$G$2:$G$451)+SUMIF(Dati!$H$2:$H$451,$H33,Dati!$N$2:$N$451))</f>
        <v/>
      </c>
      <c r="R33" s="12">
        <f>IF(K33=0,0,ROUND(O33/K33,2))</f>
        <v/>
      </c>
      <c r="S33" s="12">
        <f>IF(K33=0,0,ROUND(P33/K33,2))</f>
        <v/>
      </c>
      <c r="T33" s="12">
        <f>IF(K33=0,0,ROUND(Q33/K33,2))</f>
        <v/>
      </c>
      <c r="U33" s="12">
        <f>IF(COUNTIFS($E$14:$E$113,$E33,$J$14:$J$113,$J33,$C$14:$C$113,"&lt;&gt;")&lt;=1,"-",SUM(AK33:AT33)&amp;"-"&amp;SUM(AW33:BF33))</f>
        <v/>
      </c>
      <c r="V33" s="18">
        <f>IF(COUNTIFS($E$14:$E$113,$E33,$J$14:$J$113,$J33,$C$14:$C$113,"&lt;&gt;",$CF$14:$CF$113,$CF33)&lt;=1,"-",IF(SUM(BU33:CD33)=0,0,ROUND(SUM(BI33:BR33)/SUM(BU33:CD33),3)))</f>
        <v/>
      </c>
      <c r="W33" s="18">
        <f>IF(COUNTIFS($E$14:$E$113,$E33,$J$14:$J$113,$J33,$C$14:$C$113,"&lt;&gt;",$CF$14:$CF$113,$CF33,$V$14:$V$113,$V33)&lt;=1,"-",IF(P33=0,0,ROUND(O33/P33,3)))</f>
        <v/>
      </c>
      <c r="X33" s="19">
        <f>IF($C33="","",$E33&amp;"#"&amp;COUNTIFS($E$14:$E33,$E33,$C$14:$C33,"&lt;&gt;"))</f>
        <v/>
      </c>
      <c r="Y33" s="20">
        <f>IFERROR(INDEX($H$14:$H$113,MATCH($E33&amp;"#1",$X$14:$X$113,0)),"")</f>
        <v/>
      </c>
      <c r="Z33" s="20">
        <f>IFERROR(INDEX($H$14:$H$113,MATCH($E33&amp;"#2",$X$14:$X$113,0)),"")</f>
        <v/>
      </c>
      <c r="AA33" s="20">
        <f>IFERROR(INDEX($H$14:$H$113,MATCH($E33&amp;"#3",$X$14:$X$113,0)),"")</f>
        <v/>
      </c>
      <c r="AB33" s="20">
        <f>IFERROR(INDEX($H$14:$H$113,MATCH($E33&amp;"#4",$X$14:$X$113,0)),"")</f>
        <v/>
      </c>
      <c r="AC33" s="20">
        <f>IFERROR(INDEX($H$14:$H$113,MATCH($E33&amp;"#5",$X$14:$X$113,0)),"")</f>
        <v/>
      </c>
      <c r="AD33" s="20">
        <f>IFERROR(INDEX($H$14:$H$113,MATCH($E33&amp;"#6",$X$14:$X$113,0)),"")</f>
        <v/>
      </c>
      <c r="AE33" s="20">
        <f>IFERROR(INDEX($H$14:$H$113,MATCH($E33&amp;"#7",$X$14:$X$113,0)),"")</f>
        <v/>
      </c>
      <c r="AF33" s="20">
        <f>IFERROR(INDEX($H$14:$H$113,MATCH($E33&amp;"#8",$X$14:$X$113,0)),"")</f>
        <v/>
      </c>
      <c r="AG33" s="20">
        <f>IFERROR(INDEX($H$14:$H$113,MATCH($E33&amp;"#9",$X$14:$X$113,0)),"")</f>
        <v/>
      </c>
      <c r="AH33" s="20">
        <f>IFERROR(INDEX($H$14:$H$113,MATCH($E33&amp;"#10",$X$14:$X$113,0)),"")</f>
        <v/>
      </c>
      <c r="AJ33" s="21">
        <f>$C33</f>
        <v/>
      </c>
      <c r="AK33" s="22">
        <f>IF(AND($H33&lt;&gt;"",$Y33&lt;&gt;"",$H33&lt;&gt;$Y33,IFERROR(VLOOKUP($H33,areaCercaPuntiClassificaSquadra,3,FALSE),-1)=IFERROR(VLOOKUP($Y33,areaCercaPuntiClassificaSquadra,3,FALSE),-2)),SUMIFS(Dati!$B$2:$B$451,Dati!$A$2:$A$451,$H33,Dati!$H$2:$H$451,$Y33)+SUMIFS(Dati!$I$2:$I$451,Dati!$H$2:$H$451,$H33,Dati!$A$2:$A$451,$Y33),"-")</f>
        <v/>
      </c>
      <c r="AL33" s="22">
        <f>IF(AND($H33&lt;&gt;"",$Z33&lt;&gt;"",$H33&lt;&gt;$Z33,IFERROR(VLOOKUP($H33,areaCercaPuntiClassificaSquadra,3,FALSE),-1)=IFERROR(VLOOKUP($Z33,areaCercaPuntiClassificaSquadra,3,FALSE),-2)),SUMIFS(Dati!$B$2:$B$451,Dati!$A$2:$A$451,$H33,Dati!$H$2:$H$451,$Z33)+SUMIFS(Dati!$I$2:$I$451,Dati!$H$2:$H$451,$H33,Dati!$A$2:$A$451,$Z33),"-")</f>
        <v/>
      </c>
      <c r="AM33" s="22">
        <f>IF(AND($H33&lt;&gt;"",$AA33&lt;&gt;"",$H33&lt;&gt;$AA33,IFERROR(VLOOKUP($H33,areaCercaPuntiClassificaSquadra,3,FALSE),-1)=IFERROR(VLOOKUP($AA33,areaCercaPuntiClassificaSquadra,3,FALSE),-2)),SUMIFS(Dati!$B$2:$B$451,Dati!$A$2:$A$451,$H33,Dati!$H$2:$H$451,$AA33)+SUMIFS(Dati!$I$2:$I$451,Dati!$H$2:$H$451,$H33,Dati!$A$2:$A$451,$AA33),"-")</f>
        <v/>
      </c>
      <c r="AN33" s="22">
        <f>IF(AND($H33&lt;&gt;"",$AB33&lt;&gt;"",$H33&lt;&gt;$AB33,IFERROR(VLOOKUP($H33,areaCercaPuntiClassificaSquadra,3,FALSE),-1)=IFERROR(VLOOKUP($AB33,areaCercaPuntiClassificaSquadra,3,FALSE),-2)),SUMIFS(Dati!$B$2:$B$451,Dati!$A$2:$A$451,$H33,Dati!$H$2:$H$451,$AB33)+SUMIFS(Dati!$I$2:$I$451,Dati!$H$2:$H$451,$H33,Dati!$A$2:$A$451,$AB33),"-")</f>
        <v/>
      </c>
      <c r="AO33" s="22">
        <f>IF(AND($H33&lt;&gt;"",$AC33&lt;&gt;"",$H33&lt;&gt;$AC33,IFERROR(VLOOKUP($H33,areaCercaPuntiClassificaSquadra,3,FALSE),-1)=IFERROR(VLOOKUP($AC33,areaCercaPuntiClassificaSquadra,3,FALSE),-2)),SUMIFS(Dati!$B$2:$B$451,Dati!$A$2:$A$451,$H33,Dati!$H$2:$H$451,$AC33)+SUMIFS(Dati!$I$2:$I$451,Dati!$H$2:$H$451,$H33,Dati!$A$2:$A$451,$AC33),"-")</f>
        <v/>
      </c>
      <c r="AP33" s="22">
        <f>IF(AND($H33&lt;&gt;"",$AD33&lt;&gt;"",$H33&lt;&gt;$AD33,IFERROR(VLOOKUP($H33,areaCercaPuntiClassificaSquadra,3,FALSE),-1)=IFERROR(VLOOKUP($AD33,areaCercaPuntiClassificaSquadra,3,FALSE),-2)),SUMIFS(Dati!$B$2:$B$451,Dati!$A$2:$A$451,$H33,Dati!$H$2:$H$451,$AD33)+SUMIFS(Dati!$I$2:$I$451,Dati!$H$2:$H$451,$H33,Dati!$A$2:$A$451,$AD33),"-")</f>
        <v/>
      </c>
      <c r="AQ33" s="22">
        <f>IF(AND($H33&lt;&gt;"",$AE33&lt;&gt;"",$H33&lt;&gt;$AE33,IFERROR(VLOOKUP($H33,areaCercaPuntiClassificaSquadra,3,FALSE),-1)=IFERROR(VLOOKUP($AE33,areaCercaPuntiClassificaSquadra,3,FALSE),-2)),SUMIFS(Dati!$B$2:$B$451,Dati!$A$2:$A$451,$H33,Dati!$H$2:$H$451,$AE33)+SUMIFS(Dati!$I$2:$I$451,Dati!$H$2:$H$451,$H33,Dati!$A$2:$A$451,$AE33),"-")</f>
        <v/>
      </c>
      <c r="AR33" s="22">
        <f>IF(AND($H33&lt;&gt;"",$AF33&lt;&gt;"",$H33&lt;&gt;$AF33,IFERROR(VLOOKUP($H33,areaCercaPuntiClassificaSquadra,3,FALSE),-1)=IFERROR(VLOOKUP($AF33,areaCercaPuntiClassificaSquadra,3,FALSE),-2)),SUMIFS(Dati!$B$2:$B$451,Dati!$A$2:$A$451,$H33,Dati!$H$2:$H$451,$AF33)+SUMIFS(Dati!$I$2:$I$451,Dati!$H$2:$H$451,$H33,Dati!$A$2:$A$451,$AF33),"-")</f>
        <v/>
      </c>
      <c r="AS33" s="22">
        <f>IF(AND($H33&lt;&gt;"",$AG33&lt;&gt;"",$H33&lt;&gt;$AG33,IFERROR(VLOOKUP($H33,areaCercaPuntiClassificaSquadra,3,FALSE),-1)=IFERROR(VLOOKUP($AG33,areaCercaPuntiClassificaSquadra,3,FALSE),-2)),SUMIFS(Dati!$B$2:$B$451,Dati!$A$2:$A$451,$H33,Dati!$H$2:$H$451,$AG33)+SUMIFS(Dati!$I$2:$I$451,Dati!$H$2:$H$451,$H33,Dati!$A$2:$A$451,$AG33),"-")</f>
        <v/>
      </c>
      <c r="AT33" s="22">
        <f>IF(AND($H33&lt;&gt;"",$AH33&lt;&gt;"",$H33&lt;&gt;$AH33,IFERROR(VLOOKUP($H33,areaCercaPuntiClassificaSquadra,3,FALSE),-1)=IFERROR(VLOOKUP($AH33,areaCercaPuntiClassificaSquadra,3,FALSE),-2)),SUMIFS(Dati!$B$2:$B$451,Dati!$A$2:$A$451,$H33,Dati!$H$2:$H$451,$AH33)+SUMIFS(Dati!$I$2:$I$451,Dati!$H$2:$H$451,$H33,Dati!$A$2:$A$451,$AH33),"-")</f>
        <v/>
      </c>
      <c r="AV33" s="21">
        <f>$C33</f>
        <v/>
      </c>
      <c r="AW33" s="22">
        <f>IF(AND($H33&lt;&gt;"",$Y33&lt;&gt;"",$H33&lt;&gt;$Y33,IFERROR(VLOOKUP($H33,areaCercaPuntiClassificaSquadra,3,FALSE),-1)=IFERROR(VLOOKUP($Y33,areaCercaPuntiClassificaSquadra,3,FALSE),-2)),SUMIFS(Dati!$D$2:$D$451,Dati!$A$2:$A$451,$H33,Dati!$H$2:$H$451,$Y33)+SUMIFS(Dati!$K$2:$K$451,Dati!$H$2:$H$451,$H33,Dati!$A$2:$A$451,$Y33)+SUMIFS(Dati!$C$2:$C$451,Dati!$A$2:$A$451,$H33,Dati!$H$2:$H$451,$Y33)+SUMIFS(Dati!$J$2:$J$451,Dati!$H$2:$H$451,$H33,Dati!$A$2:$A$451,$Y33),"-")</f>
        <v/>
      </c>
      <c r="AX33" s="22">
        <f>IF(AND($H33&lt;&gt;"",$Z33&lt;&gt;"",$H33&lt;&gt;$Z33,IFERROR(VLOOKUP($H33,areaCercaPuntiClassificaSquadra,3,FALSE),-1)=IFERROR(VLOOKUP($Z33,areaCercaPuntiClassificaSquadra,3,FALSE),-2)),SUMIFS(Dati!$D$2:$D$451,Dati!$A$2:$A$451,$H33,Dati!$H$2:$H$451,$Z33)+SUMIFS(Dati!$K$2:$K$451,Dati!$H$2:$H$451,$H33,Dati!$A$2:$A$451,$Z33)+SUMIFS(Dati!$C$2:$C$451,Dati!$A$2:$A$451,$H33,Dati!$H$2:$H$451,$Z33)+SUMIFS(Dati!$J$2:$J$451,Dati!$H$2:$H$451,$H33,Dati!$A$2:$A$451,$Z33),"-")</f>
        <v/>
      </c>
      <c r="AY33" s="22">
        <f>IF(AND($H33&lt;&gt;"",$AA33&lt;&gt;"",$H33&lt;&gt;$AA33,IFERROR(VLOOKUP($H33,areaCercaPuntiClassificaSquadra,3,FALSE),-1)=IFERROR(VLOOKUP($AA33,areaCercaPuntiClassificaSquadra,3,FALSE),-2)),SUMIFS(Dati!$D$2:$D$451,Dati!$A$2:$A$451,$H33,Dati!$H$2:$H$451,$AA33)+SUMIFS(Dati!$K$2:$K$451,Dati!$H$2:$H$451,$H33,Dati!$A$2:$A$451,$AA33)+SUMIFS(Dati!$C$2:$C$451,Dati!$A$2:$A$451,$H33,Dati!$H$2:$H$451,$AA33)+SUMIFS(Dati!$J$2:$J$451,Dati!$H$2:$H$451,$H33,Dati!$A$2:$A$451,$AA33),"-")</f>
        <v/>
      </c>
      <c r="AZ33" s="22">
        <f>IF(AND($H33&lt;&gt;"",$AB33&lt;&gt;"",$H33&lt;&gt;$AB33,IFERROR(VLOOKUP($H33,areaCercaPuntiClassificaSquadra,3,FALSE),-1)=IFERROR(VLOOKUP($AB33,areaCercaPuntiClassificaSquadra,3,FALSE),-2)),SUMIFS(Dati!$D$2:$D$451,Dati!$A$2:$A$451,$H33,Dati!$H$2:$H$451,$AB33)+SUMIFS(Dati!$K$2:$K$451,Dati!$H$2:$H$451,$H33,Dati!$A$2:$A$451,$AB33)+SUMIFS(Dati!$C$2:$C$451,Dati!$A$2:$A$451,$H33,Dati!$H$2:$H$451,$AB33)+SUMIFS(Dati!$J$2:$J$451,Dati!$H$2:$H$451,$H33,Dati!$A$2:$A$451,$AB33),"-")</f>
        <v/>
      </c>
      <c r="BA33" s="22">
        <f>IF(AND($H33&lt;&gt;"",$AC33&lt;&gt;"",$H33&lt;&gt;$AC33,IFERROR(VLOOKUP($H33,areaCercaPuntiClassificaSquadra,3,FALSE),-1)=IFERROR(VLOOKUP($AC33,areaCercaPuntiClassificaSquadra,3,FALSE),-2)),SUMIFS(Dati!$D$2:$D$451,Dati!$A$2:$A$451,$H33,Dati!$H$2:$H$451,$AC33)+SUMIFS(Dati!$K$2:$K$451,Dati!$H$2:$H$451,$H33,Dati!$A$2:$A$451,$AC33)+SUMIFS(Dati!$C$2:$C$451,Dati!$A$2:$A$451,$H33,Dati!$H$2:$H$451,$AC33)+SUMIFS(Dati!$J$2:$J$451,Dati!$H$2:$H$451,$H33,Dati!$A$2:$A$451,$AC33),"-")</f>
        <v/>
      </c>
      <c r="BB33" s="22">
        <f>IF(AND($H33&lt;&gt;"",$AD33&lt;&gt;"",$H33&lt;&gt;$AD33,IFERROR(VLOOKUP($H33,areaCercaPuntiClassificaSquadra,3,FALSE),-1)=IFERROR(VLOOKUP($AD33,areaCercaPuntiClassificaSquadra,3,FALSE),-2)),SUMIFS(Dati!$D$2:$D$451,Dati!$A$2:$A$451,$H33,Dati!$H$2:$H$451,$AD33)+SUMIFS(Dati!$K$2:$K$451,Dati!$H$2:$H$451,$H33,Dati!$A$2:$A$451,$AD33)+SUMIFS(Dati!$C$2:$C$451,Dati!$A$2:$A$451,$H33,Dati!$H$2:$H$451,$AD33)+SUMIFS(Dati!$J$2:$J$451,Dati!$H$2:$H$451,$H33,Dati!$A$2:$A$451,$AD33),"-")</f>
        <v/>
      </c>
      <c r="BC33" s="22">
        <f>IF(AND($H33&lt;&gt;"",$AE33&lt;&gt;"",$H33&lt;&gt;$AE33,IFERROR(VLOOKUP($H33,areaCercaPuntiClassificaSquadra,3,FALSE),-1)=IFERROR(VLOOKUP($AE33,areaCercaPuntiClassificaSquadra,3,FALSE),-2)),SUMIFS(Dati!$D$2:$D$451,Dati!$A$2:$A$451,$H33,Dati!$H$2:$H$451,$AE33)+SUMIFS(Dati!$K$2:$K$451,Dati!$H$2:$H$451,$H33,Dati!$A$2:$A$451,$AE33)+SUMIFS(Dati!$C$2:$C$451,Dati!$A$2:$A$451,$H33,Dati!$H$2:$H$451,$AE33)+SUMIFS(Dati!$J$2:$J$451,Dati!$H$2:$H$451,$H33,Dati!$A$2:$A$451,$AE33),"-")</f>
        <v/>
      </c>
      <c r="BD33" s="22">
        <f>IF(AND($H33&lt;&gt;"",$AF33&lt;&gt;"",$H33&lt;&gt;$AF33,IFERROR(VLOOKUP($H33,areaCercaPuntiClassificaSquadra,3,FALSE),-1)=IFERROR(VLOOKUP($AF33,areaCercaPuntiClassificaSquadra,3,FALSE),-2)),SUMIFS(Dati!$D$2:$D$451,Dati!$A$2:$A$451,$H33,Dati!$H$2:$H$451,$AF33)+SUMIFS(Dati!$K$2:$K$451,Dati!$H$2:$H$451,$H33,Dati!$A$2:$A$451,$AF33)+SUMIFS(Dati!$C$2:$C$451,Dati!$A$2:$A$451,$H33,Dati!$H$2:$H$451,$AF33)+SUMIFS(Dati!$J$2:$J$451,Dati!$H$2:$H$451,$H33,Dati!$A$2:$A$451,$AF33),"-")</f>
        <v/>
      </c>
      <c r="BE33" s="22">
        <f>IF(AND($H33&lt;&gt;"",$AG33&lt;&gt;"",$H33&lt;&gt;$AG33,IFERROR(VLOOKUP($H33,areaCercaPuntiClassificaSquadra,3,FALSE),-1)=IFERROR(VLOOKUP($AG33,areaCercaPuntiClassificaSquadra,3,FALSE),-2)),SUMIFS(Dati!$D$2:$D$451,Dati!$A$2:$A$451,$H33,Dati!$H$2:$H$451,$AG33)+SUMIFS(Dati!$K$2:$K$451,Dati!$H$2:$H$451,$H33,Dati!$A$2:$A$451,$AG33)+SUMIFS(Dati!$C$2:$C$451,Dati!$A$2:$A$451,$H33,Dati!$H$2:$H$451,$AG33)+SUMIFS(Dati!$J$2:$J$451,Dati!$H$2:$H$451,$H33,Dati!$A$2:$A$451,$AG33),"-")</f>
        <v/>
      </c>
      <c r="BF33" s="22">
        <f>IF(AND($H33&lt;&gt;"",$AH33&lt;&gt;"",$H33&lt;&gt;$AH33,IFERROR(VLOOKUP($H33,areaCercaPuntiClassificaSquadra,3,FALSE),-1)=IFERROR(VLOOKUP($AH33,areaCercaPuntiClassificaSquadra,3,FALSE),-2)),SUMIFS(Dati!$D$2:$D$451,Dati!$A$2:$A$451,$H33,Dati!$H$2:$H$451,$AH33)+SUMIFS(Dati!$K$2:$K$451,Dati!$H$2:$H$451,$H33,Dati!$A$2:$A$451,$AH33)+SUMIFS(Dati!$C$2:$C$451,Dati!$A$2:$A$451,$H33,Dati!$H$2:$H$451,$AH33)+SUMIFS(Dati!$J$2:$J$451,Dati!$H$2:$H$451,$H33,Dati!$A$2:$A$451,$AH33),"-")</f>
        <v/>
      </c>
      <c r="BH33" s="21">
        <f>$C33</f>
        <v/>
      </c>
      <c r="BI33" s="22">
        <f>IF(AND($H33&lt;&gt;"",$Y33&lt;&gt;"",$H33&lt;&gt;$Y33,IFERROR(VLOOKUP($H33,areaCercaPuntiClassificaSquadra,3,FALSE),-1)=IFERROR(VLOOKUP($Y33,areaCercaPuntiClassificaSquadra,3,FALSE),-2)),SUMIFS(Dati!$E$2:$E$451,Dati!$A$2:$A$451,$H33,Dati!$H$2:$H$451,$Y33)+SUMIFS(Dati!$L$2:$L$451,Dati!$H$2:$H$451,$H33,Dati!$A$2:$A$451,$Y33),"-")</f>
        <v/>
      </c>
      <c r="BJ33" s="22">
        <f>IF(AND($H33&lt;&gt;"",$Z33&lt;&gt;"",$H33&lt;&gt;$Z33,IFERROR(VLOOKUP($H33,areaCercaPuntiClassificaSquadra,3,FALSE),-1)=IFERROR(VLOOKUP($Z33,areaCercaPuntiClassificaSquadra,3,FALSE),-2)),SUMIFS(Dati!$E$2:$E$451,Dati!$A$2:$A$451,$H33,Dati!$H$2:$H$451,$Z33)+SUMIFS(Dati!$L$2:$L$451,Dati!$H$2:$H$451,$H33,Dati!$A$2:$A$451,$Z33),"-")</f>
        <v/>
      </c>
      <c r="BK33" s="22">
        <f>IF(AND($H33&lt;&gt;"",$AA33&lt;&gt;"",$H33&lt;&gt;$AA33,IFERROR(VLOOKUP($H33,areaCercaPuntiClassificaSquadra,3,FALSE),-1)=IFERROR(VLOOKUP($AA33,areaCercaPuntiClassificaSquadra,3,FALSE),-2)),SUMIFS(Dati!$E$2:$E$451,Dati!$A$2:$A$451,$H33,Dati!$H$2:$H$451,$AA33)+SUMIFS(Dati!$L$2:$L$451,Dati!$H$2:$H$451,$H33,Dati!$A$2:$A$451,$AA33),"-")</f>
        <v/>
      </c>
      <c r="BL33" s="22">
        <f>IF(AND($H33&lt;&gt;"",$AB33&lt;&gt;"",$H33&lt;&gt;$AB33,IFERROR(VLOOKUP($H33,areaCercaPuntiClassificaSquadra,3,FALSE),-1)=IFERROR(VLOOKUP($AB33,areaCercaPuntiClassificaSquadra,3,FALSE),-2)),SUMIFS(Dati!$E$2:$E$451,Dati!$A$2:$A$451,$H33,Dati!$H$2:$H$451,$AB33)+SUMIFS(Dati!$L$2:$L$451,Dati!$H$2:$H$451,$H33,Dati!$A$2:$A$451,$AB33),"-")</f>
        <v/>
      </c>
      <c r="BM33" s="22">
        <f>IF(AND($H33&lt;&gt;"",$AC33&lt;&gt;"",$H33&lt;&gt;$AC33,IFERROR(VLOOKUP($H33,areaCercaPuntiClassificaSquadra,3,FALSE),-1)=IFERROR(VLOOKUP($AC33,areaCercaPuntiClassificaSquadra,3,FALSE),-2)),SUMIFS(Dati!$E$2:$E$451,Dati!$A$2:$A$451,$H33,Dati!$H$2:$H$451,$AC33)+SUMIFS(Dati!$L$2:$L$451,Dati!$H$2:$H$451,$H33,Dati!$A$2:$A$451,$AC33),"-")</f>
        <v/>
      </c>
      <c r="BN33" s="22">
        <f>IF(AND($H33&lt;&gt;"",$AD33&lt;&gt;"",$H33&lt;&gt;$AD33,IFERROR(VLOOKUP($H33,areaCercaPuntiClassificaSquadra,3,FALSE),-1)=IFERROR(VLOOKUP($AD33,areaCercaPuntiClassificaSquadra,3,FALSE),-2)),SUMIFS(Dati!$E$2:$E$451,Dati!$A$2:$A$451,$H33,Dati!$H$2:$H$451,$AD33)+SUMIFS(Dati!$L$2:$L$451,Dati!$H$2:$H$451,$H33,Dati!$A$2:$A$451,$AD33),"-")</f>
        <v/>
      </c>
      <c r="BO33" s="22">
        <f>IF(AND($H33&lt;&gt;"",$AE33&lt;&gt;"",$H33&lt;&gt;$AE33,IFERROR(VLOOKUP($H33,areaCercaPuntiClassificaSquadra,3,FALSE),-1)=IFERROR(VLOOKUP($AE33,areaCercaPuntiClassificaSquadra,3,FALSE),-2)),SUMIFS(Dati!$E$2:$E$451,Dati!$A$2:$A$451,$H33,Dati!$H$2:$H$451,$AE33)+SUMIFS(Dati!$L$2:$L$451,Dati!$H$2:$H$451,$H33,Dati!$A$2:$A$451,$AE33),"-")</f>
        <v/>
      </c>
      <c r="BP33" s="22">
        <f>IF(AND($H33&lt;&gt;"",$AF33&lt;&gt;"",$H33&lt;&gt;$AF33,IFERROR(VLOOKUP($H33,areaCercaPuntiClassificaSquadra,3,FALSE),-1)=IFERROR(VLOOKUP($AF33,areaCercaPuntiClassificaSquadra,3,FALSE),-2)),SUMIFS(Dati!$E$2:$E$451,Dati!$A$2:$A$451,$H33,Dati!$H$2:$H$451,$AF33)+SUMIFS(Dati!$L$2:$L$451,Dati!$H$2:$H$451,$H33,Dati!$A$2:$A$451,$AF33),"-")</f>
        <v/>
      </c>
      <c r="BQ33" s="22">
        <f>IF(AND($H33&lt;&gt;"",$AG33&lt;&gt;"",$H33&lt;&gt;$AG33,IFERROR(VLOOKUP($H33,areaCercaPuntiClassificaSquadra,3,FALSE),-1)=IFERROR(VLOOKUP($AG33,areaCercaPuntiClassificaSquadra,3,FALSE),-2)),SUMIFS(Dati!$E$2:$E$451,Dati!$A$2:$A$451,$H33,Dati!$H$2:$H$451,$AG33)+SUMIFS(Dati!$L$2:$L$451,Dati!$H$2:$H$451,$H33,Dati!$A$2:$A$451,$AG33),"-")</f>
        <v/>
      </c>
      <c r="BR33" s="22">
        <f>IF(AND($H33&lt;&gt;"",$AH33&lt;&gt;"",$H33&lt;&gt;$AH33,IFERROR(VLOOKUP($H33,areaCercaPuntiClassificaSquadra,3,FALSE),-1)=IFERROR(VLOOKUP($AH33,areaCercaPuntiClassificaSquadra,3,FALSE),-2)),SUMIFS(Dati!$E$2:$E$451,Dati!$A$2:$A$451,$H33,Dati!$H$2:$H$451,$AH33)+SUMIFS(Dati!$L$2:$L$451,Dati!$H$2:$H$451,$H33,Dati!$A$2:$A$451,$AH33),"-")</f>
        <v/>
      </c>
      <c r="BT33" s="21">
        <f>$C33</f>
        <v/>
      </c>
      <c r="BU33" s="22">
        <f>IF(AND($H33&lt;&gt;"",$Y33&lt;&gt;"",$H33&lt;&gt;$Y33,IFERROR(VLOOKUP($H33,areaCercaPuntiClassificaSquadra,3,FALSE),-1)=IFERROR(VLOOKUP($Y33,areaCercaPuntiClassificaSquadra,3,FALSE),-2)),SUMIFS(Dati!$F$2:$F$451,Dati!$A$2:$A$451,$H33,Dati!$H$2:$H$451,$Y33)+SUMIFS(Dati!$M$2:$M$451,Dati!$H$2:$H$451,$H33,Dati!$A$2:$A$451,$Y33),"-")</f>
        <v/>
      </c>
      <c r="BV33" s="22">
        <f>IF(AND($H33&lt;&gt;"",$Z33&lt;&gt;"",$H33&lt;&gt;$Z33,IFERROR(VLOOKUP($H33,areaCercaPuntiClassificaSquadra,3,FALSE),-1)=IFERROR(VLOOKUP($Z33,areaCercaPuntiClassificaSquadra,3,FALSE),-2)),SUMIFS(Dati!$F$2:$F$451,Dati!$A$2:$A$451,$H33,Dati!$H$2:$H$451,$Z33)+SUMIFS(Dati!$M$2:$M$451,Dati!$H$2:$H$451,$H33,Dati!$A$2:$A$451,$Z33),"-")</f>
        <v/>
      </c>
      <c r="BW33" s="22">
        <f>IF(AND($H33&lt;&gt;"",$AA33&lt;&gt;"",$H33&lt;&gt;$AA33,IFERROR(VLOOKUP($H33,areaCercaPuntiClassificaSquadra,3,FALSE),-1)=IFERROR(VLOOKUP($AA33,areaCercaPuntiClassificaSquadra,3,FALSE),-2)),SUMIFS(Dati!$F$2:$F$451,Dati!$A$2:$A$451,$H33,Dati!$H$2:$H$451,$AA33)+SUMIFS(Dati!$M$2:$M$451,Dati!$H$2:$H$451,$H33,Dati!$A$2:$A$451,$AA33),"-")</f>
        <v/>
      </c>
      <c r="BX33" s="22">
        <f>IF(AND($H33&lt;&gt;"",$AB33&lt;&gt;"",$H33&lt;&gt;$AB33,IFERROR(VLOOKUP($H33,areaCercaPuntiClassificaSquadra,3,FALSE),-1)=IFERROR(VLOOKUP($AB33,areaCercaPuntiClassificaSquadra,3,FALSE),-2)),SUMIFS(Dati!$F$2:$F$451,Dati!$A$2:$A$451,$H33,Dati!$H$2:$H$451,$AB33)+SUMIFS(Dati!$M$2:$M$451,Dati!$H$2:$H$451,$H33,Dati!$A$2:$A$451,$AB33),"-")</f>
        <v/>
      </c>
      <c r="BY33" s="22">
        <f>IF(AND($H33&lt;&gt;"",$AC33&lt;&gt;"",$H33&lt;&gt;$AC33,IFERROR(VLOOKUP($H33,areaCercaPuntiClassificaSquadra,3,FALSE),-1)=IFERROR(VLOOKUP($AC33,areaCercaPuntiClassificaSquadra,3,FALSE),-2)),SUMIFS(Dati!$F$2:$F$451,Dati!$A$2:$A$451,$H33,Dati!$H$2:$H$451,$AC33)+SUMIFS(Dati!$M$2:$M$451,Dati!$H$2:$H$451,$H33,Dati!$A$2:$A$451,$AC33),"-")</f>
        <v/>
      </c>
      <c r="BZ33" s="22">
        <f>IF(AND($H33&lt;&gt;"",$AD33&lt;&gt;"",$H33&lt;&gt;$AD33,IFERROR(VLOOKUP($H33,areaCercaPuntiClassificaSquadra,3,FALSE),-1)=IFERROR(VLOOKUP($AD33,areaCercaPuntiClassificaSquadra,3,FALSE),-2)),SUMIFS(Dati!$F$2:$F$451,Dati!$A$2:$A$451,$H33,Dati!$H$2:$H$451,$AD33)+SUMIFS(Dati!$M$2:$M$451,Dati!$H$2:$H$451,$H33,Dati!$A$2:$A$451,$AD33),"-")</f>
        <v/>
      </c>
      <c r="CA33" s="22">
        <f>IF(AND($H33&lt;&gt;"",$AE33&lt;&gt;"",$H33&lt;&gt;$AE33,IFERROR(VLOOKUP($H33,areaCercaPuntiClassificaSquadra,3,FALSE),-1)=IFERROR(VLOOKUP($AE33,areaCercaPuntiClassificaSquadra,3,FALSE),-2)),SUMIFS(Dati!$F$2:$F$451,Dati!$A$2:$A$451,$H33,Dati!$H$2:$H$451,$AE33)+SUMIFS(Dati!$M$2:$M$451,Dati!$H$2:$H$451,$H33,Dati!$A$2:$A$451,$AE33),"-")</f>
        <v/>
      </c>
      <c r="CB33" s="22">
        <f>IF(AND($H33&lt;&gt;"",$AF33&lt;&gt;"",$H33&lt;&gt;$AF33,IFERROR(VLOOKUP($H33,areaCercaPuntiClassificaSquadra,3,FALSE),-1)=IFERROR(VLOOKUP($AF33,areaCercaPuntiClassificaSquadra,3,FALSE),-2)),SUMIFS(Dati!$F$2:$F$451,Dati!$A$2:$A$451,$H33,Dati!$H$2:$H$451,$AF33)+SUMIFS(Dati!$M$2:$M$451,Dati!$H$2:$H$451,$H33,Dati!$A$2:$A$451,$AF33),"-")</f>
        <v/>
      </c>
      <c r="CC33" s="22">
        <f>IF(AND($H33&lt;&gt;"",$AG33&lt;&gt;"",$H33&lt;&gt;$AG33,IFERROR(VLOOKUP($H33,areaCercaPuntiClassificaSquadra,3,FALSE),-1)=IFERROR(VLOOKUP($AG33,areaCercaPuntiClassificaSquadra,3,FALSE),-2)),SUMIFS(Dati!$F$2:$F$451,Dati!$A$2:$A$451,$H33,Dati!$H$2:$H$451,$AG33)+SUMIFS(Dati!$M$2:$M$451,Dati!$H$2:$H$451,$H33,Dati!$A$2:$A$451,$AG33),"-")</f>
        <v/>
      </c>
      <c r="CD33" s="22">
        <f>IF(AND($H33&lt;&gt;"",$AH33&lt;&gt;"",$H33&lt;&gt;$AH33,IFERROR(VLOOKUP($H33,areaCercaPuntiClassificaSquadra,3,FALSE),-1)=IFERROR(VLOOKUP($AH33,areaCercaPuntiClassificaSquadra,3,FALSE),-2)),SUMIFS(Dati!$F$2:$F$451,Dati!$A$2:$A$451,$H33,Dati!$H$2:$H$451,$AH33)+SUMIFS(Dati!$M$2:$M$451,Dati!$H$2:$H$451,$H33,Dati!$A$2:$A$451,$AH33),"-")</f>
        <v/>
      </c>
      <c r="CF33" s="22">
        <f>IF($C33="","",SUM(AK33:AT33))</f>
        <v/>
      </c>
    </row>
    <row r="34">
      <c r="B34" s="12" t="inlineStr">
        <is>
          <t>C01</t>
        </is>
      </c>
      <c r="C34" s="13" t="n"/>
      <c r="D34" s="14" t="n"/>
      <c r="E34" s="25" t="inlineStr">
        <is>
          <t>C</t>
        </is>
      </c>
      <c r="G34" s="26">
        <f>IF($C34="","",$E34&amp;(COUNTIFS(I$14:I$113,"&gt;"&amp;I34,E$14:E$113,"="&amp;E34,C$14:C$113,"&lt;&gt;")+COUNTIFS(I$14:I$113,"="&amp;I34,H$14:H$113,"&lt;="&amp;H34,E$14:E$113,"="&amp;E34,C$14:C$113,"&lt;&gt;")))</f>
        <v/>
      </c>
      <c r="H34" s="17">
        <f>IF($C34="","",IFERROR(LEFT($C34,FIND("-",$C34)-1),$C34))</f>
        <v/>
      </c>
      <c r="I34" s="12">
        <f>TEXT(1000000000+J34,"|0000000000|")&amp;TEXT(SUM(AK34:AT34),"0000000000|")&amp;IF(SUM(BU34:CD34)=0,"0000000000|",TEXT(ROUND(SUM(BI34:BR34)/SUM(BU34:CD34),4)*100000,"0000000000|"))&amp;IF(P34=0,"0000000000|",TEXT(ROUND(O34/P34,4)*100000,"0000000000|"))</f>
        <v/>
      </c>
      <c r="J34" s="26">
        <f>L34*constPuntiVittoria+M34*constPuntiSconfitta+N34*constPuntiForfait+IF(D34="",0,D34)</f>
        <v/>
      </c>
      <c r="K34" s="12">
        <f>SUM(L34:N34)</f>
        <v/>
      </c>
      <c r="L34" s="12">
        <f>IF($H34="",0,SUMIF(Dati!$A$2:$A$451,$H34,Dati!$B$2:$B$451)+SUMIF(Dati!$H$2:$H$451,$H34,Dati!$I$2:$I$451))</f>
        <v/>
      </c>
      <c r="M34" s="12">
        <f>IF($H34="",0,SUMIF(Dati!$A$2:$A$451,$H34,Dati!$D$2:$D$451)+SUMIF(Dati!$H$2:$H$451,$H34,Dati!$K$2:$K$451))</f>
        <v/>
      </c>
      <c r="N34" s="12">
        <f>IF($H34="",0,SUMIF(Dati!$A$2:$A$451,$H34,Dati!$C$2:$C$451)+SUMIF(Dati!$H$2:$H$451,$H34,Dati!$J$2:$J$451))</f>
        <v/>
      </c>
      <c r="O34" s="12">
        <f>IF($H34="",0,SUMIF(Dati!$A$2:$A$451,$H34,Dati!$E$2:$E$451)+SUMIF(Dati!$H$2:$H$451,$H34,Dati!$L$2:$L$451))</f>
        <v/>
      </c>
      <c r="P34" s="12">
        <f>IF($H34="",0,SUMIF(Dati!$A$2:$A$451,$H34,Dati!$F$2:$F$451)+SUMIF(Dati!$H$2:$H$451,$H34,Dati!$M$2:$M$451))</f>
        <v/>
      </c>
      <c r="Q34" s="12">
        <f>IF($H34="",0,SUMIF(Dati!$A$2:$A$451,$H34,Dati!$G$2:$G$451)+SUMIF(Dati!$H$2:$H$451,$H34,Dati!$N$2:$N$451))</f>
        <v/>
      </c>
      <c r="R34" s="12">
        <f>IF(K34=0,0,ROUND(O34/K34,2))</f>
        <v/>
      </c>
      <c r="S34" s="12">
        <f>IF(K34=0,0,ROUND(P34/K34,2))</f>
        <v/>
      </c>
      <c r="T34" s="12">
        <f>IF(K34=0,0,ROUND(Q34/K34,2))</f>
        <v/>
      </c>
      <c r="U34" s="12">
        <f>IF(COUNTIFS($E$14:$E$113,$E34,$J$14:$J$113,$J34,$C$14:$C$113,"&lt;&gt;")&lt;=1,"-",SUM(AK34:AT34)&amp;"-"&amp;SUM(AW34:BF34))</f>
        <v/>
      </c>
      <c r="V34" s="18">
        <f>IF(COUNTIFS($E$14:$E$113,$E34,$J$14:$J$113,$J34,$C$14:$C$113,"&lt;&gt;",$CF$14:$CF$113,$CF34)&lt;=1,"-",IF(SUM(BU34:CD34)=0,0,ROUND(SUM(BI34:BR34)/SUM(BU34:CD34),3)))</f>
        <v/>
      </c>
      <c r="W34" s="18">
        <f>IF(COUNTIFS($E$14:$E$113,$E34,$J$14:$J$113,$J34,$C$14:$C$113,"&lt;&gt;",$CF$14:$CF$113,$CF34,$V$14:$V$113,$V34)&lt;=1,"-",IF(P34=0,0,ROUND(O34/P34,3)))</f>
        <v/>
      </c>
      <c r="X34" s="19">
        <f>IF($C34="","",$E34&amp;"#"&amp;COUNTIFS($E$14:$E34,$E34,$C$14:$C34,"&lt;&gt;"))</f>
        <v/>
      </c>
      <c r="Y34" s="20">
        <f>IFERROR(INDEX($H$14:$H$113,MATCH($E34&amp;"#1",$X$14:$X$113,0)),"")</f>
        <v/>
      </c>
      <c r="Z34" s="20">
        <f>IFERROR(INDEX($H$14:$H$113,MATCH($E34&amp;"#2",$X$14:$X$113,0)),"")</f>
        <v/>
      </c>
      <c r="AA34" s="20">
        <f>IFERROR(INDEX($H$14:$H$113,MATCH($E34&amp;"#3",$X$14:$X$113,0)),"")</f>
        <v/>
      </c>
      <c r="AB34" s="20">
        <f>IFERROR(INDEX($H$14:$H$113,MATCH($E34&amp;"#4",$X$14:$X$113,0)),"")</f>
        <v/>
      </c>
      <c r="AC34" s="20">
        <f>IFERROR(INDEX($H$14:$H$113,MATCH($E34&amp;"#5",$X$14:$X$113,0)),"")</f>
        <v/>
      </c>
      <c r="AD34" s="20">
        <f>IFERROR(INDEX($H$14:$H$113,MATCH($E34&amp;"#6",$X$14:$X$113,0)),"")</f>
        <v/>
      </c>
      <c r="AE34" s="20">
        <f>IFERROR(INDEX($H$14:$H$113,MATCH($E34&amp;"#7",$X$14:$X$113,0)),"")</f>
        <v/>
      </c>
      <c r="AF34" s="20">
        <f>IFERROR(INDEX($H$14:$H$113,MATCH($E34&amp;"#8",$X$14:$X$113,0)),"")</f>
        <v/>
      </c>
      <c r="AG34" s="20">
        <f>IFERROR(INDEX($H$14:$H$113,MATCH($E34&amp;"#9",$X$14:$X$113,0)),"")</f>
        <v/>
      </c>
      <c r="AH34" s="20">
        <f>IFERROR(INDEX($H$14:$H$113,MATCH($E34&amp;"#10",$X$14:$X$113,0)),"")</f>
        <v/>
      </c>
      <c r="AJ34" s="21">
        <f>$C34</f>
        <v/>
      </c>
      <c r="AK34" s="22">
        <f>IF(AND($H34&lt;&gt;"",$Y34&lt;&gt;"",$H34&lt;&gt;$Y34,IFERROR(VLOOKUP($H34,areaCercaPuntiClassificaSquadra,3,FALSE),-1)=IFERROR(VLOOKUP($Y34,areaCercaPuntiClassificaSquadra,3,FALSE),-2)),SUMIFS(Dati!$B$2:$B$451,Dati!$A$2:$A$451,$H34,Dati!$H$2:$H$451,$Y34)+SUMIFS(Dati!$I$2:$I$451,Dati!$H$2:$H$451,$H34,Dati!$A$2:$A$451,$Y34),"-")</f>
        <v/>
      </c>
      <c r="AL34" s="22">
        <f>IF(AND($H34&lt;&gt;"",$Z34&lt;&gt;"",$H34&lt;&gt;$Z34,IFERROR(VLOOKUP($H34,areaCercaPuntiClassificaSquadra,3,FALSE),-1)=IFERROR(VLOOKUP($Z34,areaCercaPuntiClassificaSquadra,3,FALSE),-2)),SUMIFS(Dati!$B$2:$B$451,Dati!$A$2:$A$451,$H34,Dati!$H$2:$H$451,$Z34)+SUMIFS(Dati!$I$2:$I$451,Dati!$H$2:$H$451,$H34,Dati!$A$2:$A$451,$Z34),"-")</f>
        <v/>
      </c>
      <c r="AM34" s="22">
        <f>IF(AND($H34&lt;&gt;"",$AA34&lt;&gt;"",$H34&lt;&gt;$AA34,IFERROR(VLOOKUP($H34,areaCercaPuntiClassificaSquadra,3,FALSE),-1)=IFERROR(VLOOKUP($AA34,areaCercaPuntiClassificaSquadra,3,FALSE),-2)),SUMIFS(Dati!$B$2:$B$451,Dati!$A$2:$A$451,$H34,Dati!$H$2:$H$451,$AA34)+SUMIFS(Dati!$I$2:$I$451,Dati!$H$2:$H$451,$H34,Dati!$A$2:$A$451,$AA34),"-")</f>
        <v/>
      </c>
      <c r="AN34" s="22">
        <f>IF(AND($H34&lt;&gt;"",$AB34&lt;&gt;"",$H34&lt;&gt;$AB34,IFERROR(VLOOKUP($H34,areaCercaPuntiClassificaSquadra,3,FALSE),-1)=IFERROR(VLOOKUP($AB34,areaCercaPuntiClassificaSquadra,3,FALSE),-2)),SUMIFS(Dati!$B$2:$B$451,Dati!$A$2:$A$451,$H34,Dati!$H$2:$H$451,$AB34)+SUMIFS(Dati!$I$2:$I$451,Dati!$H$2:$H$451,$H34,Dati!$A$2:$A$451,$AB34),"-")</f>
        <v/>
      </c>
      <c r="AO34" s="22">
        <f>IF(AND($H34&lt;&gt;"",$AC34&lt;&gt;"",$H34&lt;&gt;$AC34,IFERROR(VLOOKUP($H34,areaCercaPuntiClassificaSquadra,3,FALSE),-1)=IFERROR(VLOOKUP($AC34,areaCercaPuntiClassificaSquadra,3,FALSE),-2)),SUMIFS(Dati!$B$2:$B$451,Dati!$A$2:$A$451,$H34,Dati!$H$2:$H$451,$AC34)+SUMIFS(Dati!$I$2:$I$451,Dati!$H$2:$H$451,$H34,Dati!$A$2:$A$451,$AC34),"-")</f>
        <v/>
      </c>
      <c r="AP34" s="22">
        <f>IF(AND($H34&lt;&gt;"",$AD34&lt;&gt;"",$H34&lt;&gt;$AD34,IFERROR(VLOOKUP($H34,areaCercaPuntiClassificaSquadra,3,FALSE),-1)=IFERROR(VLOOKUP($AD34,areaCercaPuntiClassificaSquadra,3,FALSE),-2)),SUMIFS(Dati!$B$2:$B$451,Dati!$A$2:$A$451,$H34,Dati!$H$2:$H$451,$AD34)+SUMIFS(Dati!$I$2:$I$451,Dati!$H$2:$H$451,$H34,Dati!$A$2:$A$451,$AD34),"-")</f>
        <v/>
      </c>
      <c r="AQ34" s="22">
        <f>IF(AND($H34&lt;&gt;"",$AE34&lt;&gt;"",$H34&lt;&gt;$AE34,IFERROR(VLOOKUP($H34,areaCercaPuntiClassificaSquadra,3,FALSE),-1)=IFERROR(VLOOKUP($AE34,areaCercaPuntiClassificaSquadra,3,FALSE),-2)),SUMIFS(Dati!$B$2:$B$451,Dati!$A$2:$A$451,$H34,Dati!$H$2:$H$451,$AE34)+SUMIFS(Dati!$I$2:$I$451,Dati!$H$2:$H$451,$H34,Dati!$A$2:$A$451,$AE34),"-")</f>
        <v/>
      </c>
      <c r="AR34" s="22">
        <f>IF(AND($H34&lt;&gt;"",$AF34&lt;&gt;"",$H34&lt;&gt;$AF34,IFERROR(VLOOKUP($H34,areaCercaPuntiClassificaSquadra,3,FALSE),-1)=IFERROR(VLOOKUP($AF34,areaCercaPuntiClassificaSquadra,3,FALSE),-2)),SUMIFS(Dati!$B$2:$B$451,Dati!$A$2:$A$451,$H34,Dati!$H$2:$H$451,$AF34)+SUMIFS(Dati!$I$2:$I$451,Dati!$H$2:$H$451,$H34,Dati!$A$2:$A$451,$AF34),"-")</f>
        <v/>
      </c>
      <c r="AS34" s="22">
        <f>IF(AND($H34&lt;&gt;"",$AG34&lt;&gt;"",$H34&lt;&gt;$AG34,IFERROR(VLOOKUP($H34,areaCercaPuntiClassificaSquadra,3,FALSE),-1)=IFERROR(VLOOKUP($AG34,areaCercaPuntiClassificaSquadra,3,FALSE),-2)),SUMIFS(Dati!$B$2:$B$451,Dati!$A$2:$A$451,$H34,Dati!$H$2:$H$451,$AG34)+SUMIFS(Dati!$I$2:$I$451,Dati!$H$2:$H$451,$H34,Dati!$A$2:$A$451,$AG34),"-")</f>
        <v/>
      </c>
      <c r="AT34" s="22">
        <f>IF(AND($H34&lt;&gt;"",$AH34&lt;&gt;"",$H34&lt;&gt;$AH34,IFERROR(VLOOKUP($H34,areaCercaPuntiClassificaSquadra,3,FALSE),-1)=IFERROR(VLOOKUP($AH34,areaCercaPuntiClassificaSquadra,3,FALSE),-2)),SUMIFS(Dati!$B$2:$B$451,Dati!$A$2:$A$451,$H34,Dati!$H$2:$H$451,$AH34)+SUMIFS(Dati!$I$2:$I$451,Dati!$H$2:$H$451,$H34,Dati!$A$2:$A$451,$AH34),"-")</f>
        <v/>
      </c>
      <c r="AV34" s="21">
        <f>$C34</f>
        <v/>
      </c>
      <c r="AW34" s="22">
        <f>IF(AND($H34&lt;&gt;"",$Y34&lt;&gt;"",$H34&lt;&gt;$Y34,IFERROR(VLOOKUP($H34,areaCercaPuntiClassificaSquadra,3,FALSE),-1)=IFERROR(VLOOKUP($Y34,areaCercaPuntiClassificaSquadra,3,FALSE),-2)),SUMIFS(Dati!$D$2:$D$451,Dati!$A$2:$A$451,$H34,Dati!$H$2:$H$451,$Y34)+SUMIFS(Dati!$K$2:$K$451,Dati!$H$2:$H$451,$H34,Dati!$A$2:$A$451,$Y34)+SUMIFS(Dati!$C$2:$C$451,Dati!$A$2:$A$451,$H34,Dati!$H$2:$H$451,$Y34)+SUMIFS(Dati!$J$2:$J$451,Dati!$H$2:$H$451,$H34,Dati!$A$2:$A$451,$Y34),"-")</f>
        <v/>
      </c>
      <c r="AX34" s="22">
        <f>IF(AND($H34&lt;&gt;"",$Z34&lt;&gt;"",$H34&lt;&gt;$Z34,IFERROR(VLOOKUP($H34,areaCercaPuntiClassificaSquadra,3,FALSE),-1)=IFERROR(VLOOKUP($Z34,areaCercaPuntiClassificaSquadra,3,FALSE),-2)),SUMIFS(Dati!$D$2:$D$451,Dati!$A$2:$A$451,$H34,Dati!$H$2:$H$451,$Z34)+SUMIFS(Dati!$K$2:$K$451,Dati!$H$2:$H$451,$H34,Dati!$A$2:$A$451,$Z34)+SUMIFS(Dati!$C$2:$C$451,Dati!$A$2:$A$451,$H34,Dati!$H$2:$H$451,$Z34)+SUMIFS(Dati!$J$2:$J$451,Dati!$H$2:$H$451,$H34,Dati!$A$2:$A$451,$Z34),"-")</f>
        <v/>
      </c>
      <c r="AY34" s="22">
        <f>IF(AND($H34&lt;&gt;"",$AA34&lt;&gt;"",$H34&lt;&gt;$AA34,IFERROR(VLOOKUP($H34,areaCercaPuntiClassificaSquadra,3,FALSE),-1)=IFERROR(VLOOKUP($AA34,areaCercaPuntiClassificaSquadra,3,FALSE),-2)),SUMIFS(Dati!$D$2:$D$451,Dati!$A$2:$A$451,$H34,Dati!$H$2:$H$451,$AA34)+SUMIFS(Dati!$K$2:$K$451,Dati!$H$2:$H$451,$H34,Dati!$A$2:$A$451,$AA34)+SUMIFS(Dati!$C$2:$C$451,Dati!$A$2:$A$451,$H34,Dati!$H$2:$H$451,$AA34)+SUMIFS(Dati!$J$2:$J$451,Dati!$H$2:$H$451,$H34,Dati!$A$2:$A$451,$AA34),"-")</f>
        <v/>
      </c>
      <c r="AZ34" s="22">
        <f>IF(AND($H34&lt;&gt;"",$AB34&lt;&gt;"",$H34&lt;&gt;$AB34,IFERROR(VLOOKUP($H34,areaCercaPuntiClassificaSquadra,3,FALSE),-1)=IFERROR(VLOOKUP($AB34,areaCercaPuntiClassificaSquadra,3,FALSE),-2)),SUMIFS(Dati!$D$2:$D$451,Dati!$A$2:$A$451,$H34,Dati!$H$2:$H$451,$AB34)+SUMIFS(Dati!$K$2:$K$451,Dati!$H$2:$H$451,$H34,Dati!$A$2:$A$451,$AB34)+SUMIFS(Dati!$C$2:$C$451,Dati!$A$2:$A$451,$H34,Dati!$H$2:$H$451,$AB34)+SUMIFS(Dati!$J$2:$J$451,Dati!$H$2:$H$451,$H34,Dati!$A$2:$A$451,$AB34),"-")</f>
        <v/>
      </c>
      <c r="BA34" s="22">
        <f>IF(AND($H34&lt;&gt;"",$AC34&lt;&gt;"",$H34&lt;&gt;$AC34,IFERROR(VLOOKUP($H34,areaCercaPuntiClassificaSquadra,3,FALSE),-1)=IFERROR(VLOOKUP($AC34,areaCercaPuntiClassificaSquadra,3,FALSE),-2)),SUMIFS(Dati!$D$2:$D$451,Dati!$A$2:$A$451,$H34,Dati!$H$2:$H$451,$AC34)+SUMIFS(Dati!$K$2:$K$451,Dati!$H$2:$H$451,$H34,Dati!$A$2:$A$451,$AC34)+SUMIFS(Dati!$C$2:$C$451,Dati!$A$2:$A$451,$H34,Dati!$H$2:$H$451,$AC34)+SUMIFS(Dati!$J$2:$J$451,Dati!$H$2:$H$451,$H34,Dati!$A$2:$A$451,$AC34),"-")</f>
        <v/>
      </c>
      <c r="BB34" s="22">
        <f>IF(AND($H34&lt;&gt;"",$AD34&lt;&gt;"",$H34&lt;&gt;$AD34,IFERROR(VLOOKUP($H34,areaCercaPuntiClassificaSquadra,3,FALSE),-1)=IFERROR(VLOOKUP($AD34,areaCercaPuntiClassificaSquadra,3,FALSE),-2)),SUMIFS(Dati!$D$2:$D$451,Dati!$A$2:$A$451,$H34,Dati!$H$2:$H$451,$AD34)+SUMIFS(Dati!$K$2:$K$451,Dati!$H$2:$H$451,$H34,Dati!$A$2:$A$451,$AD34)+SUMIFS(Dati!$C$2:$C$451,Dati!$A$2:$A$451,$H34,Dati!$H$2:$H$451,$AD34)+SUMIFS(Dati!$J$2:$J$451,Dati!$H$2:$H$451,$H34,Dati!$A$2:$A$451,$AD34),"-")</f>
        <v/>
      </c>
      <c r="BC34" s="22">
        <f>IF(AND($H34&lt;&gt;"",$AE34&lt;&gt;"",$H34&lt;&gt;$AE34,IFERROR(VLOOKUP($H34,areaCercaPuntiClassificaSquadra,3,FALSE),-1)=IFERROR(VLOOKUP($AE34,areaCercaPuntiClassificaSquadra,3,FALSE),-2)),SUMIFS(Dati!$D$2:$D$451,Dati!$A$2:$A$451,$H34,Dati!$H$2:$H$451,$AE34)+SUMIFS(Dati!$K$2:$K$451,Dati!$H$2:$H$451,$H34,Dati!$A$2:$A$451,$AE34)+SUMIFS(Dati!$C$2:$C$451,Dati!$A$2:$A$451,$H34,Dati!$H$2:$H$451,$AE34)+SUMIFS(Dati!$J$2:$J$451,Dati!$H$2:$H$451,$H34,Dati!$A$2:$A$451,$AE34),"-")</f>
        <v/>
      </c>
      <c r="BD34" s="22">
        <f>IF(AND($H34&lt;&gt;"",$AF34&lt;&gt;"",$H34&lt;&gt;$AF34,IFERROR(VLOOKUP($H34,areaCercaPuntiClassificaSquadra,3,FALSE),-1)=IFERROR(VLOOKUP($AF34,areaCercaPuntiClassificaSquadra,3,FALSE),-2)),SUMIFS(Dati!$D$2:$D$451,Dati!$A$2:$A$451,$H34,Dati!$H$2:$H$451,$AF34)+SUMIFS(Dati!$K$2:$K$451,Dati!$H$2:$H$451,$H34,Dati!$A$2:$A$451,$AF34)+SUMIFS(Dati!$C$2:$C$451,Dati!$A$2:$A$451,$H34,Dati!$H$2:$H$451,$AF34)+SUMIFS(Dati!$J$2:$J$451,Dati!$H$2:$H$451,$H34,Dati!$A$2:$A$451,$AF34),"-")</f>
        <v/>
      </c>
      <c r="BE34" s="22">
        <f>IF(AND($H34&lt;&gt;"",$AG34&lt;&gt;"",$H34&lt;&gt;$AG34,IFERROR(VLOOKUP($H34,areaCercaPuntiClassificaSquadra,3,FALSE),-1)=IFERROR(VLOOKUP($AG34,areaCercaPuntiClassificaSquadra,3,FALSE),-2)),SUMIFS(Dati!$D$2:$D$451,Dati!$A$2:$A$451,$H34,Dati!$H$2:$H$451,$AG34)+SUMIFS(Dati!$K$2:$K$451,Dati!$H$2:$H$451,$H34,Dati!$A$2:$A$451,$AG34)+SUMIFS(Dati!$C$2:$C$451,Dati!$A$2:$A$451,$H34,Dati!$H$2:$H$451,$AG34)+SUMIFS(Dati!$J$2:$J$451,Dati!$H$2:$H$451,$H34,Dati!$A$2:$A$451,$AG34),"-")</f>
        <v/>
      </c>
      <c r="BF34" s="22">
        <f>IF(AND($H34&lt;&gt;"",$AH34&lt;&gt;"",$H34&lt;&gt;$AH34,IFERROR(VLOOKUP($H34,areaCercaPuntiClassificaSquadra,3,FALSE),-1)=IFERROR(VLOOKUP($AH34,areaCercaPuntiClassificaSquadra,3,FALSE),-2)),SUMIFS(Dati!$D$2:$D$451,Dati!$A$2:$A$451,$H34,Dati!$H$2:$H$451,$AH34)+SUMIFS(Dati!$K$2:$K$451,Dati!$H$2:$H$451,$H34,Dati!$A$2:$A$451,$AH34)+SUMIFS(Dati!$C$2:$C$451,Dati!$A$2:$A$451,$H34,Dati!$H$2:$H$451,$AH34)+SUMIFS(Dati!$J$2:$J$451,Dati!$H$2:$H$451,$H34,Dati!$A$2:$A$451,$AH34),"-")</f>
        <v/>
      </c>
      <c r="BH34" s="21">
        <f>$C34</f>
        <v/>
      </c>
      <c r="BI34" s="22">
        <f>IF(AND($H34&lt;&gt;"",$Y34&lt;&gt;"",$H34&lt;&gt;$Y34,IFERROR(VLOOKUP($H34,areaCercaPuntiClassificaSquadra,3,FALSE),-1)=IFERROR(VLOOKUP($Y34,areaCercaPuntiClassificaSquadra,3,FALSE),-2)),SUMIFS(Dati!$E$2:$E$451,Dati!$A$2:$A$451,$H34,Dati!$H$2:$H$451,$Y34)+SUMIFS(Dati!$L$2:$L$451,Dati!$H$2:$H$451,$H34,Dati!$A$2:$A$451,$Y34),"-")</f>
        <v/>
      </c>
      <c r="BJ34" s="22">
        <f>IF(AND($H34&lt;&gt;"",$Z34&lt;&gt;"",$H34&lt;&gt;$Z34,IFERROR(VLOOKUP($H34,areaCercaPuntiClassificaSquadra,3,FALSE),-1)=IFERROR(VLOOKUP($Z34,areaCercaPuntiClassificaSquadra,3,FALSE),-2)),SUMIFS(Dati!$E$2:$E$451,Dati!$A$2:$A$451,$H34,Dati!$H$2:$H$451,$Z34)+SUMIFS(Dati!$L$2:$L$451,Dati!$H$2:$H$451,$H34,Dati!$A$2:$A$451,$Z34),"-")</f>
        <v/>
      </c>
      <c r="BK34" s="22">
        <f>IF(AND($H34&lt;&gt;"",$AA34&lt;&gt;"",$H34&lt;&gt;$AA34,IFERROR(VLOOKUP($H34,areaCercaPuntiClassificaSquadra,3,FALSE),-1)=IFERROR(VLOOKUP($AA34,areaCercaPuntiClassificaSquadra,3,FALSE),-2)),SUMIFS(Dati!$E$2:$E$451,Dati!$A$2:$A$451,$H34,Dati!$H$2:$H$451,$AA34)+SUMIFS(Dati!$L$2:$L$451,Dati!$H$2:$H$451,$H34,Dati!$A$2:$A$451,$AA34),"-")</f>
        <v/>
      </c>
      <c r="BL34" s="22">
        <f>IF(AND($H34&lt;&gt;"",$AB34&lt;&gt;"",$H34&lt;&gt;$AB34,IFERROR(VLOOKUP($H34,areaCercaPuntiClassificaSquadra,3,FALSE),-1)=IFERROR(VLOOKUP($AB34,areaCercaPuntiClassificaSquadra,3,FALSE),-2)),SUMIFS(Dati!$E$2:$E$451,Dati!$A$2:$A$451,$H34,Dati!$H$2:$H$451,$AB34)+SUMIFS(Dati!$L$2:$L$451,Dati!$H$2:$H$451,$H34,Dati!$A$2:$A$451,$AB34),"-")</f>
        <v/>
      </c>
      <c r="BM34" s="22">
        <f>IF(AND($H34&lt;&gt;"",$AC34&lt;&gt;"",$H34&lt;&gt;$AC34,IFERROR(VLOOKUP($H34,areaCercaPuntiClassificaSquadra,3,FALSE),-1)=IFERROR(VLOOKUP($AC34,areaCercaPuntiClassificaSquadra,3,FALSE),-2)),SUMIFS(Dati!$E$2:$E$451,Dati!$A$2:$A$451,$H34,Dati!$H$2:$H$451,$AC34)+SUMIFS(Dati!$L$2:$L$451,Dati!$H$2:$H$451,$H34,Dati!$A$2:$A$451,$AC34),"-")</f>
        <v/>
      </c>
      <c r="BN34" s="22">
        <f>IF(AND($H34&lt;&gt;"",$AD34&lt;&gt;"",$H34&lt;&gt;$AD34,IFERROR(VLOOKUP($H34,areaCercaPuntiClassificaSquadra,3,FALSE),-1)=IFERROR(VLOOKUP($AD34,areaCercaPuntiClassificaSquadra,3,FALSE),-2)),SUMIFS(Dati!$E$2:$E$451,Dati!$A$2:$A$451,$H34,Dati!$H$2:$H$451,$AD34)+SUMIFS(Dati!$L$2:$L$451,Dati!$H$2:$H$451,$H34,Dati!$A$2:$A$451,$AD34),"-")</f>
        <v/>
      </c>
      <c r="BO34" s="22">
        <f>IF(AND($H34&lt;&gt;"",$AE34&lt;&gt;"",$H34&lt;&gt;$AE34,IFERROR(VLOOKUP($H34,areaCercaPuntiClassificaSquadra,3,FALSE),-1)=IFERROR(VLOOKUP($AE34,areaCercaPuntiClassificaSquadra,3,FALSE),-2)),SUMIFS(Dati!$E$2:$E$451,Dati!$A$2:$A$451,$H34,Dati!$H$2:$H$451,$AE34)+SUMIFS(Dati!$L$2:$L$451,Dati!$H$2:$H$451,$H34,Dati!$A$2:$A$451,$AE34),"-")</f>
        <v/>
      </c>
      <c r="BP34" s="22">
        <f>IF(AND($H34&lt;&gt;"",$AF34&lt;&gt;"",$H34&lt;&gt;$AF34,IFERROR(VLOOKUP($H34,areaCercaPuntiClassificaSquadra,3,FALSE),-1)=IFERROR(VLOOKUP($AF34,areaCercaPuntiClassificaSquadra,3,FALSE),-2)),SUMIFS(Dati!$E$2:$E$451,Dati!$A$2:$A$451,$H34,Dati!$H$2:$H$451,$AF34)+SUMIFS(Dati!$L$2:$L$451,Dati!$H$2:$H$451,$H34,Dati!$A$2:$A$451,$AF34),"-")</f>
        <v/>
      </c>
      <c r="BQ34" s="22">
        <f>IF(AND($H34&lt;&gt;"",$AG34&lt;&gt;"",$H34&lt;&gt;$AG34,IFERROR(VLOOKUP($H34,areaCercaPuntiClassificaSquadra,3,FALSE),-1)=IFERROR(VLOOKUP($AG34,areaCercaPuntiClassificaSquadra,3,FALSE),-2)),SUMIFS(Dati!$E$2:$E$451,Dati!$A$2:$A$451,$H34,Dati!$H$2:$H$451,$AG34)+SUMIFS(Dati!$L$2:$L$451,Dati!$H$2:$H$451,$H34,Dati!$A$2:$A$451,$AG34),"-")</f>
        <v/>
      </c>
      <c r="BR34" s="22">
        <f>IF(AND($H34&lt;&gt;"",$AH34&lt;&gt;"",$H34&lt;&gt;$AH34,IFERROR(VLOOKUP($H34,areaCercaPuntiClassificaSquadra,3,FALSE),-1)=IFERROR(VLOOKUP($AH34,areaCercaPuntiClassificaSquadra,3,FALSE),-2)),SUMIFS(Dati!$E$2:$E$451,Dati!$A$2:$A$451,$H34,Dati!$H$2:$H$451,$AH34)+SUMIFS(Dati!$L$2:$L$451,Dati!$H$2:$H$451,$H34,Dati!$A$2:$A$451,$AH34),"-")</f>
        <v/>
      </c>
      <c r="BT34" s="21">
        <f>$C34</f>
        <v/>
      </c>
      <c r="BU34" s="22">
        <f>IF(AND($H34&lt;&gt;"",$Y34&lt;&gt;"",$H34&lt;&gt;$Y34,IFERROR(VLOOKUP($H34,areaCercaPuntiClassificaSquadra,3,FALSE),-1)=IFERROR(VLOOKUP($Y34,areaCercaPuntiClassificaSquadra,3,FALSE),-2)),SUMIFS(Dati!$F$2:$F$451,Dati!$A$2:$A$451,$H34,Dati!$H$2:$H$451,$Y34)+SUMIFS(Dati!$M$2:$M$451,Dati!$H$2:$H$451,$H34,Dati!$A$2:$A$451,$Y34),"-")</f>
        <v/>
      </c>
      <c r="BV34" s="22">
        <f>IF(AND($H34&lt;&gt;"",$Z34&lt;&gt;"",$H34&lt;&gt;$Z34,IFERROR(VLOOKUP($H34,areaCercaPuntiClassificaSquadra,3,FALSE),-1)=IFERROR(VLOOKUP($Z34,areaCercaPuntiClassificaSquadra,3,FALSE),-2)),SUMIFS(Dati!$F$2:$F$451,Dati!$A$2:$A$451,$H34,Dati!$H$2:$H$451,$Z34)+SUMIFS(Dati!$M$2:$M$451,Dati!$H$2:$H$451,$H34,Dati!$A$2:$A$451,$Z34),"-")</f>
        <v/>
      </c>
      <c r="BW34" s="22">
        <f>IF(AND($H34&lt;&gt;"",$AA34&lt;&gt;"",$H34&lt;&gt;$AA34,IFERROR(VLOOKUP($H34,areaCercaPuntiClassificaSquadra,3,FALSE),-1)=IFERROR(VLOOKUP($AA34,areaCercaPuntiClassificaSquadra,3,FALSE),-2)),SUMIFS(Dati!$F$2:$F$451,Dati!$A$2:$A$451,$H34,Dati!$H$2:$H$451,$AA34)+SUMIFS(Dati!$M$2:$M$451,Dati!$H$2:$H$451,$H34,Dati!$A$2:$A$451,$AA34),"-")</f>
        <v/>
      </c>
      <c r="BX34" s="22">
        <f>IF(AND($H34&lt;&gt;"",$AB34&lt;&gt;"",$H34&lt;&gt;$AB34,IFERROR(VLOOKUP($H34,areaCercaPuntiClassificaSquadra,3,FALSE),-1)=IFERROR(VLOOKUP($AB34,areaCercaPuntiClassificaSquadra,3,FALSE),-2)),SUMIFS(Dati!$F$2:$F$451,Dati!$A$2:$A$451,$H34,Dati!$H$2:$H$451,$AB34)+SUMIFS(Dati!$M$2:$M$451,Dati!$H$2:$H$451,$H34,Dati!$A$2:$A$451,$AB34),"-")</f>
        <v/>
      </c>
      <c r="BY34" s="22">
        <f>IF(AND($H34&lt;&gt;"",$AC34&lt;&gt;"",$H34&lt;&gt;$AC34,IFERROR(VLOOKUP($H34,areaCercaPuntiClassificaSquadra,3,FALSE),-1)=IFERROR(VLOOKUP($AC34,areaCercaPuntiClassificaSquadra,3,FALSE),-2)),SUMIFS(Dati!$F$2:$F$451,Dati!$A$2:$A$451,$H34,Dati!$H$2:$H$451,$AC34)+SUMIFS(Dati!$M$2:$M$451,Dati!$H$2:$H$451,$H34,Dati!$A$2:$A$451,$AC34),"-")</f>
        <v/>
      </c>
      <c r="BZ34" s="22">
        <f>IF(AND($H34&lt;&gt;"",$AD34&lt;&gt;"",$H34&lt;&gt;$AD34,IFERROR(VLOOKUP($H34,areaCercaPuntiClassificaSquadra,3,FALSE),-1)=IFERROR(VLOOKUP($AD34,areaCercaPuntiClassificaSquadra,3,FALSE),-2)),SUMIFS(Dati!$F$2:$F$451,Dati!$A$2:$A$451,$H34,Dati!$H$2:$H$451,$AD34)+SUMIFS(Dati!$M$2:$M$451,Dati!$H$2:$H$451,$H34,Dati!$A$2:$A$451,$AD34),"-")</f>
        <v/>
      </c>
      <c r="CA34" s="22">
        <f>IF(AND($H34&lt;&gt;"",$AE34&lt;&gt;"",$H34&lt;&gt;$AE34,IFERROR(VLOOKUP($H34,areaCercaPuntiClassificaSquadra,3,FALSE),-1)=IFERROR(VLOOKUP($AE34,areaCercaPuntiClassificaSquadra,3,FALSE),-2)),SUMIFS(Dati!$F$2:$F$451,Dati!$A$2:$A$451,$H34,Dati!$H$2:$H$451,$AE34)+SUMIFS(Dati!$M$2:$M$451,Dati!$H$2:$H$451,$H34,Dati!$A$2:$A$451,$AE34),"-")</f>
        <v/>
      </c>
      <c r="CB34" s="22">
        <f>IF(AND($H34&lt;&gt;"",$AF34&lt;&gt;"",$H34&lt;&gt;$AF34,IFERROR(VLOOKUP($H34,areaCercaPuntiClassificaSquadra,3,FALSE),-1)=IFERROR(VLOOKUP($AF34,areaCercaPuntiClassificaSquadra,3,FALSE),-2)),SUMIFS(Dati!$F$2:$F$451,Dati!$A$2:$A$451,$H34,Dati!$H$2:$H$451,$AF34)+SUMIFS(Dati!$M$2:$M$451,Dati!$H$2:$H$451,$H34,Dati!$A$2:$A$451,$AF34),"-")</f>
        <v/>
      </c>
      <c r="CC34" s="22">
        <f>IF(AND($H34&lt;&gt;"",$AG34&lt;&gt;"",$H34&lt;&gt;$AG34,IFERROR(VLOOKUP($H34,areaCercaPuntiClassificaSquadra,3,FALSE),-1)=IFERROR(VLOOKUP($AG34,areaCercaPuntiClassificaSquadra,3,FALSE),-2)),SUMIFS(Dati!$F$2:$F$451,Dati!$A$2:$A$451,$H34,Dati!$H$2:$H$451,$AG34)+SUMIFS(Dati!$M$2:$M$451,Dati!$H$2:$H$451,$H34,Dati!$A$2:$A$451,$AG34),"-")</f>
        <v/>
      </c>
      <c r="CD34" s="22">
        <f>IF(AND($H34&lt;&gt;"",$AH34&lt;&gt;"",$H34&lt;&gt;$AH34,IFERROR(VLOOKUP($H34,areaCercaPuntiClassificaSquadra,3,FALSE),-1)=IFERROR(VLOOKUP($AH34,areaCercaPuntiClassificaSquadra,3,FALSE),-2)),SUMIFS(Dati!$F$2:$F$451,Dati!$A$2:$A$451,$H34,Dati!$H$2:$H$451,$AH34)+SUMIFS(Dati!$M$2:$M$451,Dati!$H$2:$H$451,$H34,Dati!$A$2:$A$451,$AH34),"-")</f>
        <v/>
      </c>
      <c r="CF34" s="22">
        <f>IF($C34="","",SUM(AK34:AT34))</f>
        <v/>
      </c>
    </row>
    <row r="35">
      <c r="B35" s="12" t="inlineStr">
        <is>
          <t>C02</t>
        </is>
      </c>
      <c r="C35" s="13" t="n"/>
      <c r="D35" s="14" t="n"/>
      <c r="E35" s="25" t="inlineStr">
        <is>
          <t>C</t>
        </is>
      </c>
      <c r="G35" s="26">
        <f>IF($C35="","",$E35&amp;(COUNTIFS(I$14:I$113,"&gt;"&amp;I35,E$14:E$113,"="&amp;E35,C$14:C$113,"&lt;&gt;")+COUNTIFS(I$14:I$113,"="&amp;I35,H$14:H$113,"&lt;="&amp;H35,E$14:E$113,"="&amp;E35,C$14:C$113,"&lt;&gt;")))</f>
        <v/>
      </c>
      <c r="H35" s="17">
        <f>IF($C35="","",IFERROR(LEFT($C35,FIND("-",$C35)-1),$C35))</f>
        <v/>
      </c>
      <c r="I35" s="12">
        <f>TEXT(1000000000+J35,"|0000000000|")&amp;TEXT(SUM(AK35:AT35),"0000000000|")&amp;IF(SUM(BU35:CD35)=0,"0000000000|",TEXT(ROUND(SUM(BI35:BR35)/SUM(BU35:CD35),4)*100000,"0000000000|"))&amp;IF(P35=0,"0000000000|",TEXT(ROUND(O35/P35,4)*100000,"0000000000|"))</f>
        <v/>
      </c>
      <c r="J35" s="26">
        <f>L35*constPuntiVittoria+M35*constPuntiSconfitta+N35*constPuntiForfait+IF(D35="",0,D35)</f>
        <v/>
      </c>
      <c r="K35" s="12">
        <f>SUM(L35:N35)</f>
        <v/>
      </c>
      <c r="L35" s="12">
        <f>IF($H35="",0,SUMIF(Dati!$A$2:$A$451,$H35,Dati!$B$2:$B$451)+SUMIF(Dati!$H$2:$H$451,$H35,Dati!$I$2:$I$451))</f>
        <v/>
      </c>
      <c r="M35" s="12">
        <f>IF($H35="",0,SUMIF(Dati!$A$2:$A$451,$H35,Dati!$D$2:$D$451)+SUMIF(Dati!$H$2:$H$451,$H35,Dati!$K$2:$K$451))</f>
        <v/>
      </c>
      <c r="N35" s="12">
        <f>IF($H35="",0,SUMIF(Dati!$A$2:$A$451,$H35,Dati!$C$2:$C$451)+SUMIF(Dati!$H$2:$H$451,$H35,Dati!$J$2:$J$451))</f>
        <v/>
      </c>
      <c r="O35" s="12">
        <f>IF($H35="",0,SUMIF(Dati!$A$2:$A$451,$H35,Dati!$E$2:$E$451)+SUMIF(Dati!$H$2:$H$451,$H35,Dati!$L$2:$L$451))</f>
        <v/>
      </c>
      <c r="P35" s="12">
        <f>IF($H35="",0,SUMIF(Dati!$A$2:$A$451,$H35,Dati!$F$2:$F$451)+SUMIF(Dati!$H$2:$H$451,$H35,Dati!$M$2:$M$451))</f>
        <v/>
      </c>
      <c r="Q35" s="12">
        <f>IF($H35="",0,SUMIF(Dati!$A$2:$A$451,$H35,Dati!$G$2:$G$451)+SUMIF(Dati!$H$2:$H$451,$H35,Dati!$N$2:$N$451))</f>
        <v/>
      </c>
      <c r="R35" s="12">
        <f>IF(K35=0,0,ROUND(O35/K35,2))</f>
        <v/>
      </c>
      <c r="S35" s="12">
        <f>IF(K35=0,0,ROUND(P35/K35,2))</f>
        <v/>
      </c>
      <c r="T35" s="12">
        <f>IF(K35=0,0,ROUND(Q35/K35,2))</f>
        <v/>
      </c>
      <c r="U35" s="12">
        <f>IF(COUNTIFS($E$14:$E$113,$E35,$J$14:$J$113,$J35,$C$14:$C$113,"&lt;&gt;")&lt;=1,"-",SUM(AK35:AT35)&amp;"-"&amp;SUM(AW35:BF35))</f>
        <v/>
      </c>
      <c r="V35" s="18">
        <f>IF(COUNTIFS($E$14:$E$113,$E35,$J$14:$J$113,$J35,$C$14:$C$113,"&lt;&gt;",$CF$14:$CF$113,$CF35)&lt;=1,"-",IF(SUM(BU35:CD35)=0,0,ROUND(SUM(BI35:BR35)/SUM(BU35:CD35),3)))</f>
        <v/>
      </c>
      <c r="W35" s="18">
        <f>IF(COUNTIFS($E$14:$E$113,$E35,$J$14:$J$113,$J35,$C$14:$C$113,"&lt;&gt;",$CF$14:$CF$113,$CF35,$V$14:$V$113,$V35)&lt;=1,"-",IF(P35=0,0,ROUND(O35/P35,3)))</f>
        <v/>
      </c>
      <c r="X35" s="19">
        <f>IF($C35="","",$E35&amp;"#"&amp;COUNTIFS($E$14:$E35,$E35,$C$14:$C35,"&lt;&gt;"))</f>
        <v/>
      </c>
      <c r="Y35" s="20">
        <f>IFERROR(INDEX($H$14:$H$113,MATCH($E35&amp;"#1",$X$14:$X$113,0)),"")</f>
        <v/>
      </c>
      <c r="Z35" s="20">
        <f>IFERROR(INDEX($H$14:$H$113,MATCH($E35&amp;"#2",$X$14:$X$113,0)),"")</f>
        <v/>
      </c>
      <c r="AA35" s="20">
        <f>IFERROR(INDEX($H$14:$H$113,MATCH($E35&amp;"#3",$X$14:$X$113,0)),"")</f>
        <v/>
      </c>
      <c r="AB35" s="20">
        <f>IFERROR(INDEX($H$14:$H$113,MATCH($E35&amp;"#4",$X$14:$X$113,0)),"")</f>
        <v/>
      </c>
      <c r="AC35" s="20">
        <f>IFERROR(INDEX($H$14:$H$113,MATCH($E35&amp;"#5",$X$14:$X$113,0)),"")</f>
        <v/>
      </c>
      <c r="AD35" s="20">
        <f>IFERROR(INDEX($H$14:$H$113,MATCH($E35&amp;"#6",$X$14:$X$113,0)),"")</f>
        <v/>
      </c>
      <c r="AE35" s="20">
        <f>IFERROR(INDEX($H$14:$H$113,MATCH($E35&amp;"#7",$X$14:$X$113,0)),"")</f>
        <v/>
      </c>
      <c r="AF35" s="20">
        <f>IFERROR(INDEX($H$14:$H$113,MATCH($E35&amp;"#8",$X$14:$X$113,0)),"")</f>
        <v/>
      </c>
      <c r="AG35" s="20">
        <f>IFERROR(INDEX($H$14:$H$113,MATCH($E35&amp;"#9",$X$14:$X$113,0)),"")</f>
        <v/>
      </c>
      <c r="AH35" s="20">
        <f>IFERROR(INDEX($H$14:$H$113,MATCH($E35&amp;"#10",$X$14:$X$113,0)),"")</f>
        <v/>
      </c>
      <c r="AJ35" s="21">
        <f>$C35</f>
        <v/>
      </c>
      <c r="AK35" s="22">
        <f>IF(AND($H35&lt;&gt;"",$Y35&lt;&gt;"",$H35&lt;&gt;$Y35,IFERROR(VLOOKUP($H35,areaCercaPuntiClassificaSquadra,3,FALSE),-1)=IFERROR(VLOOKUP($Y35,areaCercaPuntiClassificaSquadra,3,FALSE),-2)),SUMIFS(Dati!$B$2:$B$451,Dati!$A$2:$A$451,$H35,Dati!$H$2:$H$451,$Y35)+SUMIFS(Dati!$I$2:$I$451,Dati!$H$2:$H$451,$H35,Dati!$A$2:$A$451,$Y35),"-")</f>
        <v/>
      </c>
      <c r="AL35" s="22">
        <f>IF(AND($H35&lt;&gt;"",$Z35&lt;&gt;"",$H35&lt;&gt;$Z35,IFERROR(VLOOKUP($H35,areaCercaPuntiClassificaSquadra,3,FALSE),-1)=IFERROR(VLOOKUP($Z35,areaCercaPuntiClassificaSquadra,3,FALSE),-2)),SUMIFS(Dati!$B$2:$B$451,Dati!$A$2:$A$451,$H35,Dati!$H$2:$H$451,$Z35)+SUMIFS(Dati!$I$2:$I$451,Dati!$H$2:$H$451,$H35,Dati!$A$2:$A$451,$Z35),"-")</f>
        <v/>
      </c>
      <c r="AM35" s="22">
        <f>IF(AND($H35&lt;&gt;"",$AA35&lt;&gt;"",$H35&lt;&gt;$AA35,IFERROR(VLOOKUP($H35,areaCercaPuntiClassificaSquadra,3,FALSE),-1)=IFERROR(VLOOKUP($AA35,areaCercaPuntiClassificaSquadra,3,FALSE),-2)),SUMIFS(Dati!$B$2:$B$451,Dati!$A$2:$A$451,$H35,Dati!$H$2:$H$451,$AA35)+SUMIFS(Dati!$I$2:$I$451,Dati!$H$2:$H$451,$H35,Dati!$A$2:$A$451,$AA35),"-")</f>
        <v/>
      </c>
      <c r="AN35" s="22">
        <f>IF(AND($H35&lt;&gt;"",$AB35&lt;&gt;"",$H35&lt;&gt;$AB35,IFERROR(VLOOKUP($H35,areaCercaPuntiClassificaSquadra,3,FALSE),-1)=IFERROR(VLOOKUP($AB35,areaCercaPuntiClassificaSquadra,3,FALSE),-2)),SUMIFS(Dati!$B$2:$B$451,Dati!$A$2:$A$451,$H35,Dati!$H$2:$H$451,$AB35)+SUMIFS(Dati!$I$2:$I$451,Dati!$H$2:$H$451,$H35,Dati!$A$2:$A$451,$AB35),"-")</f>
        <v/>
      </c>
      <c r="AO35" s="22">
        <f>IF(AND($H35&lt;&gt;"",$AC35&lt;&gt;"",$H35&lt;&gt;$AC35,IFERROR(VLOOKUP($H35,areaCercaPuntiClassificaSquadra,3,FALSE),-1)=IFERROR(VLOOKUP($AC35,areaCercaPuntiClassificaSquadra,3,FALSE),-2)),SUMIFS(Dati!$B$2:$B$451,Dati!$A$2:$A$451,$H35,Dati!$H$2:$H$451,$AC35)+SUMIFS(Dati!$I$2:$I$451,Dati!$H$2:$H$451,$H35,Dati!$A$2:$A$451,$AC35),"-")</f>
        <v/>
      </c>
      <c r="AP35" s="22">
        <f>IF(AND($H35&lt;&gt;"",$AD35&lt;&gt;"",$H35&lt;&gt;$AD35,IFERROR(VLOOKUP($H35,areaCercaPuntiClassificaSquadra,3,FALSE),-1)=IFERROR(VLOOKUP($AD35,areaCercaPuntiClassificaSquadra,3,FALSE),-2)),SUMIFS(Dati!$B$2:$B$451,Dati!$A$2:$A$451,$H35,Dati!$H$2:$H$451,$AD35)+SUMIFS(Dati!$I$2:$I$451,Dati!$H$2:$H$451,$H35,Dati!$A$2:$A$451,$AD35),"-")</f>
        <v/>
      </c>
      <c r="AQ35" s="22">
        <f>IF(AND($H35&lt;&gt;"",$AE35&lt;&gt;"",$H35&lt;&gt;$AE35,IFERROR(VLOOKUP($H35,areaCercaPuntiClassificaSquadra,3,FALSE),-1)=IFERROR(VLOOKUP($AE35,areaCercaPuntiClassificaSquadra,3,FALSE),-2)),SUMIFS(Dati!$B$2:$B$451,Dati!$A$2:$A$451,$H35,Dati!$H$2:$H$451,$AE35)+SUMIFS(Dati!$I$2:$I$451,Dati!$H$2:$H$451,$H35,Dati!$A$2:$A$451,$AE35),"-")</f>
        <v/>
      </c>
      <c r="AR35" s="22">
        <f>IF(AND($H35&lt;&gt;"",$AF35&lt;&gt;"",$H35&lt;&gt;$AF35,IFERROR(VLOOKUP($H35,areaCercaPuntiClassificaSquadra,3,FALSE),-1)=IFERROR(VLOOKUP($AF35,areaCercaPuntiClassificaSquadra,3,FALSE),-2)),SUMIFS(Dati!$B$2:$B$451,Dati!$A$2:$A$451,$H35,Dati!$H$2:$H$451,$AF35)+SUMIFS(Dati!$I$2:$I$451,Dati!$H$2:$H$451,$H35,Dati!$A$2:$A$451,$AF35),"-")</f>
        <v/>
      </c>
      <c r="AS35" s="22">
        <f>IF(AND($H35&lt;&gt;"",$AG35&lt;&gt;"",$H35&lt;&gt;$AG35,IFERROR(VLOOKUP($H35,areaCercaPuntiClassificaSquadra,3,FALSE),-1)=IFERROR(VLOOKUP($AG35,areaCercaPuntiClassificaSquadra,3,FALSE),-2)),SUMIFS(Dati!$B$2:$B$451,Dati!$A$2:$A$451,$H35,Dati!$H$2:$H$451,$AG35)+SUMIFS(Dati!$I$2:$I$451,Dati!$H$2:$H$451,$H35,Dati!$A$2:$A$451,$AG35),"-")</f>
        <v/>
      </c>
      <c r="AT35" s="22">
        <f>IF(AND($H35&lt;&gt;"",$AH35&lt;&gt;"",$H35&lt;&gt;$AH35,IFERROR(VLOOKUP($H35,areaCercaPuntiClassificaSquadra,3,FALSE),-1)=IFERROR(VLOOKUP($AH35,areaCercaPuntiClassificaSquadra,3,FALSE),-2)),SUMIFS(Dati!$B$2:$B$451,Dati!$A$2:$A$451,$H35,Dati!$H$2:$H$451,$AH35)+SUMIFS(Dati!$I$2:$I$451,Dati!$H$2:$H$451,$H35,Dati!$A$2:$A$451,$AH35),"-")</f>
        <v/>
      </c>
      <c r="AV35" s="21">
        <f>$C35</f>
        <v/>
      </c>
      <c r="AW35" s="22">
        <f>IF(AND($H35&lt;&gt;"",$Y35&lt;&gt;"",$H35&lt;&gt;$Y35,IFERROR(VLOOKUP($H35,areaCercaPuntiClassificaSquadra,3,FALSE),-1)=IFERROR(VLOOKUP($Y35,areaCercaPuntiClassificaSquadra,3,FALSE),-2)),SUMIFS(Dati!$D$2:$D$451,Dati!$A$2:$A$451,$H35,Dati!$H$2:$H$451,$Y35)+SUMIFS(Dati!$K$2:$K$451,Dati!$H$2:$H$451,$H35,Dati!$A$2:$A$451,$Y35)+SUMIFS(Dati!$C$2:$C$451,Dati!$A$2:$A$451,$H35,Dati!$H$2:$H$451,$Y35)+SUMIFS(Dati!$J$2:$J$451,Dati!$H$2:$H$451,$H35,Dati!$A$2:$A$451,$Y35),"-")</f>
        <v/>
      </c>
      <c r="AX35" s="22">
        <f>IF(AND($H35&lt;&gt;"",$Z35&lt;&gt;"",$H35&lt;&gt;$Z35,IFERROR(VLOOKUP($H35,areaCercaPuntiClassificaSquadra,3,FALSE),-1)=IFERROR(VLOOKUP($Z35,areaCercaPuntiClassificaSquadra,3,FALSE),-2)),SUMIFS(Dati!$D$2:$D$451,Dati!$A$2:$A$451,$H35,Dati!$H$2:$H$451,$Z35)+SUMIFS(Dati!$K$2:$K$451,Dati!$H$2:$H$451,$H35,Dati!$A$2:$A$451,$Z35)+SUMIFS(Dati!$C$2:$C$451,Dati!$A$2:$A$451,$H35,Dati!$H$2:$H$451,$Z35)+SUMIFS(Dati!$J$2:$J$451,Dati!$H$2:$H$451,$H35,Dati!$A$2:$A$451,$Z35),"-")</f>
        <v/>
      </c>
      <c r="AY35" s="22">
        <f>IF(AND($H35&lt;&gt;"",$AA35&lt;&gt;"",$H35&lt;&gt;$AA35,IFERROR(VLOOKUP($H35,areaCercaPuntiClassificaSquadra,3,FALSE),-1)=IFERROR(VLOOKUP($AA35,areaCercaPuntiClassificaSquadra,3,FALSE),-2)),SUMIFS(Dati!$D$2:$D$451,Dati!$A$2:$A$451,$H35,Dati!$H$2:$H$451,$AA35)+SUMIFS(Dati!$K$2:$K$451,Dati!$H$2:$H$451,$H35,Dati!$A$2:$A$451,$AA35)+SUMIFS(Dati!$C$2:$C$451,Dati!$A$2:$A$451,$H35,Dati!$H$2:$H$451,$AA35)+SUMIFS(Dati!$J$2:$J$451,Dati!$H$2:$H$451,$H35,Dati!$A$2:$A$451,$AA35),"-")</f>
        <v/>
      </c>
      <c r="AZ35" s="22">
        <f>IF(AND($H35&lt;&gt;"",$AB35&lt;&gt;"",$H35&lt;&gt;$AB35,IFERROR(VLOOKUP($H35,areaCercaPuntiClassificaSquadra,3,FALSE),-1)=IFERROR(VLOOKUP($AB35,areaCercaPuntiClassificaSquadra,3,FALSE),-2)),SUMIFS(Dati!$D$2:$D$451,Dati!$A$2:$A$451,$H35,Dati!$H$2:$H$451,$AB35)+SUMIFS(Dati!$K$2:$K$451,Dati!$H$2:$H$451,$H35,Dati!$A$2:$A$451,$AB35)+SUMIFS(Dati!$C$2:$C$451,Dati!$A$2:$A$451,$H35,Dati!$H$2:$H$451,$AB35)+SUMIFS(Dati!$J$2:$J$451,Dati!$H$2:$H$451,$H35,Dati!$A$2:$A$451,$AB35),"-")</f>
        <v/>
      </c>
      <c r="BA35" s="22">
        <f>IF(AND($H35&lt;&gt;"",$AC35&lt;&gt;"",$H35&lt;&gt;$AC35,IFERROR(VLOOKUP($H35,areaCercaPuntiClassificaSquadra,3,FALSE),-1)=IFERROR(VLOOKUP($AC35,areaCercaPuntiClassificaSquadra,3,FALSE),-2)),SUMIFS(Dati!$D$2:$D$451,Dati!$A$2:$A$451,$H35,Dati!$H$2:$H$451,$AC35)+SUMIFS(Dati!$K$2:$K$451,Dati!$H$2:$H$451,$H35,Dati!$A$2:$A$451,$AC35)+SUMIFS(Dati!$C$2:$C$451,Dati!$A$2:$A$451,$H35,Dati!$H$2:$H$451,$AC35)+SUMIFS(Dati!$J$2:$J$451,Dati!$H$2:$H$451,$H35,Dati!$A$2:$A$451,$AC35),"-")</f>
        <v/>
      </c>
      <c r="BB35" s="22">
        <f>IF(AND($H35&lt;&gt;"",$AD35&lt;&gt;"",$H35&lt;&gt;$AD35,IFERROR(VLOOKUP($H35,areaCercaPuntiClassificaSquadra,3,FALSE),-1)=IFERROR(VLOOKUP($AD35,areaCercaPuntiClassificaSquadra,3,FALSE),-2)),SUMIFS(Dati!$D$2:$D$451,Dati!$A$2:$A$451,$H35,Dati!$H$2:$H$451,$AD35)+SUMIFS(Dati!$K$2:$K$451,Dati!$H$2:$H$451,$H35,Dati!$A$2:$A$451,$AD35)+SUMIFS(Dati!$C$2:$C$451,Dati!$A$2:$A$451,$H35,Dati!$H$2:$H$451,$AD35)+SUMIFS(Dati!$J$2:$J$451,Dati!$H$2:$H$451,$H35,Dati!$A$2:$A$451,$AD35),"-")</f>
        <v/>
      </c>
      <c r="BC35" s="22">
        <f>IF(AND($H35&lt;&gt;"",$AE35&lt;&gt;"",$H35&lt;&gt;$AE35,IFERROR(VLOOKUP($H35,areaCercaPuntiClassificaSquadra,3,FALSE),-1)=IFERROR(VLOOKUP($AE35,areaCercaPuntiClassificaSquadra,3,FALSE),-2)),SUMIFS(Dati!$D$2:$D$451,Dati!$A$2:$A$451,$H35,Dati!$H$2:$H$451,$AE35)+SUMIFS(Dati!$K$2:$K$451,Dati!$H$2:$H$451,$H35,Dati!$A$2:$A$451,$AE35)+SUMIFS(Dati!$C$2:$C$451,Dati!$A$2:$A$451,$H35,Dati!$H$2:$H$451,$AE35)+SUMIFS(Dati!$J$2:$J$451,Dati!$H$2:$H$451,$H35,Dati!$A$2:$A$451,$AE35),"-")</f>
        <v/>
      </c>
      <c r="BD35" s="22">
        <f>IF(AND($H35&lt;&gt;"",$AF35&lt;&gt;"",$H35&lt;&gt;$AF35,IFERROR(VLOOKUP($H35,areaCercaPuntiClassificaSquadra,3,FALSE),-1)=IFERROR(VLOOKUP($AF35,areaCercaPuntiClassificaSquadra,3,FALSE),-2)),SUMIFS(Dati!$D$2:$D$451,Dati!$A$2:$A$451,$H35,Dati!$H$2:$H$451,$AF35)+SUMIFS(Dati!$K$2:$K$451,Dati!$H$2:$H$451,$H35,Dati!$A$2:$A$451,$AF35)+SUMIFS(Dati!$C$2:$C$451,Dati!$A$2:$A$451,$H35,Dati!$H$2:$H$451,$AF35)+SUMIFS(Dati!$J$2:$J$451,Dati!$H$2:$H$451,$H35,Dati!$A$2:$A$451,$AF35),"-")</f>
        <v/>
      </c>
      <c r="BE35" s="22">
        <f>IF(AND($H35&lt;&gt;"",$AG35&lt;&gt;"",$H35&lt;&gt;$AG35,IFERROR(VLOOKUP($H35,areaCercaPuntiClassificaSquadra,3,FALSE),-1)=IFERROR(VLOOKUP($AG35,areaCercaPuntiClassificaSquadra,3,FALSE),-2)),SUMIFS(Dati!$D$2:$D$451,Dati!$A$2:$A$451,$H35,Dati!$H$2:$H$451,$AG35)+SUMIFS(Dati!$K$2:$K$451,Dati!$H$2:$H$451,$H35,Dati!$A$2:$A$451,$AG35)+SUMIFS(Dati!$C$2:$C$451,Dati!$A$2:$A$451,$H35,Dati!$H$2:$H$451,$AG35)+SUMIFS(Dati!$J$2:$J$451,Dati!$H$2:$H$451,$H35,Dati!$A$2:$A$451,$AG35),"-")</f>
        <v/>
      </c>
      <c r="BF35" s="22">
        <f>IF(AND($H35&lt;&gt;"",$AH35&lt;&gt;"",$H35&lt;&gt;$AH35,IFERROR(VLOOKUP($H35,areaCercaPuntiClassificaSquadra,3,FALSE),-1)=IFERROR(VLOOKUP($AH35,areaCercaPuntiClassificaSquadra,3,FALSE),-2)),SUMIFS(Dati!$D$2:$D$451,Dati!$A$2:$A$451,$H35,Dati!$H$2:$H$451,$AH35)+SUMIFS(Dati!$K$2:$K$451,Dati!$H$2:$H$451,$H35,Dati!$A$2:$A$451,$AH35)+SUMIFS(Dati!$C$2:$C$451,Dati!$A$2:$A$451,$H35,Dati!$H$2:$H$451,$AH35)+SUMIFS(Dati!$J$2:$J$451,Dati!$H$2:$H$451,$H35,Dati!$A$2:$A$451,$AH35),"-")</f>
        <v/>
      </c>
      <c r="BH35" s="21">
        <f>$C35</f>
        <v/>
      </c>
      <c r="BI35" s="22">
        <f>IF(AND($H35&lt;&gt;"",$Y35&lt;&gt;"",$H35&lt;&gt;$Y35,IFERROR(VLOOKUP($H35,areaCercaPuntiClassificaSquadra,3,FALSE),-1)=IFERROR(VLOOKUP($Y35,areaCercaPuntiClassificaSquadra,3,FALSE),-2)),SUMIFS(Dati!$E$2:$E$451,Dati!$A$2:$A$451,$H35,Dati!$H$2:$H$451,$Y35)+SUMIFS(Dati!$L$2:$L$451,Dati!$H$2:$H$451,$H35,Dati!$A$2:$A$451,$Y35),"-")</f>
        <v/>
      </c>
      <c r="BJ35" s="22">
        <f>IF(AND($H35&lt;&gt;"",$Z35&lt;&gt;"",$H35&lt;&gt;$Z35,IFERROR(VLOOKUP($H35,areaCercaPuntiClassificaSquadra,3,FALSE),-1)=IFERROR(VLOOKUP($Z35,areaCercaPuntiClassificaSquadra,3,FALSE),-2)),SUMIFS(Dati!$E$2:$E$451,Dati!$A$2:$A$451,$H35,Dati!$H$2:$H$451,$Z35)+SUMIFS(Dati!$L$2:$L$451,Dati!$H$2:$H$451,$H35,Dati!$A$2:$A$451,$Z35),"-")</f>
        <v/>
      </c>
      <c r="BK35" s="22">
        <f>IF(AND($H35&lt;&gt;"",$AA35&lt;&gt;"",$H35&lt;&gt;$AA35,IFERROR(VLOOKUP($H35,areaCercaPuntiClassificaSquadra,3,FALSE),-1)=IFERROR(VLOOKUP($AA35,areaCercaPuntiClassificaSquadra,3,FALSE),-2)),SUMIFS(Dati!$E$2:$E$451,Dati!$A$2:$A$451,$H35,Dati!$H$2:$H$451,$AA35)+SUMIFS(Dati!$L$2:$L$451,Dati!$H$2:$H$451,$H35,Dati!$A$2:$A$451,$AA35),"-")</f>
        <v/>
      </c>
      <c r="BL35" s="22">
        <f>IF(AND($H35&lt;&gt;"",$AB35&lt;&gt;"",$H35&lt;&gt;$AB35,IFERROR(VLOOKUP($H35,areaCercaPuntiClassificaSquadra,3,FALSE),-1)=IFERROR(VLOOKUP($AB35,areaCercaPuntiClassificaSquadra,3,FALSE),-2)),SUMIFS(Dati!$E$2:$E$451,Dati!$A$2:$A$451,$H35,Dati!$H$2:$H$451,$AB35)+SUMIFS(Dati!$L$2:$L$451,Dati!$H$2:$H$451,$H35,Dati!$A$2:$A$451,$AB35),"-")</f>
        <v/>
      </c>
      <c r="BM35" s="22">
        <f>IF(AND($H35&lt;&gt;"",$AC35&lt;&gt;"",$H35&lt;&gt;$AC35,IFERROR(VLOOKUP($H35,areaCercaPuntiClassificaSquadra,3,FALSE),-1)=IFERROR(VLOOKUP($AC35,areaCercaPuntiClassificaSquadra,3,FALSE),-2)),SUMIFS(Dati!$E$2:$E$451,Dati!$A$2:$A$451,$H35,Dati!$H$2:$H$451,$AC35)+SUMIFS(Dati!$L$2:$L$451,Dati!$H$2:$H$451,$H35,Dati!$A$2:$A$451,$AC35),"-")</f>
        <v/>
      </c>
      <c r="BN35" s="22">
        <f>IF(AND($H35&lt;&gt;"",$AD35&lt;&gt;"",$H35&lt;&gt;$AD35,IFERROR(VLOOKUP($H35,areaCercaPuntiClassificaSquadra,3,FALSE),-1)=IFERROR(VLOOKUP($AD35,areaCercaPuntiClassificaSquadra,3,FALSE),-2)),SUMIFS(Dati!$E$2:$E$451,Dati!$A$2:$A$451,$H35,Dati!$H$2:$H$451,$AD35)+SUMIFS(Dati!$L$2:$L$451,Dati!$H$2:$H$451,$H35,Dati!$A$2:$A$451,$AD35),"-")</f>
        <v/>
      </c>
      <c r="BO35" s="22">
        <f>IF(AND($H35&lt;&gt;"",$AE35&lt;&gt;"",$H35&lt;&gt;$AE35,IFERROR(VLOOKUP($H35,areaCercaPuntiClassificaSquadra,3,FALSE),-1)=IFERROR(VLOOKUP($AE35,areaCercaPuntiClassificaSquadra,3,FALSE),-2)),SUMIFS(Dati!$E$2:$E$451,Dati!$A$2:$A$451,$H35,Dati!$H$2:$H$451,$AE35)+SUMIFS(Dati!$L$2:$L$451,Dati!$H$2:$H$451,$H35,Dati!$A$2:$A$451,$AE35),"-")</f>
        <v/>
      </c>
      <c r="BP35" s="22">
        <f>IF(AND($H35&lt;&gt;"",$AF35&lt;&gt;"",$H35&lt;&gt;$AF35,IFERROR(VLOOKUP($H35,areaCercaPuntiClassificaSquadra,3,FALSE),-1)=IFERROR(VLOOKUP($AF35,areaCercaPuntiClassificaSquadra,3,FALSE),-2)),SUMIFS(Dati!$E$2:$E$451,Dati!$A$2:$A$451,$H35,Dati!$H$2:$H$451,$AF35)+SUMIFS(Dati!$L$2:$L$451,Dati!$H$2:$H$451,$H35,Dati!$A$2:$A$451,$AF35),"-")</f>
        <v/>
      </c>
      <c r="BQ35" s="22">
        <f>IF(AND($H35&lt;&gt;"",$AG35&lt;&gt;"",$H35&lt;&gt;$AG35,IFERROR(VLOOKUP($H35,areaCercaPuntiClassificaSquadra,3,FALSE),-1)=IFERROR(VLOOKUP($AG35,areaCercaPuntiClassificaSquadra,3,FALSE),-2)),SUMIFS(Dati!$E$2:$E$451,Dati!$A$2:$A$451,$H35,Dati!$H$2:$H$451,$AG35)+SUMIFS(Dati!$L$2:$L$451,Dati!$H$2:$H$451,$H35,Dati!$A$2:$A$451,$AG35),"-")</f>
        <v/>
      </c>
      <c r="BR35" s="22">
        <f>IF(AND($H35&lt;&gt;"",$AH35&lt;&gt;"",$H35&lt;&gt;$AH35,IFERROR(VLOOKUP($H35,areaCercaPuntiClassificaSquadra,3,FALSE),-1)=IFERROR(VLOOKUP($AH35,areaCercaPuntiClassificaSquadra,3,FALSE),-2)),SUMIFS(Dati!$E$2:$E$451,Dati!$A$2:$A$451,$H35,Dati!$H$2:$H$451,$AH35)+SUMIFS(Dati!$L$2:$L$451,Dati!$H$2:$H$451,$H35,Dati!$A$2:$A$451,$AH35),"-")</f>
        <v/>
      </c>
      <c r="BT35" s="21">
        <f>$C35</f>
        <v/>
      </c>
      <c r="BU35" s="22">
        <f>IF(AND($H35&lt;&gt;"",$Y35&lt;&gt;"",$H35&lt;&gt;$Y35,IFERROR(VLOOKUP($H35,areaCercaPuntiClassificaSquadra,3,FALSE),-1)=IFERROR(VLOOKUP($Y35,areaCercaPuntiClassificaSquadra,3,FALSE),-2)),SUMIFS(Dati!$F$2:$F$451,Dati!$A$2:$A$451,$H35,Dati!$H$2:$H$451,$Y35)+SUMIFS(Dati!$M$2:$M$451,Dati!$H$2:$H$451,$H35,Dati!$A$2:$A$451,$Y35),"-")</f>
        <v/>
      </c>
      <c r="BV35" s="22">
        <f>IF(AND($H35&lt;&gt;"",$Z35&lt;&gt;"",$H35&lt;&gt;$Z35,IFERROR(VLOOKUP($H35,areaCercaPuntiClassificaSquadra,3,FALSE),-1)=IFERROR(VLOOKUP($Z35,areaCercaPuntiClassificaSquadra,3,FALSE),-2)),SUMIFS(Dati!$F$2:$F$451,Dati!$A$2:$A$451,$H35,Dati!$H$2:$H$451,$Z35)+SUMIFS(Dati!$M$2:$M$451,Dati!$H$2:$H$451,$H35,Dati!$A$2:$A$451,$Z35),"-")</f>
        <v/>
      </c>
      <c r="BW35" s="22">
        <f>IF(AND($H35&lt;&gt;"",$AA35&lt;&gt;"",$H35&lt;&gt;$AA35,IFERROR(VLOOKUP($H35,areaCercaPuntiClassificaSquadra,3,FALSE),-1)=IFERROR(VLOOKUP($AA35,areaCercaPuntiClassificaSquadra,3,FALSE),-2)),SUMIFS(Dati!$F$2:$F$451,Dati!$A$2:$A$451,$H35,Dati!$H$2:$H$451,$AA35)+SUMIFS(Dati!$M$2:$M$451,Dati!$H$2:$H$451,$H35,Dati!$A$2:$A$451,$AA35),"-")</f>
        <v/>
      </c>
      <c r="BX35" s="22">
        <f>IF(AND($H35&lt;&gt;"",$AB35&lt;&gt;"",$H35&lt;&gt;$AB35,IFERROR(VLOOKUP($H35,areaCercaPuntiClassificaSquadra,3,FALSE),-1)=IFERROR(VLOOKUP($AB35,areaCercaPuntiClassificaSquadra,3,FALSE),-2)),SUMIFS(Dati!$F$2:$F$451,Dati!$A$2:$A$451,$H35,Dati!$H$2:$H$451,$AB35)+SUMIFS(Dati!$M$2:$M$451,Dati!$H$2:$H$451,$H35,Dati!$A$2:$A$451,$AB35),"-")</f>
        <v/>
      </c>
      <c r="BY35" s="22">
        <f>IF(AND($H35&lt;&gt;"",$AC35&lt;&gt;"",$H35&lt;&gt;$AC35,IFERROR(VLOOKUP($H35,areaCercaPuntiClassificaSquadra,3,FALSE),-1)=IFERROR(VLOOKUP($AC35,areaCercaPuntiClassificaSquadra,3,FALSE),-2)),SUMIFS(Dati!$F$2:$F$451,Dati!$A$2:$A$451,$H35,Dati!$H$2:$H$451,$AC35)+SUMIFS(Dati!$M$2:$M$451,Dati!$H$2:$H$451,$H35,Dati!$A$2:$A$451,$AC35),"-")</f>
        <v/>
      </c>
      <c r="BZ35" s="22">
        <f>IF(AND($H35&lt;&gt;"",$AD35&lt;&gt;"",$H35&lt;&gt;$AD35,IFERROR(VLOOKUP($H35,areaCercaPuntiClassificaSquadra,3,FALSE),-1)=IFERROR(VLOOKUP($AD35,areaCercaPuntiClassificaSquadra,3,FALSE),-2)),SUMIFS(Dati!$F$2:$F$451,Dati!$A$2:$A$451,$H35,Dati!$H$2:$H$451,$AD35)+SUMIFS(Dati!$M$2:$M$451,Dati!$H$2:$H$451,$H35,Dati!$A$2:$A$451,$AD35),"-")</f>
        <v/>
      </c>
      <c r="CA35" s="22">
        <f>IF(AND($H35&lt;&gt;"",$AE35&lt;&gt;"",$H35&lt;&gt;$AE35,IFERROR(VLOOKUP($H35,areaCercaPuntiClassificaSquadra,3,FALSE),-1)=IFERROR(VLOOKUP($AE35,areaCercaPuntiClassificaSquadra,3,FALSE),-2)),SUMIFS(Dati!$F$2:$F$451,Dati!$A$2:$A$451,$H35,Dati!$H$2:$H$451,$AE35)+SUMIFS(Dati!$M$2:$M$451,Dati!$H$2:$H$451,$H35,Dati!$A$2:$A$451,$AE35),"-")</f>
        <v/>
      </c>
      <c r="CB35" s="22">
        <f>IF(AND($H35&lt;&gt;"",$AF35&lt;&gt;"",$H35&lt;&gt;$AF35,IFERROR(VLOOKUP($H35,areaCercaPuntiClassificaSquadra,3,FALSE),-1)=IFERROR(VLOOKUP($AF35,areaCercaPuntiClassificaSquadra,3,FALSE),-2)),SUMIFS(Dati!$F$2:$F$451,Dati!$A$2:$A$451,$H35,Dati!$H$2:$H$451,$AF35)+SUMIFS(Dati!$M$2:$M$451,Dati!$H$2:$H$451,$H35,Dati!$A$2:$A$451,$AF35),"-")</f>
        <v/>
      </c>
      <c r="CC35" s="22">
        <f>IF(AND($H35&lt;&gt;"",$AG35&lt;&gt;"",$H35&lt;&gt;$AG35,IFERROR(VLOOKUP($H35,areaCercaPuntiClassificaSquadra,3,FALSE),-1)=IFERROR(VLOOKUP($AG35,areaCercaPuntiClassificaSquadra,3,FALSE),-2)),SUMIFS(Dati!$F$2:$F$451,Dati!$A$2:$A$451,$H35,Dati!$H$2:$H$451,$AG35)+SUMIFS(Dati!$M$2:$M$451,Dati!$H$2:$H$451,$H35,Dati!$A$2:$A$451,$AG35),"-")</f>
        <v/>
      </c>
      <c r="CD35" s="22">
        <f>IF(AND($H35&lt;&gt;"",$AH35&lt;&gt;"",$H35&lt;&gt;$AH35,IFERROR(VLOOKUP($H35,areaCercaPuntiClassificaSquadra,3,FALSE),-1)=IFERROR(VLOOKUP($AH35,areaCercaPuntiClassificaSquadra,3,FALSE),-2)),SUMIFS(Dati!$F$2:$F$451,Dati!$A$2:$A$451,$H35,Dati!$H$2:$H$451,$AH35)+SUMIFS(Dati!$M$2:$M$451,Dati!$H$2:$H$451,$H35,Dati!$A$2:$A$451,$AH35),"-")</f>
        <v/>
      </c>
      <c r="CF35" s="22">
        <f>IF($C35="","",SUM(AK35:AT35))</f>
        <v/>
      </c>
    </row>
    <row r="36">
      <c r="B36" s="12" t="inlineStr">
        <is>
          <t>C03</t>
        </is>
      </c>
      <c r="C36" s="13" t="n"/>
      <c r="D36" s="14" t="n"/>
      <c r="E36" s="25" t="inlineStr">
        <is>
          <t>C</t>
        </is>
      </c>
      <c r="G36" s="26">
        <f>IF($C36="","",$E36&amp;(COUNTIFS(I$14:I$113,"&gt;"&amp;I36,E$14:E$113,"="&amp;E36,C$14:C$113,"&lt;&gt;")+COUNTIFS(I$14:I$113,"="&amp;I36,H$14:H$113,"&lt;="&amp;H36,E$14:E$113,"="&amp;E36,C$14:C$113,"&lt;&gt;")))</f>
        <v/>
      </c>
      <c r="H36" s="17">
        <f>IF($C36="","",IFERROR(LEFT($C36,FIND("-",$C36)-1),$C36))</f>
        <v/>
      </c>
      <c r="I36" s="12">
        <f>TEXT(1000000000+J36,"|0000000000|")&amp;TEXT(SUM(AK36:AT36),"0000000000|")&amp;IF(SUM(BU36:CD36)=0,"0000000000|",TEXT(ROUND(SUM(BI36:BR36)/SUM(BU36:CD36),4)*100000,"0000000000|"))&amp;IF(P36=0,"0000000000|",TEXT(ROUND(O36/P36,4)*100000,"0000000000|"))</f>
        <v/>
      </c>
      <c r="J36" s="26">
        <f>L36*constPuntiVittoria+M36*constPuntiSconfitta+N36*constPuntiForfait+IF(D36="",0,D36)</f>
        <v/>
      </c>
      <c r="K36" s="12">
        <f>SUM(L36:N36)</f>
        <v/>
      </c>
      <c r="L36" s="12">
        <f>IF($H36="",0,SUMIF(Dati!$A$2:$A$451,$H36,Dati!$B$2:$B$451)+SUMIF(Dati!$H$2:$H$451,$H36,Dati!$I$2:$I$451))</f>
        <v/>
      </c>
      <c r="M36" s="12">
        <f>IF($H36="",0,SUMIF(Dati!$A$2:$A$451,$H36,Dati!$D$2:$D$451)+SUMIF(Dati!$H$2:$H$451,$H36,Dati!$K$2:$K$451))</f>
        <v/>
      </c>
      <c r="N36" s="12">
        <f>IF($H36="",0,SUMIF(Dati!$A$2:$A$451,$H36,Dati!$C$2:$C$451)+SUMIF(Dati!$H$2:$H$451,$H36,Dati!$J$2:$J$451))</f>
        <v/>
      </c>
      <c r="O36" s="12">
        <f>IF($H36="",0,SUMIF(Dati!$A$2:$A$451,$H36,Dati!$E$2:$E$451)+SUMIF(Dati!$H$2:$H$451,$H36,Dati!$L$2:$L$451))</f>
        <v/>
      </c>
      <c r="P36" s="12">
        <f>IF($H36="",0,SUMIF(Dati!$A$2:$A$451,$H36,Dati!$F$2:$F$451)+SUMIF(Dati!$H$2:$H$451,$H36,Dati!$M$2:$M$451))</f>
        <v/>
      </c>
      <c r="Q36" s="12">
        <f>IF($H36="",0,SUMIF(Dati!$A$2:$A$451,$H36,Dati!$G$2:$G$451)+SUMIF(Dati!$H$2:$H$451,$H36,Dati!$N$2:$N$451))</f>
        <v/>
      </c>
      <c r="R36" s="12">
        <f>IF(K36=0,0,ROUND(O36/K36,2))</f>
        <v/>
      </c>
      <c r="S36" s="12">
        <f>IF(K36=0,0,ROUND(P36/K36,2))</f>
        <v/>
      </c>
      <c r="T36" s="12">
        <f>IF(K36=0,0,ROUND(Q36/K36,2))</f>
        <v/>
      </c>
      <c r="U36" s="12">
        <f>IF(COUNTIFS($E$14:$E$113,$E36,$J$14:$J$113,$J36,$C$14:$C$113,"&lt;&gt;")&lt;=1,"-",SUM(AK36:AT36)&amp;"-"&amp;SUM(AW36:BF36))</f>
        <v/>
      </c>
      <c r="V36" s="18">
        <f>IF(COUNTIFS($E$14:$E$113,$E36,$J$14:$J$113,$J36,$C$14:$C$113,"&lt;&gt;",$CF$14:$CF$113,$CF36)&lt;=1,"-",IF(SUM(BU36:CD36)=0,0,ROUND(SUM(BI36:BR36)/SUM(BU36:CD36),3)))</f>
        <v/>
      </c>
      <c r="W36" s="18">
        <f>IF(COUNTIFS($E$14:$E$113,$E36,$J$14:$J$113,$J36,$C$14:$C$113,"&lt;&gt;",$CF$14:$CF$113,$CF36,$V$14:$V$113,$V36)&lt;=1,"-",IF(P36=0,0,ROUND(O36/P36,3)))</f>
        <v/>
      </c>
      <c r="X36" s="19">
        <f>IF($C36="","",$E36&amp;"#"&amp;COUNTIFS($E$14:$E36,$E36,$C$14:$C36,"&lt;&gt;"))</f>
        <v/>
      </c>
      <c r="Y36" s="20">
        <f>IFERROR(INDEX($H$14:$H$113,MATCH($E36&amp;"#1",$X$14:$X$113,0)),"")</f>
        <v/>
      </c>
      <c r="Z36" s="20">
        <f>IFERROR(INDEX($H$14:$H$113,MATCH($E36&amp;"#2",$X$14:$X$113,0)),"")</f>
        <v/>
      </c>
      <c r="AA36" s="20">
        <f>IFERROR(INDEX($H$14:$H$113,MATCH($E36&amp;"#3",$X$14:$X$113,0)),"")</f>
        <v/>
      </c>
      <c r="AB36" s="20">
        <f>IFERROR(INDEX($H$14:$H$113,MATCH($E36&amp;"#4",$X$14:$X$113,0)),"")</f>
        <v/>
      </c>
      <c r="AC36" s="20">
        <f>IFERROR(INDEX($H$14:$H$113,MATCH($E36&amp;"#5",$X$14:$X$113,0)),"")</f>
        <v/>
      </c>
      <c r="AD36" s="20">
        <f>IFERROR(INDEX($H$14:$H$113,MATCH($E36&amp;"#6",$X$14:$X$113,0)),"")</f>
        <v/>
      </c>
      <c r="AE36" s="20">
        <f>IFERROR(INDEX($H$14:$H$113,MATCH($E36&amp;"#7",$X$14:$X$113,0)),"")</f>
        <v/>
      </c>
      <c r="AF36" s="20">
        <f>IFERROR(INDEX($H$14:$H$113,MATCH($E36&amp;"#8",$X$14:$X$113,0)),"")</f>
        <v/>
      </c>
      <c r="AG36" s="20">
        <f>IFERROR(INDEX($H$14:$H$113,MATCH($E36&amp;"#9",$X$14:$X$113,0)),"")</f>
        <v/>
      </c>
      <c r="AH36" s="20">
        <f>IFERROR(INDEX($H$14:$H$113,MATCH($E36&amp;"#10",$X$14:$X$113,0)),"")</f>
        <v/>
      </c>
      <c r="AJ36" s="21">
        <f>$C36</f>
        <v/>
      </c>
      <c r="AK36" s="22">
        <f>IF(AND($H36&lt;&gt;"",$Y36&lt;&gt;"",$H36&lt;&gt;$Y36,IFERROR(VLOOKUP($H36,areaCercaPuntiClassificaSquadra,3,FALSE),-1)=IFERROR(VLOOKUP($Y36,areaCercaPuntiClassificaSquadra,3,FALSE),-2)),SUMIFS(Dati!$B$2:$B$451,Dati!$A$2:$A$451,$H36,Dati!$H$2:$H$451,$Y36)+SUMIFS(Dati!$I$2:$I$451,Dati!$H$2:$H$451,$H36,Dati!$A$2:$A$451,$Y36),"-")</f>
        <v/>
      </c>
      <c r="AL36" s="22">
        <f>IF(AND($H36&lt;&gt;"",$Z36&lt;&gt;"",$H36&lt;&gt;$Z36,IFERROR(VLOOKUP($H36,areaCercaPuntiClassificaSquadra,3,FALSE),-1)=IFERROR(VLOOKUP($Z36,areaCercaPuntiClassificaSquadra,3,FALSE),-2)),SUMIFS(Dati!$B$2:$B$451,Dati!$A$2:$A$451,$H36,Dati!$H$2:$H$451,$Z36)+SUMIFS(Dati!$I$2:$I$451,Dati!$H$2:$H$451,$H36,Dati!$A$2:$A$451,$Z36),"-")</f>
        <v/>
      </c>
      <c r="AM36" s="22">
        <f>IF(AND($H36&lt;&gt;"",$AA36&lt;&gt;"",$H36&lt;&gt;$AA36,IFERROR(VLOOKUP($H36,areaCercaPuntiClassificaSquadra,3,FALSE),-1)=IFERROR(VLOOKUP($AA36,areaCercaPuntiClassificaSquadra,3,FALSE),-2)),SUMIFS(Dati!$B$2:$B$451,Dati!$A$2:$A$451,$H36,Dati!$H$2:$H$451,$AA36)+SUMIFS(Dati!$I$2:$I$451,Dati!$H$2:$H$451,$H36,Dati!$A$2:$A$451,$AA36),"-")</f>
        <v/>
      </c>
      <c r="AN36" s="22">
        <f>IF(AND($H36&lt;&gt;"",$AB36&lt;&gt;"",$H36&lt;&gt;$AB36,IFERROR(VLOOKUP($H36,areaCercaPuntiClassificaSquadra,3,FALSE),-1)=IFERROR(VLOOKUP($AB36,areaCercaPuntiClassificaSquadra,3,FALSE),-2)),SUMIFS(Dati!$B$2:$B$451,Dati!$A$2:$A$451,$H36,Dati!$H$2:$H$451,$AB36)+SUMIFS(Dati!$I$2:$I$451,Dati!$H$2:$H$451,$H36,Dati!$A$2:$A$451,$AB36),"-")</f>
        <v/>
      </c>
      <c r="AO36" s="22">
        <f>IF(AND($H36&lt;&gt;"",$AC36&lt;&gt;"",$H36&lt;&gt;$AC36,IFERROR(VLOOKUP($H36,areaCercaPuntiClassificaSquadra,3,FALSE),-1)=IFERROR(VLOOKUP($AC36,areaCercaPuntiClassificaSquadra,3,FALSE),-2)),SUMIFS(Dati!$B$2:$B$451,Dati!$A$2:$A$451,$H36,Dati!$H$2:$H$451,$AC36)+SUMIFS(Dati!$I$2:$I$451,Dati!$H$2:$H$451,$H36,Dati!$A$2:$A$451,$AC36),"-")</f>
        <v/>
      </c>
      <c r="AP36" s="22">
        <f>IF(AND($H36&lt;&gt;"",$AD36&lt;&gt;"",$H36&lt;&gt;$AD36,IFERROR(VLOOKUP($H36,areaCercaPuntiClassificaSquadra,3,FALSE),-1)=IFERROR(VLOOKUP($AD36,areaCercaPuntiClassificaSquadra,3,FALSE),-2)),SUMIFS(Dati!$B$2:$B$451,Dati!$A$2:$A$451,$H36,Dati!$H$2:$H$451,$AD36)+SUMIFS(Dati!$I$2:$I$451,Dati!$H$2:$H$451,$H36,Dati!$A$2:$A$451,$AD36),"-")</f>
        <v/>
      </c>
      <c r="AQ36" s="22">
        <f>IF(AND($H36&lt;&gt;"",$AE36&lt;&gt;"",$H36&lt;&gt;$AE36,IFERROR(VLOOKUP($H36,areaCercaPuntiClassificaSquadra,3,FALSE),-1)=IFERROR(VLOOKUP($AE36,areaCercaPuntiClassificaSquadra,3,FALSE),-2)),SUMIFS(Dati!$B$2:$B$451,Dati!$A$2:$A$451,$H36,Dati!$H$2:$H$451,$AE36)+SUMIFS(Dati!$I$2:$I$451,Dati!$H$2:$H$451,$H36,Dati!$A$2:$A$451,$AE36),"-")</f>
        <v/>
      </c>
      <c r="AR36" s="22">
        <f>IF(AND($H36&lt;&gt;"",$AF36&lt;&gt;"",$H36&lt;&gt;$AF36,IFERROR(VLOOKUP($H36,areaCercaPuntiClassificaSquadra,3,FALSE),-1)=IFERROR(VLOOKUP($AF36,areaCercaPuntiClassificaSquadra,3,FALSE),-2)),SUMIFS(Dati!$B$2:$B$451,Dati!$A$2:$A$451,$H36,Dati!$H$2:$H$451,$AF36)+SUMIFS(Dati!$I$2:$I$451,Dati!$H$2:$H$451,$H36,Dati!$A$2:$A$451,$AF36),"-")</f>
        <v/>
      </c>
      <c r="AS36" s="22">
        <f>IF(AND($H36&lt;&gt;"",$AG36&lt;&gt;"",$H36&lt;&gt;$AG36,IFERROR(VLOOKUP($H36,areaCercaPuntiClassificaSquadra,3,FALSE),-1)=IFERROR(VLOOKUP($AG36,areaCercaPuntiClassificaSquadra,3,FALSE),-2)),SUMIFS(Dati!$B$2:$B$451,Dati!$A$2:$A$451,$H36,Dati!$H$2:$H$451,$AG36)+SUMIFS(Dati!$I$2:$I$451,Dati!$H$2:$H$451,$H36,Dati!$A$2:$A$451,$AG36),"-")</f>
        <v/>
      </c>
      <c r="AT36" s="22">
        <f>IF(AND($H36&lt;&gt;"",$AH36&lt;&gt;"",$H36&lt;&gt;$AH36,IFERROR(VLOOKUP($H36,areaCercaPuntiClassificaSquadra,3,FALSE),-1)=IFERROR(VLOOKUP($AH36,areaCercaPuntiClassificaSquadra,3,FALSE),-2)),SUMIFS(Dati!$B$2:$B$451,Dati!$A$2:$A$451,$H36,Dati!$H$2:$H$451,$AH36)+SUMIFS(Dati!$I$2:$I$451,Dati!$H$2:$H$451,$H36,Dati!$A$2:$A$451,$AH36),"-")</f>
        <v/>
      </c>
      <c r="AV36" s="21">
        <f>$C36</f>
        <v/>
      </c>
      <c r="AW36" s="22">
        <f>IF(AND($H36&lt;&gt;"",$Y36&lt;&gt;"",$H36&lt;&gt;$Y36,IFERROR(VLOOKUP($H36,areaCercaPuntiClassificaSquadra,3,FALSE),-1)=IFERROR(VLOOKUP($Y36,areaCercaPuntiClassificaSquadra,3,FALSE),-2)),SUMIFS(Dati!$D$2:$D$451,Dati!$A$2:$A$451,$H36,Dati!$H$2:$H$451,$Y36)+SUMIFS(Dati!$K$2:$K$451,Dati!$H$2:$H$451,$H36,Dati!$A$2:$A$451,$Y36)+SUMIFS(Dati!$C$2:$C$451,Dati!$A$2:$A$451,$H36,Dati!$H$2:$H$451,$Y36)+SUMIFS(Dati!$J$2:$J$451,Dati!$H$2:$H$451,$H36,Dati!$A$2:$A$451,$Y36),"-")</f>
        <v/>
      </c>
      <c r="AX36" s="22">
        <f>IF(AND($H36&lt;&gt;"",$Z36&lt;&gt;"",$H36&lt;&gt;$Z36,IFERROR(VLOOKUP($H36,areaCercaPuntiClassificaSquadra,3,FALSE),-1)=IFERROR(VLOOKUP($Z36,areaCercaPuntiClassificaSquadra,3,FALSE),-2)),SUMIFS(Dati!$D$2:$D$451,Dati!$A$2:$A$451,$H36,Dati!$H$2:$H$451,$Z36)+SUMIFS(Dati!$K$2:$K$451,Dati!$H$2:$H$451,$H36,Dati!$A$2:$A$451,$Z36)+SUMIFS(Dati!$C$2:$C$451,Dati!$A$2:$A$451,$H36,Dati!$H$2:$H$451,$Z36)+SUMIFS(Dati!$J$2:$J$451,Dati!$H$2:$H$451,$H36,Dati!$A$2:$A$451,$Z36),"-")</f>
        <v/>
      </c>
      <c r="AY36" s="22">
        <f>IF(AND($H36&lt;&gt;"",$AA36&lt;&gt;"",$H36&lt;&gt;$AA36,IFERROR(VLOOKUP($H36,areaCercaPuntiClassificaSquadra,3,FALSE),-1)=IFERROR(VLOOKUP($AA36,areaCercaPuntiClassificaSquadra,3,FALSE),-2)),SUMIFS(Dati!$D$2:$D$451,Dati!$A$2:$A$451,$H36,Dati!$H$2:$H$451,$AA36)+SUMIFS(Dati!$K$2:$K$451,Dati!$H$2:$H$451,$H36,Dati!$A$2:$A$451,$AA36)+SUMIFS(Dati!$C$2:$C$451,Dati!$A$2:$A$451,$H36,Dati!$H$2:$H$451,$AA36)+SUMIFS(Dati!$J$2:$J$451,Dati!$H$2:$H$451,$H36,Dati!$A$2:$A$451,$AA36),"-")</f>
        <v/>
      </c>
      <c r="AZ36" s="22">
        <f>IF(AND($H36&lt;&gt;"",$AB36&lt;&gt;"",$H36&lt;&gt;$AB36,IFERROR(VLOOKUP($H36,areaCercaPuntiClassificaSquadra,3,FALSE),-1)=IFERROR(VLOOKUP($AB36,areaCercaPuntiClassificaSquadra,3,FALSE),-2)),SUMIFS(Dati!$D$2:$D$451,Dati!$A$2:$A$451,$H36,Dati!$H$2:$H$451,$AB36)+SUMIFS(Dati!$K$2:$K$451,Dati!$H$2:$H$451,$H36,Dati!$A$2:$A$451,$AB36)+SUMIFS(Dati!$C$2:$C$451,Dati!$A$2:$A$451,$H36,Dati!$H$2:$H$451,$AB36)+SUMIFS(Dati!$J$2:$J$451,Dati!$H$2:$H$451,$H36,Dati!$A$2:$A$451,$AB36),"-")</f>
        <v/>
      </c>
      <c r="BA36" s="22">
        <f>IF(AND($H36&lt;&gt;"",$AC36&lt;&gt;"",$H36&lt;&gt;$AC36,IFERROR(VLOOKUP($H36,areaCercaPuntiClassificaSquadra,3,FALSE),-1)=IFERROR(VLOOKUP($AC36,areaCercaPuntiClassificaSquadra,3,FALSE),-2)),SUMIFS(Dati!$D$2:$D$451,Dati!$A$2:$A$451,$H36,Dati!$H$2:$H$451,$AC36)+SUMIFS(Dati!$K$2:$K$451,Dati!$H$2:$H$451,$H36,Dati!$A$2:$A$451,$AC36)+SUMIFS(Dati!$C$2:$C$451,Dati!$A$2:$A$451,$H36,Dati!$H$2:$H$451,$AC36)+SUMIFS(Dati!$J$2:$J$451,Dati!$H$2:$H$451,$H36,Dati!$A$2:$A$451,$AC36),"-")</f>
        <v/>
      </c>
      <c r="BB36" s="22">
        <f>IF(AND($H36&lt;&gt;"",$AD36&lt;&gt;"",$H36&lt;&gt;$AD36,IFERROR(VLOOKUP($H36,areaCercaPuntiClassificaSquadra,3,FALSE),-1)=IFERROR(VLOOKUP($AD36,areaCercaPuntiClassificaSquadra,3,FALSE),-2)),SUMIFS(Dati!$D$2:$D$451,Dati!$A$2:$A$451,$H36,Dati!$H$2:$H$451,$AD36)+SUMIFS(Dati!$K$2:$K$451,Dati!$H$2:$H$451,$H36,Dati!$A$2:$A$451,$AD36)+SUMIFS(Dati!$C$2:$C$451,Dati!$A$2:$A$451,$H36,Dati!$H$2:$H$451,$AD36)+SUMIFS(Dati!$J$2:$J$451,Dati!$H$2:$H$451,$H36,Dati!$A$2:$A$451,$AD36),"-")</f>
        <v/>
      </c>
      <c r="BC36" s="22">
        <f>IF(AND($H36&lt;&gt;"",$AE36&lt;&gt;"",$H36&lt;&gt;$AE36,IFERROR(VLOOKUP($H36,areaCercaPuntiClassificaSquadra,3,FALSE),-1)=IFERROR(VLOOKUP($AE36,areaCercaPuntiClassificaSquadra,3,FALSE),-2)),SUMIFS(Dati!$D$2:$D$451,Dati!$A$2:$A$451,$H36,Dati!$H$2:$H$451,$AE36)+SUMIFS(Dati!$K$2:$K$451,Dati!$H$2:$H$451,$H36,Dati!$A$2:$A$451,$AE36)+SUMIFS(Dati!$C$2:$C$451,Dati!$A$2:$A$451,$H36,Dati!$H$2:$H$451,$AE36)+SUMIFS(Dati!$J$2:$J$451,Dati!$H$2:$H$451,$H36,Dati!$A$2:$A$451,$AE36),"-")</f>
        <v/>
      </c>
      <c r="BD36" s="22">
        <f>IF(AND($H36&lt;&gt;"",$AF36&lt;&gt;"",$H36&lt;&gt;$AF36,IFERROR(VLOOKUP($H36,areaCercaPuntiClassificaSquadra,3,FALSE),-1)=IFERROR(VLOOKUP($AF36,areaCercaPuntiClassificaSquadra,3,FALSE),-2)),SUMIFS(Dati!$D$2:$D$451,Dati!$A$2:$A$451,$H36,Dati!$H$2:$H$451,$AF36)+SUMIFS(Dati!$K$2:$K$451,Dati!$H$2:$H$451,$H36,Dati!$A$2:$A$451,$AF36)+SUMIFS(Dati!$C$2:$C$451,Dati!$A$2:$A$451,$H36,Dati!$H$2:$H$451,$AF36)+SUMIFS(Dati!$J$2:$J$451,Dati!$H$2:$H$451,$H36,Dati!$A$2:$A$451,$AF36),"-")</f>
        <v/>
      </c>
      <c r="BE36" s="22">
        <f>IF(AND($H36&lt;&gt;"",$AG36&lt;&gt;"",$H36&lt;&gt;$AG36,IFERROR(VLOOKUP($H36,areaCercaPuntiClassificaSquadra,3,FALSE),-1)=IFERROR(VLOOKUP($AG36,areaCercaPuntiClassificaSquadra,3,FALSE),-2)),SUMIFS(Dati!$D$2:$D$451,Dati!$A$2:$A$451,$H36,Dati!$H$2:$H$451,$AG36)+SUMIFS(Dati!$K$2:$K$451,Dati!$H$2:$H$451,$H36,Dati!$A$2:$A$451,$AG36)+SUMIFS(Dati!$C$2:$C$451,Dati!$A$2:$A$451,$H36,Dati!$H$2:$H$451,$AG36)+SUMIFS(Dati!$J$2:$J$451,Dati!$H$2:$H$451,$H36,Dati!$A$2:$A$451,$AG36),"-")</f>
        <v/>
      </c>
      <c r="BF36" s="22">
        <f>IF(AND($H36&lt;&gt;"",$AH36&lt;&gt;"",$H36&lt;&gt;$AH36,IFERROR(VLOOKUP($H36,areaCercaPuntiClassificaSquadra,3,FALSE),-1)=IFERROR(VLOOKUP($AH36,areaCercaPuntiClassificaSquadra,3,FALSE),-2)),SUMIFS(Dati!$D$2:$D$451,Dati!$A$2:$A$451,$H36,Dati!$H$2:$H$451,$AH36)+SUMIFS(Dati!$K$2:$K$451,Dati!$H$2:$H$451,$H36,Dati!$A$2:$A$451,$AH36)+SUMIFS(Dati!$C$2:$C$451,Dati!$A$2:$A$451,$H36,Dati!$H$2:$H$451,$AH36)+SUMIFS(Dati!$J$2:$J$451,Dati!$H$2:$H$451,$H36,Dati!$A$2:$A$451,$AH36),"-")</f>
        <v/>
      </c>
      <c r="BH36" s="21">
        <f>$C36</f>
        <v/>
      </c>
      <c r="BI36" s="22">
        <f>IF(AND($H36&lt;&gt;"",$Y36&lt;&gt;"",$H36&lt;&gt;$Y36,IFERROR(VLOOKUP($H36,areaCercaPuntiClassificaSquadra,3,FALSE),-1)=IFERROR(VLOOKUP($Y36,areaCercaPuntiClassificaSquadra,3,FALSE),-2)),SUMIFS(Dati!$E$2:$E$451,Dati!$A$2:$A$451,$H36,Dati!$H$2:$H$451,$Y36)+SUMIFS(Dati!$L$2:$L$451,Dati!$H$2:$H$451,$H36,Dati!$A$2:$A$451,$Y36),"-")</f>
        <v/>
      </c>
      <c r="BJ36" s="22">
        <f>IF(AND($H36&lt;&gt;"",$Z36&lt;&gt;"",$H36&lt;&gt;$Z36,IFERROR(VLOOKUP($H36,areaCercaPuntiClassificaSquadra,3,FALSE),-1)=IFERROR(VLOOKUP($Z36,areaCercaPuntiClassificaSquadra,3,FALSE),-2)),SUMIFS(Dati!$E$2:$E$451,Dati!$A$2:$A$451,$H36,Dati!$H$2:$H$451,$Z36)+SUMIFS(Dati!$L$2:$L$451,Dati!$H$2:$H$451,$H36,Dati!$A$2:$A$451,$Z36),"-")</f>
        <v/>
      </c>
      <c r="BK36" s="22">
        <f>IF(AND($H36&lt;&gt;"",$AA36&lt;&gt;"",$H36&lt;&gt;$AA36,IFERROR(VLOOKUP($H36,areaCercaPuntiClassificaSquadra,3,FALSE),-1)=IFERROR(VLOOKUP($AA36,areaCercaPuntiClassificaSquadra,3,FALSE),-2)),SUMIFS(Dati!$E$2:$E$451,Dati!$A$2:$A$451,$H36,Dati!$H$2:$H$451,$AA36)+SUMIFS(Dati!$L$2:$L$451,Dati!$H$2:$H$451,$H36,Dati!$A$2:$A$451,$AA36),"-")</f>
        <v/>
      </c>
      <c r="BL36" s="22">
        <f>IF(AND($H36&lt;&gt;"",$AB36&lt;&gt;"",$H36&lt;&gt;$AB36,IFERROR(VLOOKUP($H36,areaCercaPuntiClassificaSquadra,3,FALSE),-1)=IFERROR(VLOOKUP($AB36,areaCercaPuntiClassificaSquadra,3,FALSE),-2)),SUMIFS(Dati!$E$2:$E$451,Dati!$A$2:$A$451,$H36,Dati!$H$2:$H$451,$AB36)+SUMIFS(Dati!$L$2:$L$451,Dati!$H$2:$H$451,$H36,Dati!$A$2:$A$451,$AB36),"-")</f>
        <v/>
      </c>
      <c r="BM36" s="22">
        <f>IF(AND($H36&lt;&gt;"",$AC36&lt;&gt;"",$H36&lt;&gt;$AC36,IFERROR(VLOOKUP($H36,areaCercaPuntiClassificaSquadra,3,FALSE),-1)=IFERROR(VLOOKUP($AC36,areaCercaPuntiClassificaSquadra,3,FALSE),-2)),SUMIFS(Dati!$E$2:$E$451,Dati!$A$2:$A$451,$H36,Dati!$H$2:$H$451,$AC36)+SUMIFS(Dati!$L$2:$L$451,Dati!$H$2:$H$451,$H36,Dati!$A$2:$A$451,$AC36),"-")</f>
        <v/>
      </c>
      <c r="BN36" s="22">
        <f>IF(AND($H36&lt;&gt;"",$AD36&lt;&gt;"",$H36&lt;&gt;$AD36,IFERROR(VLOOKUP($H36,areaCercaPuntiClassificaSquadra,3,FALSE),-1)=IFERROR(VLOOKUP($AD36,areaCercaPuntiClassificaSquadra,3,FALSE),-2)),SUMIFS(Dati!$E$2:$E$451,Dati!$A$2:$A$451,$H36,Dati!$H$2:$H$451,$AD36)+SUMIFS(Dati!$L$2:$L$451,Dati!$H$2:$H$451,$H36,Dati!$A$2:$A$451,$AD36),"-")</f>
        <v/>
      </c>
      <c r="BO36" s="22">
        <f>IF(AND($H36&lt;&gt;"",$AE36&lt;&gt;"",$H36&lt;&gt;$AE36,IFERROR(VLOOKUP($H36,areaCercaPuntiClassificaSquadra,3,FALSE),-1)=IFERROR(VLOOKUP($AE36,areaCercaPuntiClassificaSquadra,3,FALSE),-2)),SUMIFS(Dati!$E$2:$E$451,Dati!$A$2:$A$451,$H36,Dati!$H$2:$H$451,$AE36)+SUMIFS(Dati!$L$2:$L$451,Dati!$H$2:$H$451,$H36,Dati!$A$2:$A$451,$AE36),"-")</f>
        <v/>
      </c>
      <c r="BP36" s="22">
        <f>IF(AND($H36&lt;&gt;"",$AF36&lt;&gt;"",$H36&lt;&gt;$AF36,IFERROR(VLOOKUP($H36,areaCercaPuntiClassificaSquadra,3,FALSE),-1)=IFERROR(VLOOKUP($AF36,areaCercaPuntiClassificaSquadra,3,FALSE),-2)),SUMIFS(Dati!$E$2:$E$451,Dati!$A$2:$A$451,$H36,Dati!$H$2:$H$451,$AF36)+SUMIFS(Dati!$L$2:$L$451,Dati!$H$2:$H$451,$H36,Dati!$A$2:$A$451,$AF36),"-")</f>
        <v/>
      </c>
      <c r="BQ36" s="22">
        <f>IF(AND($H36&lt;&gt;"",$AG36&lt;&gt;"",$H36&lt;&gt;$AG36,IFERROR(VLOOKUP($H36,areaCercaPuntiClassificaSquadra,3,FALSE),-1)=IFERROR(VLOOKUP($AG36,areaCercaPuntiClassificaSquadra,3,FALSE),-2)),SUMIFS(Dati!$E$2:$E$451,Dati!$A$2:$A$451,$H36,Dati!$H$2:$H$451,$AG36)+SUMIFS(Dati!$L$2:$L$451,Dati!$H$2:$H$451,$H36,Dati!$A$2:$A$451,$AG36),"-")</f>
        <v/>
      </c>
      <c r="BR36" s="22">
        <f>IF(AND($H36&lt;&gt;"",$AH36&lt;&gt;"",$H36&lt;&gt;$AH36,IFERROR(VLOOKUP($H36,areaCercaPuntiClassificaSquadra,3,FALSE),-1)=IFERROR(VLOOKUP($AH36,areaCercaPuntiClassificaSquadra,3,FALSE),-2)),SUMIFS(Dati!$E$2:$E$451,Dati!$A$2:$A$451,$H36,Dati!$H$2:$H$451,$AH36)+SUMIFS(Dati!$L$2:$L$451,Dati!$H$2:$H$451,$H36,Dati!$A$2:$A$451,$AH36),"-")</f>
        <v/>
      </c>
      <c r="BT36" s="21">
        <f>$C36</f>
        <v/>
      </c>
      <c r="BU36" s="22">
        <f>IF(AND($H36&lt;&gt;"",$Y36&lt;&gt;"",$H36&lt;&gt;$Y36,IFERROR(VLOOKUP($H36,areaCercaPuntiClassificaSquadra,3,FALSE),-1)=IFERROR(VLOOKUP($Y36,areaCercaPuntiClassificaSquadra,3,FALSE),-2)),SUMIFS(Dati!$F$2:$F$451,Dati!$A$2:$A$451,$H36,Dati!$H$2:$H$451,$Y36)+SUMIFS(Dati!$M$2:$M$451,Dati!$H$2:$H$451,$H36,Dati!$A$2:$A$451,$Y36),"-")</f>
        <v/>
      </c>
      <c r="BV36" s="22">
        <f>IF(AND($H36&lt;&gt;"",$Z36&lt;&gt;"",$H36&lt;&gt;$Z36,IFERROR(VLOOKUP($H36,areaCercaPuntiClassificaSquadra,3,FALSE),-1)=IFERROR(VLOOKUP($Z36,areaCercaPuntiClassificaSquadra,3,FALSE),-2)),SUMIFS(Dati!$F$2:$F$451,Dati!$A$2:$A$451,$H36,Dati!$H$2:$H$451,$Z36)+SUMIFS(Dati!$M$2:$M$451,Dati!$H$2:$H$451,$H36,Dati!$A$2:$A$451,$Z36),"-")</f>
        <v/>
      </c>
      <c r="BW36" s="22">
        <f>IF(AND($H36&lt;&gt;"",$AA36&lt;&gt;"",$H36&lt;&gt;$AA36,IFERROR(VLOOKUP($H36,areaCercaPuntiClassificaSquadra,3,FALSE),-1)=IFERROR(VLOOKUP($AA36,areaCercaPuntiClassificaSquadra,3,FALSE),-2)),SUMIFS(Dati!$F$2:$F$451,Dati!$A$2:$A$451,$H36,Dati!$H$2:$H$451,$AA36)+SUMIFS(Dati!$M$2:$M$451,Dati!$H$2:$H$451,$H36,Dati!$A$2:$A$451,$AA36),"-")</f>
        <v/>
      </c>
      <c r="BX36" s="22">
        <f>IF(AND($H36&lt;&gt;"",$AB36&lt;&gt;"",$H36&lt;&gt;$AB36,IFERROR(VLOOKUP($H36,areaCercaPuntiClassificaSquadra,3,FALSE),-1)=IFERROR(VLOOKUP($AB36,areaCercaPuntiClassificaSquadra,3,FALSE),-2)),SUMIFS(Dati!$F$2:$F$451,Dati!$A$2:$A$451,$H36,Dati!$H$2:$H$451,$AB36)+SUMIFS(Dati!$M$2:$M$451,Dati!$H$2:$H$451,$H36,Dati!$A$2:$A$451,$AB36),"-")</f>
        <v/>
      </c>
      <c r="BY36" s="22">
        <f>IF(AND($H36&lt;&gt;"",$AC36&lt;&gt;"",$H36&lt;&gt;$AC36,IFERROR(VLOOKUP($H36,areaCercaPuntiClassificaSquadra,3,FALSE),-1)=IFERROR(VLOOKUP($AC36,areaCercaPuntiClassificaSquadra,3,FALSE),-2)),SUMIFS(Dati!$F$2:$F$451,Dati!$A$2:$A$451,$H36,Dati!$H$2:$H$451,$AC36)+SUMIFS(Dati!$M$2:$M$451,Dati!$H$2:$H$451,$H36,Dati!$A$2:$A$451,$AC36),"-")</f>
        <v/>
      </c>
      <c r="BZ36" s="22">
        <f>IF(AND($H36&lt;&gt;"",$AD36&lt;&gt;"",$H36&lt;&gt;$AD36,IFERROR(VLOOKUP($H36,areaCercaPuntiClassificaSquadra,3,FALSE),-1)=IFERROR(VLOOKUP($AD36,areaCercaPuntiClassificaSquadra,3,FALSE),-2)),SUMIFS(Dati!$F$2:$F$451,Dati!$A$2:$A$451,$H36,Dati!$H$2:$H$451,$AD36)+SUMIFS(Dati!$M$2:$M$451,Dati!$H$2:$H$451,$H36,Dati!$A$2:$A$451,$AD36),"-")</f>
        <v/>
      </c>
      <c r="CA36" s="22">
        <f>IF(AND($H36&lt;&gt;"",$AE36&lt;&gt;"",$H36&lt;&gt;$AE36,IFERROR(VLOOKUP($H36,areaCercaPuntiClassificaSquadra,3,FALSE),-1)=IFERROR(VLOOKUP($AE36,areaCercaPuntiClassificaSquadra,3,FALSE),-2)),SUMIFS(Dati!$F$2:$F$451,Dati!$A$2:$A$451,$H36,Dati!$H$2:$H$451,$AE36)+SUMIFS(Dati!$M$2:$M$451,Dati!$H$2:$H$451,$H36,Dati!$A$2:$A$451,$AE36),"-")</f>
        <v/>
      </c>
      <c r="CB36" s="22">
        <f>IF(AND($H36&lt;&gt;"",$AF36&lt;&gt;"",$H36&lt;&gt;$AF36,IFERROR(VLOOKUP($H36,areaCercaPuntiClassificaSquadra,3,FALSE),-1)=IFERROR(VLOOKUP($AF36,areaCercaPuntiClassificaSquadra,3,FALSE),-2)),SUMIFS(Dati!$F$2:$F$451,Dati!$A$2:$A$451,$H36,Dati!$H$2:$H$451,$AF36)+SUMIFS(Dati!$M$2:$M$451,Dati!$H$2:$H$451,$H36,Dati!$A$2:$A$451,$AF36),"-")</f>
        <v/>
      </c>
      <c r="CC36" s="22">
        <f>IF(AND($H36&lt;&gt;"",$AG36&lt;&gt;"",$H36&lt;&gt;$AG36,IFERROR(VLOOKUP($H36,areaCercaPuntiClassificaSquadra,3,FALSE),-1)=IFERROR(VLOOKUP($AG36,areaCercaPuntiClassificaSquadra,3,FALSE),-2)),SUMIFS(Dati!$F$2:$F$451,Dati!$A$2:$A$451,$H36,Dati!$H$2:$H$451,$AG36)+SUMIFS(Dati!$M$2:$M$451,Dati!$H$2:$H$451,$H36,Dati!$A$2:$A$451,$AG36),"-")</f>
        <v/>
      </c>
      <c r="CD36" s="22">
        <f>IF(AND($H36&lt;&gt;"",$AH36&lt;&gt;"",$H36&lt;&gt;$AH36,IFERROR(VLOOKUP($H36,areaCercaPuntiClassificaSquadra,3,FALSE),-1)=IFERROR(VLOOKUP($AH36,areaCercaPuntiClassificaSquadra,3,FALSE),-2)),SUMIFS(Dati!$F$2:$F$451,Dati!$A$2:$A$451,$H36,Dati!$H$2:$H$451,$AH36)+SUMIFS(Dati!$M$2:$M$451,Dati!$H$2:$H$451,$H36,Dati!$A$2:$A$451,$AH36),"-")</f>
        <v/>
      </c>
      <c r="CF36" s="22">
        <f>IF($C36="","",SUM(AK36:AT36))</f>
        <v/>
      </c>
    </row>
    <row r="37">
      <c r="B37" s="12" t="inlineStr">
        <is>
          <t>C04</t>
        </is>
      </c>
      <c r="C37" s="13" t="n"/>
      <c r="D37" s="14" t="n"/>
      <c r="E37" s="25" t="inlineStr">
        <is>
          <t>C</t>
        </is>
      </c>
      <c r="G37" s="26">
        <f>IF($C37="","",$E37&amp;(COUNTIFS(I$14:I$113,"&gt;"&amp;I37,E$14:E$113,"="&amp;E37,C$14:C$113,"&lt;&gt;")+COUNTIFS(I$14:I$113,"="&amp;I37,H$14:H$113,"&lt;="&amp;H37,E$14:E$113,"="&amp;E37,C$14:C$113,"&lt;&gt;")))</f>
        <v/>
      </c>
      <c r="H37" s="17">
        <f>IF($C37="","",IFERROR(LEFT($C37,FIND("-",$C37)-1),$C37))</f>
        <v/>
      </c>
      <c r="I37" s="12">
        <f>TEXT(1000000000+J37,"|0000000000|")&amp;TEXT(SUM(AK37:AT37),"0000000000|")&amp;IF(SUM(BU37:CD37)=0,"0000000000|",TEXT(ROUND(SUM(BI37:BR37)/SUM(BU37:CD37),4)*100000,"0000000000|"))&amp;IF(P37=0,"0000000000|",TEXT(ROUND(O37/P37,4)*100000,"0000000000|"))</f>
        <v/>
      </c>
      <c r="J37" s="26">
        <f>L37*constPuntiVittoria+M37*constPuntiSconfitta+N37*constPuntiForfait+IF(D37="",0,D37)</f>
        <v/>
      </c>
      <c r="K37" s="12">
        <f>SUM(L37:N37)</f>
        <v/>
      </c>
      <c r="L37" s="12">
        <f>IF($H37="",0,SUMIF(Dati!$A$2:$A$451,$H37,Dati!$B$2:$B$451)+SUMIF(Dati!$H$2:$H$451,$H37,Dati!$I$2:$I$451))</f>
        <v/>
      </c>
      <c r="M37" s="12">
        <f>IF($H37="",0,SUMIF(Dati!$A$2:$A$451,$H37,Dati!$D$2:$D$451)+SUMIF(Dati!$H$2:$H$451,$H37,Dati!$K$2:$K$451))</f>
        <v/>
      </c>
      <c r="N37" s="12">
        <f>IF($H37="",0,SUMIF(Dati!$A$2:$A$451,$H37,Dati!$C$2:$C$451)+SUMIF(Dati!$H$2:$H$451,$H37,Dati!$J$2:$J$451))</f>
        <v/>
      </c>
      <c r="O37" s="12">
        <f>IF($H37="",0,SUMIF(Dati!$A$2:$A$451,$H37,Dati!$E$2:$E$451)+SUMIF(Dati!$H$2:$H$451,$H37,Dati!$L$2:$L$451))</f>
        <v/>
      </c>
      <c r="P37" s="12">
        <f>IF($H37="",0,SUMIF(Dati!$A$2:$A$451,$H37,Dati!$F$2:$F$451)+SUMIF(Dati!$H$2:$H$451,$H37,Dati!$M$2:$M$451))</f>
        <v/>
      </c>
      <c r="Q37" s="12">
        <f>IF($H37="",0,SUMIF(Dati!$A$2:$A$451,$H37,Dati!$G$2:$G$451)+SUMIF(Dati!$H$2:$H$451,$H37,Dati!$N$2:$N$451))</f>
        <v/>
      </c>
      <c r="R37" s="12">
        <f>IF(K37=0,0,ROUND(O37/K37,2))</f>
        <v/>
      </c>
      <c r="S37" s="12">
        <f>IF(K37=0,0,ROUND(P37/K37,2))</f>
        <v/>
      </c>
      <c r="T37" s="12">
        <f>IF(K37=0,0,ROUND(Q37/K37,2))</f>
        <v/>
      </c>
      <c r="U37" s="12">
        <f>IF(COUNTIFS($E$14:$E$113,$E37,$J$14:$J$113,$J37,$C$14:$C$113,"&lt;&gt;")&lt;=1,"-",SUM(AK37:AT37)&amp;"-"&amp;SUM(AW37:BF37))</f>
        <v/>
      </c>
      <c r="V37" s="18">
        <f>IF(COUNTIFS($E$14:$E$113,$E37,$J$14:$J$113,$J37,$C$14:$C$113,"&lt;&gt;",$CF$14:$CF$113,$CF37)&lt;=1,"-",IF(SUM(BU37:CD37)=0,0,ROUND(SUM(BI37:BR37)/SUM(BU37:CD37),3)))</f>
        <v/>
      </c>
      <c r="W37" s="18">
        <f>IF(COUNTIFS($E$14:$E$113,$E37,$J$14:$J$113,$J37,$C$14:$C$113,"&lt;&gt;",$CF$14:$CF$113,$CF37,$V$14:$V$113,$V37)&lt;=1,"-",IF(P37=0,0,ROUND(O37/P37,3)))</f>
        <v/>
      </c>
      <c r="X37" s="19">
        <f>IF($C37="","",$E37&amp;"#"&amp;COUNTIFS($E$14:$E37,$E37,$C$14:$C37,"&lt;&gt;"))</f>
        <v/>
      </c>
      <c r="Y37" s="20">
        <f>IFERROR(INDEX($H$14:$H$113,MATCH($E37&amp;"#1",$X$14:$X$113,0)),"")</f>
        <v/>
      </c>
      <c r="Z37" s="20">
        <f>IFERROR(INDEX($H$14:$H$113,MATCH($E37&amp;"#2",$X$14:$X$113,0)),"")</f>
        <v/>
      </c>
      <c r="AA37" s="20">
        <f>IFERROR(INDEX($H$14:$H$113,MATCH($E37&amp;"#3",$X$14:$X$113,0)),"")</f>
        <v/>
      </c>
      <c r="AB37" s="20">
        <f>IFERROR(INDEX($H$14:$H$113,MATCH($E37&amp;"#4",$X$14:$X$113,0)),"")</f>
        <v/>
      </c>
      <c r="AC37" s="20">
        <f>IFERROR(INDEX($H$14:$H$113,MATCH($E37&amp;"#5",$X$14:$X$113,0)),"")</f>
        <v/>
      </c>
      <c r="AD37" s="20">
        <f>IFERROR(INDEX($H$14:$H$113,MATCH($E37&amp;"#6",$X$14:$X$113,0)),"")</f>
        <v/>
      </c>
      <c r="AE37" s="20">
        <f>IFERROR(INDEX($H$14:$H$113,MATCH($E37&amp;"#7",$X$14:$X$113,0)),"")</f>
        <v/>
      </c>
      <c r="AF37" s="20">
        <f>IFERROR(INDEX($H$14:$H$113,MATCH($E37&amp;"#8",$X$14:$X$113,0)),"")</f>
        <v/>
      </c>
      <c r="AG37" s="20">
        <f>IFERROR(INDEX($H$14:$H$113,MATCH($E37&amp;"#9",$X$14:$X$113,0)),"")</f>
        <v/>
      </c>
      <c r="AH37" s="20">
        <f>IFERROR(INDEX($H$14:$H$113,MATCH($E37&amp;"#10",$X$14:$X$113,0)),"")</f>
        <v/>
      </c>
      <c r="AJ37" s="21">
        <f>$C37</f>
        <v/>
      </c>
      <c r="AK37" s="22">
        <f>IF(AND($H37&lt;&gt;"",$Y37&lt;&gt;"",$H37&lt;&gt;$Y37,IFERROR(VLOOKUP($H37,areaCercaPuntiClassificaSquadra,3,FALSE),-1)=IFERROR(VLOOKUP($Y37,areaCercaPuntiClassificaSquadra,3,FALSE),-2)),SUMIFS(Dati!$B$2:$B$451,Dati!$A$2:$A$451,$H37,Dati!$H$2:$H$451,$Y37)+SUMIFS(Dati!$I$2:$I$451,Dati!$H$2:$H$451,$H37,Dati!$A$2:$A$451,$Y37),"-")</f>
        <v/>
      </c>
      <c r="AL37" s="22">
        <f>IF(AND($H37&lt;&gt;"",$Z37&lt;&gt;"",$H37&lt;&gt;$Z37,IFERROR(VLOOKUP($H37,areaCercaPuntiClassificaSquadra,3,FALSE),-1)=IFERROR(VLOOKUP($Z37,areaCercaPuntiClassificaSquadra,3,FALSE),-2)),SUMIFS(Dati!$B$2:$B$451,Dati!$A$2:$A$451,$H37,Dati!$H$2:$H$451,$Z37)+SUMIFS(Dati!$I$2:$I$451,Dati!$H$2:$H$451,$H37,Dati!$A$2:$A$451,$Z37),"-")</f>
        <v/>
      </c>
      <c r="AM37" s="22">
        <f>IF(AND($H37&lt;&gt;"",$AA37&lt;&gt;"",$H37&lt;&gt;$AA37,IFERROR(VLOOKUP($H37,areaCercaPuntiClassificaSquadra,3,FALSE),-1)=IFERROR(VLOOKUP($AA37,areaCercaPuntiClassificaSquadra,3,FALSE),-2)),SUMIFS(Dati!$B$2:$B$451,Dati!$A$2:$A$451,$H37,Dati!$H$2:$H$451,$AA37)+SUMIFS(Dati!$I$2:$I$451,Dati!$H$2:$H$451,$H37,Dati!$A$2:$A$451,$AA37),"-")</f>
        <v/>
      </c>
      <c r="AN37" s="22">
        <f>IF(AND($H37&lt;&gt;"",$AB37&lt;&gt;"",$H37&lt;&gt;$AB37,IFERROR(VLOOKUP($H37,areaCercaPuntiClassificaSquadra,3,FALSE),-1)=IFERROR(VLOOKUP($AB37,areaCercaPuntiClassificaSquadra,3,FALSE),-2)),SUMIFS(Dati!$B$2:$B$451,Dati!$A$2:$A$451,$H37,Dati!$H$2:$H$451,$AB37)+SUMIFS(Dati!$I$2:$I$451,Dati!$H$2:$H$451,$H37,Dati!$A$2:$A$451,$AB37),"-")</f>
        <v/>
      </c>
      <c r="AO37" s="22">
        <f>IF(AND($H37&lt;&gt;"",$AC37&lt;&gt;"",$H37&lt;&gt;$AC37,IFERROR(VLOOKUP($H37,areaCercaPuntiClassificaSquadra,3,FALSE),-1)=IFERROR(VLOOKUP($AC37,areaCercaPuntiClassificaSquadra,3,FALSE),-2)),SUMIFS(Dati!$B$2:$B$451,Dati!$A$2:$A$451,$H37,Dati!$H$2:$H$451,$AC37)+SUMIFS(Dati!$I$2:$I$451,Dati!$H$2:$H$451,$H37,Dati!$A$2:$A$451,$AC37),"-")</f>
        <v/>
      </c>
      <c r="AP37" s="22">
        <f>IF(AND($H37&lt;&gt;"",$AD37&lt;&gt;"",$H37&lt;&gt;$AD37,IFERROR(VLOOKUP($H37,areaCercaPuntiClassificaSquadra,3,FALSE),-1)=IFERROR(VLOOKUP($AD37,areaCercaPuntiClassificaSquadra,3,FALSE),-2)),SUMIFS(Dati!$B$2:$B$451,Dati!$A$2:$A$451,$H37,Dati!$H$2:$H$451,$AD37)+SUMIFS(Dati!$I$2:$I$451,Dati!$H$2:$H$451,$H37,Dati!$A$2:$A$451,$AD37),"-")</f>
        <v/>
      </c>
      <c r="AQ37" s="22">
        <f>IF(AND($H37&lt;&gt;"",$AE37&lt;&gt;"",$H37&lt;&gt;$AE37,IFERROR(VLOOKUP($H37,areaCercaPuntiClassificaSquadra,3,FALSE),-1)=IFERROR(VLOOKUP($AE37,areaCercaPuntiClassificaSquadra,3,FALSE),-2)),SUMIFS(Dati!$B$2:$B$451,Dati!$A$2:$A$451,$H37,Dati!$H$2:$H$451,$AE37)+SUMIFS(Dati!$I$2:$I$451,Dati!$H$2:$H$451,$H37,Dati!$A$2:$A$451,$AE37),"-")</f>
        <v/>
      </c>
      <c r="AR37" s="22">
        <f>IF(AND($H37&lt;&gt;"",$AF37&lt;&gt;"",$H37&lt;&gt;$AF37,IFERROR(VLOOKUP($H37,areaCercaPuntiClassificaSquadra,3,FALSE),-1)=IFERROR(VLOOKUP($AF37,areaCercaPuntiClassificaSquadra,3,FALSE),-2)),SUMIFS(Dati!$B$2:$B$451,Dati!$A$2:$A$451,$H37,Dati!$H$2:$H$451,$AF37)+SUMIFS(Dati!$I$2:$I$451,Dati!$H$2:$H$451,$H37,Dati!$A$2:$A$451,$AF37),"-")</f>
        <v/>
      </c>
      <c r="AS37" s="22">
        <f>IF(AND($H37&lt;&gt;"",$AG37&lt;&gt;"",$H37&lt;&gt;$AG37,IFERROR(VLOOKUP($H37,areaCercaPuntiClassificaSquadra,3,FALSE),-1)=IFERROR(VLOOKUP($AG37,areaCercaPuntiClassificaSquadra,3,FALSE),-2)),SUMIFS(Dati!$B$2:$B$451,Dati!$A$2:$A$451,$H37,Dati!$H$2:$H$451,$AG37)+SUMIFS(Dati!$I$2:$I$451,Dati!$H$2:$H$451,$H37,Dati!$A$2:$A$451,$AG37),"-")</f>
        <v/>
      </c>
      <c r="AT37" s="22">
        <f>IF(AND($H37&lt;&gt;"",$AH37&lt;&gt;"",$H37&lt;&gt;$AH37,IFERROR(VLOOKUP($H37,areaCercaPuntiClassificaSquadra,3,FALSE),-1)=IFERROR(VLOOKUP($AH37,areaCercaPuntiClassificaSquadra,3,FALSE),-2)),SUMIFS(Dati!$B$2:$B$451,Dati!$A$2:$A$451,$H37,Dati!$H$2:$H$451,$AH37)+SUMIFS(Dati!$I$2:$I$451,Dati!$H$2:$H$451,$H37,Dati!$A$2:$A$451,$AH37),"-")</f>
        <v/>
      </c>
      <c r="AV37" s="21">
        <f>$C37</f>
        <v/>
      </c>
      <c r="AW37" s="22">
        <f>IF(AND($H37&lt;&gt;"",$Y37&lt;&gt;"",$H37&lt;&gt;$Y37,IFERROR(VLOOKUP($H37,areaCercaPuntiClassificaSquadra,3,FALSE),-1)=IFERROR(VLOOKUP($Y37,areaCercaPuntiClassificaSquadra,3,FALSE),-2)),SUMIFS(Dati!$D$2:$D$451,Dati!$A$2:$A$451,$H37,Dati!$H$2:$H$451,$Y37)+SUMIFS(Dati!$K$2:$K$451,Dati!$H$2:$H$451,$H37,Dati!$A$2:$A$451,$Y37)+SUMIFS(Dati!$C$2:$C$451,Dati!$A$2:$A$451,$H37,Dati!$H$2:$H$451,$Y37)+SUMIFS(Dati!$J$2:$J$451,Dati!$H$2:$H$451,$H37,Dati!$A$2:$A$451,$Y37),"-")</f>
        <v/>
      </c>
      <c r="AX37" s="22">
        <f>IF(AND($H37&lt;&gt;"",$Z37&lt;&gt;"",$H37&lt;&gt;$Z37,IFERROR(VLOOKUP($H37,areaCercaPuntiClassificaSquadra,3,FALSE),-1)=IFERROR(VLOOKUP($Z37,areaCercaPuntiClassificaSquadra,3,FALSE),-2)),SUMIFS(Dati!$D$2:$D$451,Dati!$A$2:$A$451,$H37,Dati!$H$2:$H$451,$Z37)+SUMIFS(Dati!$K$2:$K$451,Dati!$H$2:$H$451,$H37,Dati!$A$2:$A$451,$Z37)+SUMIFS(Dati!$C$2:$C$451,Dati!$A$2:$A$451,$H37,Dati!$H$2:$H$451,$Z37)+SUMIFS(Dati!$J$2:$J$451,Dati!$H$2:$H$451,$H37,Dati!$A$2:$A$451,$Z37),"-")</f>
        <v/>
      </c>
      <c r="AY37" s="22">
        <f>IF(AND($H37&lt;&gt;"",$AA37&lt;&gt;"",$H37&lt;&gt;$AA37,IFERROR(VLOOKUP($H37,areaCercaPuntiClassificaSquadra,3,FALSE),-1)=IFERROR(VLOOKUP($AA37,areaCercaPuntiClassificaSquadra,3,FALSE),-2)),SUMIFS(Dati!$D$2:$D$451,Dati!$A$2:$A$451,$H37,Dati!$H$2:$H$451,$AA37)+SUMIFS(Dati!$K$2:$K$451,Dati!$H$2:$H$451,$H37,Dati!$A$2:$A$451,$AA37)+SUMIFS(Dati!$C$2:$C$451,Dati!$A$2:$A$451,$H37,Dati!$H$2:$H$451,$AA37)+SUMIFS(Dati!$J$2:$J$451,Dati!$H$2:$H$451,$H37,Dati!$A$2:$A$451,$AA37),"-")</f>
        <v/>
      </c>
      <c r="AZ37" s="22">
        <f>IF(AND($H37&lt;&gt;"",$AB37&lt;&gt;"",$H37&lt;&gt;$AB37,IFERROR(VLOOKUP($H37,areaCercaPuntiClassificaSquadra,3,FALSE),-1)=IFERROR(VLOOKUP($AB37,areaCercaPuntiClassificaSquadra,3,FALSE),-2)),SUMIFS(Dati!$D$2:$D$451,Dati!$A$2:$A$451,$H37,Dati!$H$2:$H$451,$AB37)+SUMIFS(Dati!$K$2:$K$451,Dati!$H$2:$H$451,$H37,Dati!$A$2:$A$451,$AB37)+SUMIFS(Dati!$C$2:$C$451,Dati!$A$2:$A$451,$H37,Dati!$H$2:$H$451,$AB37)+SUMIFS(Dati!$J$2:$J$451,Dati!$H$2:$H$451,$H37,Dati!$A$2:$A$451,$AB37),"-")</f>
        <v/>
      </c>
      <c r="BA37" s="22">
        <f>IF(AND($H37&lt;&gt;"",$AC37&lt;&gt;"",$H37&lt;&gt;$AC37,IFERROR(VLOOKUP($H37,areaCercaPuntiClassificaSquadra,3,FALSE),-1)=IFERROR(VLOOKUP($AC37,areaCercaPuntiClassificaSquadra,3,FALSE),-2)),SUMIFS(Dati!$D$2:$D$451,Dati!$A$2:$A$451,$H37,Dati!$H$2:$H$451,$AC37)+SUMIFS(Dati!$K$2:$K$451,Dati!$H$2:$H$451,$H37,Dati!$A$2:$A$451,$AC37)+SUMIFS(Dati!$C$2:$C$451,Dati!$A$2:$A$451,$H37,Dati!$H$2:$H$451,$AC37)+SUMIFS(Dati!$J$2:$J$451,Dati!$H$2:$H$451,$H37,Dati!$A$2:$A$451,$AC37),"-")</f>
        <v/>
      </c>
      <c r="BB37" s="22">
        <f>IF(AND($H37&lt;&gt;"",$AD37&lt;&gt;"",$H37&lt;&gt;$AD37,IFERROR(VLOOKUP($H37,areaCercaPuntiClassificaSquadra,3,FALSE),-1)=IFERROR(VLOOKUP($AD37,areaCercaPuntiClassificaSquadra,3,FALSE),-2)),SUMIFS(Dati!$D$2:$D$451,Dati!$A$2:$A$451,$H37,Dati!$H$2:$H$451,$AD37)+SUMIFS(Dati!$K$2:$K$451,Dati!$H$2:$H$451,$H37,Dati!$A$2:$A$451,$AD37)+SUMIFS(Dati!$C$2:$C$451,Dati!$A$2:$A$451,$H37,Dati!$H$2:$H$451,$AD37)+SUMIFS(Dati!$J$2:$J$451,Dati!$H$2:$H$451,$H37,Dati!$A$2:$A$451,$AD37),"-")</f>
        <v/>
      </c>
      <c r="BC37" s="22">
        <f>IF(AND($H37&lt;&gt;"",$AE37&lt;&gt;"",$H37&lt;&gt;$AE37,IFERROR(VLOOKUP($H37,areaCercaPuntiClassificaSquadra,3,FALSE),-1)=IFERROR(VLOOKUP($AE37,areaCercaPuntiClassificaSquadra,3,FALSE),-2)),SUMIFS(Dati!$D$2:$D$451,Dati!$A$2:$A$451,$H37,Dati!$H$2:$H$451,$AE37)+SUMIFS(Dati!$K$2:$K$451,Dati!$H$2:$H$451,$H37,Dati!$A$2:$A$451,$AE37)+SUMIFS(Dati!$C$2:$C$451,Dati!$A$2:$A$451,$H37,Dati!$H$2:$H$451,$AE37)+SUMIFS(Dati!$J$2:$J$451,Dati!$H$2:$H$451,$H37,Dati!$A$2:$A$451,$AE37),"-")</f>
        <v/>
      </c>
      <c r="BD37" s="22">
        <f>IF(AND($H37&lt;&gt;"",$AF37&lt;&gt;"",$H37&lt;&gt;$AF37,IFERROR(VLOOKUP($H37,areaCercaPuntiClassificaSquadra,3,FALSE),-1)=IFERROR(VLOOKUP($AF37,areaCercaPuntiClassificaSquadra,3,FALSE),-2)),SUMIFS(Dati!$D$2:$D$451,Dati!$A$2:$A$451,$H37,Dati!$H$2:$H$451,$AF37)+SUMIFS(Dati!$K$2:$K$451,Dati!$H$2:$H$451,$H37,Dati!$A$2:$A$451,$AF37)+SUMIFS(Dati!$C$2:$C$451,Dati!$A$2:$A$451,$H37,Dati!$H$2:$H$451,$AF37)+SUMIFS(Dati!$J$2:$J$451,Dati!$H$2:$H$451,$H37,Dati!$A$2:$A$451,$AF37),"-")</f>
        <v/>
      </c>
      <c r="BE37" s="22">
        <f>IF(AND($H37&lt;&gt;"",$AG37&lt;&gt;"",$H37&lt;&gt;$AG37,IFERROR(VLOOKUP($H37,areaCercaPuntiClassificaSquadra,3,FALSE),-1)=IFERROR(VLOOKUP($AG37,areaCercaPuntiClassificaSquadra,3,FALSE),-2)),SUMIFS(Dati!$D$2:$D$451,Dati!$A$2:$A$451,$H37,Dati!$H$2:$H$451,$AG37)+SUMIFS(Dati!$K$2:$K$451,Dati!$H$2:$H$451,$H37,Dati!$A$2:$A$451,$AG37)+SUMIFS(Dati!$C$2:$C$451,Dati!$A$2:$A$451,$H37,Dati!$H$2:$H$451,$AG37)+SUMIFS(Dati!$J$2:$J$451,Dati!$H$2:$H$451,$H37,Dati!$A$2:$A$451,$AG37),"-")</f>
        <v/>
      </c>
      <c r="BF37" s="22">
        <f>IF(AND($H37&lt;&gt;"",$AH37&lt;&gt;"",$H37&lt;&gt;$AH37,IFERROR(VLOOKUP($H37,areaCercaPuntiClassificaSquadra,3,FALSE),-1)=IFERROR(VLOOKUP($AH37,areaCercaPuntiClassificaSquadra,3,FALSE),-2)),SUMIFS(Dati!$D$2:$D$451,Dati!$A$2:$A$451,$H37,Dati!$H$2:$H$451,$AH37)+SUMIFS(Dati!$K$2:$K$451,Dati!$H$2:$H$451,$H37,Dati!$A$2:$A$451,$AH37)+SUMIFS(Dati!$C$2:$C$451,Dati!$A$2:$A$451,$H37,Dati!$H$2:$H$451,$AH37)+SUMIFS(Dati!$J$2:$J$451,Dati!$H$2:$H$451,$H37,Dati!$A$2:$A$451,$AH37),"-")</f>
        <v/>
      </c>
      <c r="BH37" s="21">
        <f>$C37</f>
        <v/>
      </c>
      <c r="BI37" s="22">
        <f>IF(AND($H37&lt;&gt;"",$Y37&lt;&gt;"",$H37&lt;&gt;$Y37,IFERROR(VLOOKUP($H37,areaCercaPuntiClassificaSquadra,3,FALSE),-1)=IFERROR(VLOOKUP($Y37,areaCercaPuntiClassificaSquadra,3,FALSE),-2)),SUMIFS(Dati!$E$2:$E$451,Dati!$A$2:$A$451,$H37,Dati!$H$2:$H$451,$Y37)+SUMIFS(Dati!$L$2:$L$451,Dati!$H$2:$H$451,$H37,Dati!$A$2:$A$451,$Y37),"-")</f>
        <v/>
      </c>
      <c r="BJ37" s="22">
        <f>IF(AND($H37&lt;&gt;"",$Z37&lt;&gt;"",$H37&lt;&gt;$Z37,IFERROR(VLOOKUP($H37,areaCercaPuntiClassificaSquadra,3,FALSE),-1)=IFERROR(VLOOKUP($Z37,areaCercaPuntiClassificaSquadra,3,FALSE),-2)),SUMIFS(Dati!$E$2:$E$451,Dati!$A$2:$A$451,$H37,Dati!$H$2:$H$451,$Z37)+SUMIFS(Dati!$L$2:$L$451,Dati!$H$2:$H$451,$H37,Dati!$A$2:$A$451,$Z37),"-")</f>
        <v/>
      </c>
      <c r="BK37" s="22">
        <f>IF(AND($H37&lt;&gt;"",$AA37&lt;&gt;"",$H37&lt;&gt;$AA37,IFERROR(VLOOKUP($H37,areaCercaPuntiClassificaSquadra,3,FALSE),-1)=IFERROR(VLOOKUP($AA37,areaCercaPuntiClassificaSquadra,3,FALSE),-2)),SUMIFS(Dati!$E$2:$E$451,Dati!$A$2:$A$451,$H37,Dati!$H$2:$H$451,$AA37)+SUMIFS(Dati!$L$2:$L$451,Dati!$H$2:$H$451,$H37,Dati!$A$2:$A$451,$AA37),"-")</f>
        <v/>
      </c>
      <c r="BL37" s="22">
        <f>IF(AND($H37&lt;&gt;"",$AB37&lt;&gt;"",$H37&lt;&gt;$AB37,IFERROR(VLOOKUP($H37,areaCercaPuntiClassificaSquadra,3,FALSE),-1)=IFERROR(VLOOKUP($AB37,areaCercaPuntiClassificaSquadra,3,FALSE),-2)),SUMIFS(Dati!$E$2:$E$451,Dati!$A$2:$A$451,$H37,Dati!$H$2:$H$451,$AB37)+SUMIFS(Dati!$L$2:$L$451,Dati!$H$2:$H$451,$H37,Dati!$A$2:$A$451,$AB37),"-")</f>
        <v/>
      </c>
      <c r="BM37" s="22">
        <f>IF(AND($H37&lt;&gt;"",$AC37&lt;&gt;"",$H37&lt;&gt;$AC37,IFERROR(VLOOKUP($H37,areaCercaPuntiClassificaSquadra,3,FALSE),-1)=IFERROR(VLOOKUP($AC37,areaCercaPuntiClassificaSquadra,3,FALSE),-2)),SUMIFS(Dati!$E$2:$E$451,Dati!$A$2:$A$451,$H37,Dati!$H$2:$H$451,$AC37)+SUMIFS(Dati!$L$2:$L$451,Dati!$H$2:$H$451,$H37,Dati!$A$2:$A$451,$AC37),"-")</f>
        <v/>
      </c>
      <c r="BN37" s="22">
        <f>IF(AND($H37&lt;&gt;"",$AD37&lt;&gt;"",$H37&lt;&gt;$AD37,IFERROR(VLOOKUP($H37,areaCercaPuntiClassificaSquadra,3,FALSE),-1)=IFERROR(VLOOKUP($AD37,areaCercaPuntiClassificaSquadra,3,FALSE),-2)),SUMIFS(Dati!$E$2:$E$451,Dati!$A$2:$A$451,$H37,Dati!$H$2:$H$451,$AD37)+SUMIFS(Dati!$L$2:$L$451,Dati!$H$2:$H$451,$H37,Dati!$A$2:$A$451,$AD37),"-")</f>
        <v/>
      </c>
      <c r="BO37" s="22">
        <f>IF(AND($H37&lt;&gt;"",$AE37&lt;&gt;"",$H37&lt;&gt;$AE37,IFERROR(VLOOKUP($H37,areaCercaPuntiClassificaSquadra,3,FALSE),-1)=IFERROR(VLOOKUP($AE37,areaCercaPuntiClassificaSquadra,3,FALSE),-2)),SUMIFS(Dati!$E$2:$E$451,Dati!$A$2:$A$451,$H37,Dati!$H$2:$H$451,$AE37)+SUMIFS(Dati!$L$2:$L$451,Dati!$H$2:$H$451,$H37,Dati!$A$2:$A$451,$AE37),"-")</f>
        <v/>
      </c>
      <c r="BP37" s="22">
        <f>IF(AND($H37&lt;&gt;"",$AF37&lt;&gt;"",$H37&lt;&gt;$AF37,IFERROR(VLOOKUP($H37,areaCercaPuntiClassificaSquadra,3,FALSE),-1)=IFERROR(VLOOKUP($AF37,areaCercaPuntiClassificaSquadra,3,FALSE),-2)),SUMIFS(Dati!$E$2:$E$451,Dati!$A$2:$A$451,$H37,Dati!$H$2:$H$451,$AF37)+SUMIFS(Dati!$L$2:$L$451,Dati!$H$2:$H$451,$H37,Dati!$A$2:$A$451,$AF37),"-")</f>
        <v/>
      </c>
      <c r="BQ37" s="22">
        <f>IF(AND($H37&lt;&gt;"",$AG37&lt;&gt;"",$H37&lt;&gt;$AG37,IFERROR(VLOOKUP($H37,areaCercaPuntiClassificaSquadra,3,FALSE),-1)=IFERROR(VLOOKUP($AG37,areaCercaPuntiClassificaSquadra,3,FALSE),-2)),SUMIFS(Dati!$E$2:$E$451,Dati!$A$2:$A$451,$H37,Dati!$H$2:$H$451,$AG37)+SUMIFS(Dati!$L$2:$L$451,Dati!$H$2:$H$451,$H37,Dati!$A$2:$A$451,$AG37),"-")</f>
        <v/>
      </c>
      <c r="BR37" s="22">
        <f>IF(AND($H37&lt;&gt;"",$AH37&lt;&gt;"",$H37&lt;&gt;$AH37,IFERROR(VLOOKUP($H37,areaCercaPuntiClassificaSquadra,3,FALSE),-1)=IFERROR(VLOOKUP($AH37,areaCercaPuntiClassificaSquadra,3,FALSE),-2)),SUMIFS(Dati!$E$2:$E$451,Dati!$A$2:$A$451,$H37,Dati!$H$2:$H$451,$AH37)+SUMIFS(Dati!$L$2:$L$451,Dati!$H$2:$H$451,$H37,Dati!$A$2:$A$451,$AH37),"-")</f>
        <v/>
      </c>
      <c r="BT37" s="21">
        <f>$C37</f>
        <v/>
      </c>
      <c r="BU37" s="22">
        <f>IF(AND($H37&lt;&gt;"",$Y37&lt;&gt;"",$H37&lt;&gt;$Y37,IFERROR(VLOOKUP($H37,areaCercaPuntiClassificaSquadra,3,FALSE),-1)=IFERROR(VLOOKUP($Y37,areaCercaPuntiClassificaSquadra,3,FALSE),-2)),SUMIFS(Dati!$F$2:$F$451,Dati!$A$2:$A$451,$H37,Dati!$H$2:$H$451,$Y37)+SUMIFS(Dati!$M$2:$M$451,Dati!$H$2:$H$451,$H37,Dati!$A$2:$A$451,$Y37),"-")</f>
        <v/>
      </c>
      <c r="BV37" s="22">
        <f>IF(AND($H37&lt;&gt;"",$Z37&lt;&gt;"",$H37&lt;&gt;$Z37,IFERROR(VLOOKUP($H37,areaCercaPuntiClassificaSquadra,3,FALSE),-1)=IFERROR(VLOOKUP($Z37,areaCercaPuntiClassificaSquadra,3,FALSE),-2)),SUMIFS(Dati!$F$2:$F$451,Dati!$A$2:$A$451,$H37,Dati!$H$2:$H$451,$Z37)+SUMIFS(Dati!$M$2:$M$451,Dati!$H$2:$H$451,$H37,Dati!$A$2:$A$451,$Z37),"-")</f>
        <v/>
      </c>
      <c r="BW37" s="22">
        <f>IF(AND($H37&lt;&gt;"",$AA37&lt;&gt;"",$H37&lt;&gt;$AA37,IFERROR(VLOOKUP($H37,areaCercaPuntiClassificaSquadra,3,FALSE),-1)=IFERROR(VLOOKUP($AA37,areaCercaPuntiClassificaSquadra,3,FALSE),-2)),SUMIFS(Dati!$F$2:$F$451,Dati!$A$2:$A$451,$H37,Dati!$H$2:$H$451,$AA37)+SUMIFS(Dati!$M$2:$M$451,Dati!$H$2:$H$451,$H37,Dati!$A$2:$A$451,$AA37),"-")</f>
        <v/>
      </c>
      <c r="BX37" s="22">
        <f>IF(AND($H37&lt;&gt;"",$AB37&lt;&gt;"",$H37&lt;&gt;$AB37,IFERROR(VLOOKUP($H37,areaCercaPuntiClassificaSquadra,3,FALSE),-1)=IFERROR(VLOOKUP($AB37,areaCercaPuntiClassificaSquadra,3,FALSE),-2)),SUMIFS(Dati!$F$2:$F$451,Dati!$A$2:$A$451,$H37,Dati!$H$2:$H$451,$AB37)+SUMIFS(Dati!$M$2:$M$451,Dati!$H$2:$H$451,$H37,Dati!$A$2:$A$451,$AB37),"-")</f>
        <v/>
      </c>
      <c r="BY37" s="22">
        <f>IF(AND($H37&lt;&gt;"",$AC37&lt;&gt;"",$H37&lt;&gt;$AC37,IFERROR(VLOOKUP($H37,areaCercaPuntiClassificaSquadra,3,FALSE),-1)=IFERROR(VLOOKUP($AC37,areaCercaPuntiClassificaSquadra,3,FALSE),-2)),SUMIFS(Dati!$F$2:$F$451,Dati!$A$2:$A$451,$H37,Dati!$H$2:$H$451,$AC37)+SUMIFS(Dati!$M$2:$M$451,Dati!$H$2:$H$451,$H37,Dati!$A$2:$A$451,$AC37),"-")</f>
        <v/>
      </c>
      <c r="BZ37" s="22">
        <f>IF(AND($H37&lt;&gt;"",$AD37&lt;&gt;"",$H37&lt;&gt;$AD37,IFERROR(VLOOKUP($H37,areaCercaPuntiClassificaSquadra,3,FALSE),-1)=IFERROR(VLOOKUP($AD37,areaCercaPuntiClassificaSquadra,3,FALSE),-2)),SUMIFS(Dati!$F$2:$F$451,Dati!$A$2:$A$451,$H37,Dati!$H$2:$H$451,$AD37)+SUMIFS(Dati!$M$2:$M$451,Dati!$H$2:$H$451,$H37,Dati!$A$2:$A$451,$AD37),"-")</f>
        <v/>
      </c>
      <c r="CA37" s="22">
        <f>IF(AND($H37&lt;&gt;"",$AE37&lt;&gt;"",$H37&lt;&gt;$AE37,IFERROR(VLOOKUP($H37,areaCercaPuntiClassificaSquadra,3,FALSE),-1)=IFERROR(VLOOKUP($AE37,areaCercaPuntiClassificaSquadra,3,FALSE),-2)),SUMIFS(Dati!$F$2:$F$451,Dati!$A$2:$A$451,$H37,Dati!$H$2:$H$451,$AE37)+SUMIFS(Dati!$M$2:$M$451,Dati!$H$2:$H$451,$H37,Dati!$A$2:$A$451,$AE37),"-")</f>
        <v/>
      </c>
      <c r="CB37" s="22">
        <f>IF(AND($H37&lt;&gt;"",$AF37&lt;&gt;"",$H37&lt;&gt;$AF37,IFERROR(VLOOKUP($H37,areaCercaPuntiClassificaSquadra,3,FALSE),-1)=IFERROR(VLOOKUP($AF37,areaCercaPuntiClassificaSquadra,3,FALSE),-2)),SUMIFS(Dati!$F$2:$F$451,Dati!$A$2:$A$451,$H37,Dati!$H$2:$H$451,$AF37)+SUMIFS(Dati!$M$2:$M$451,Dati!$H$2:$H$451,$H37,Dati!$A$2:$A$451,$AF37),"-")</f>
        <v/>
      </c>
      <c r="CC37" s="22">
        <f>IF(AND($H37&lt;&gt;"",$AG37&lt;&gt;"",$H37&lt;&gt;$AG37,IFERROR(VLOOKUP($H37,areaCercaPuntiClassificaSquadra,3,FALSE),-1)=IFERROR(VLOOKUP($AG37,areaCercaPuntiClassificaSquadra,3,FALSE),-2)),SUMIFS(Dati!$F$2:$F$451,Dati!$A$2:$A$451,$H37,Dati!$H$2:$H$451,$AG37)+SUMIFS(Dati!$M$2:$M$451,Dati!$H$2:$H$451,$H37,Dati!$A$2:$A$451,$AG37),"-")</f>
        <v/>
      </c>
      <c r="CD37" s="22">
        <f>IF(AND($H37&lt;&gt;"",$AH37&lt;&gt;"",$H37&lt;&gt;$AH37,IFERROR(VLOOKUP($H37,areaCercaPuntiClassificaSquadra,3,FALSE),-1)=IFERROR(VLOOKUP($AH37,areaCercaPuntiClassificaSquadra,3,FALSE),-2)),SUMIFS(Dati!$F$2:$F$451,Dati!$A$2:$A$451,$H37,Dati!$H$2:$H$451,$AH37)+SUMIFS(Dati!$M$2:$M$451,Dati!$H$2:$H$451,$H37,Dati!$A$2:$A$451,$AH37),"-")</f>
        <v/>
      </c>
      <c r="CF37" s="22">
        <f>IF($C37="","",SUM(AK37:AT37))</f>
        <v/>
      </c>
    </row>
    <row r="38">
      <c r="B38" s="12" t="inlineStr">
        <is>
          <t>C05</t>
        </is>
      </c>
      <c r="C38" s="13" t="n"/>
      <c r="D38" s="14" t="n"/>
      <c r="E38" s="25" t="inlineStr">
        <is>
          <t>C</t>
        </is>
      </c>
      <c r="G38" s="26">
        <f>IF($C38="","",$E38&amp;(COUNTIFS(I$14:I$113,"&gt;"&amp;I38,E$14:E$113,"="&amp;E38,C$14:C$113,"&lt;&gt;")+COUNTIFS(I$14:I$113,"="&amp;I38,H$14:H$113,"&lt;="&amp;H38,E$14:E$113,"="&amp;E38,C$14:C$113,"&lt;&gt;")))</f>
        <v/>
      </c>
      <c r="H38" s="17">
        <f>IF($C38="","",IFERROR(LEFT($C38,FIND("-",$C38)-1),$C38))</f>
        <v/>
      </c>
      <c r="I38" s="12">
        <f>TEXT(1000000000+J38,"|0000000000|")&amp;TEXT(SUM(AK38:AT38),"0000000000|")&amp;IF(SUM(BU38:CD38)=0,"0000000000|",TEXT(ROUND(SUM(BI38:BR38)/SUM(BU38:CD38),4)*100000,"0000000000|"))&amp;IF(P38=0,"0000000000|",TEXT(ROUND(O38/P38,4)*100000,"0000000000|"))</f>
        <v/>
      </c>
      <c r="J38" s="26">
        <f>L38*constPuntiVittoria+M38*constPuntiSconfitta+N38*constPuntiForfait+IF(D38="",0,D38)</f>
        <v/>
      </c>
      <c r="K38" s="12">
        <f>SUM(L38:N38)</f>
        <v/>
      </c>
      <c r="L38" s="12">
        <f>IF($H38="",0,SUMIF(Dati!$A$2:$A$451,$H38,Dati!$B$2:$B$451)+SUMIF(Dati!$H$2:$H$451,$H38,Dati!$I$2:$I$451))</f>
        <v/>
      </c>
      <c r="M38" s="12">
        <f>IF($H38="",0,SUMIF(Dati!$A$2:$A$451,$H38,Dati!$D$2:$D$451)+SUMIF(Dati!$H$2:$H$451,$H38,Dati!$K$2:$K$451))</f>
        <v/>
      </c>
      <c r="N38" s="12">
        <f>IF($H38="",0,SUMIF(Dati!$A$2:$A$451,$H38,Dati!$C$2:$C$451)+SUMIF(Dati!$H$2:$H$451,$H38,Dati!$J$2:$J$451))</f>
        <v/>
      </c>
      <c r="O38" s="12">
        <f>IF($H38="",0,SUMIF(Dati!$A$2:$A$451,$H38,Dati!$E$2:$E$451)+SUMIF(Dati!$H$2:$H$451,$H38,Dati!$L$2:$L$451))</f>
        <v/>
      </c>
      <c r="P38" s="12">
        <f>IF($H38="",0,SUMIF(Dati!$A$2:$A$451,$H38,Dati!$F$2:$F$451)+SUMIF(Dati!$H$2:$H$451,$H38,Dati!$M$2:$M$451))</f>
        <v/>
      </c>
      <c r="Q38" s="12">
        <f>IF($H38="",0,SUMIF(Dati!$A$2:$A$451,$H38,Dati!$G$2:$G$451)+SUMIF(Dati!$H$2:$H$451,$H38,Dati!$N$2:$N$451))</f>
        <v/>
      </c>
      <c r="R38" s="12">
        <f>IF(K38=0,0,ROUND(O38/K38,2))</f>
        <v/>
      </c>
      <c r="S38" s="12">
        <f>IF(K38=0,0,ROUND(P38/K38,2))</f>
        <v/>
      </c>
      <c r="T38" s="12">
        <f>IF(K38=0,0,ROUND(Q38/K38,2))</f>
        <v/>
      </c>
      <c r="U38" s="12">
        <f>IF(COUNTIFS($E$14:$E$113,$E38,$J$14:$J$113,$J38,$C$14:$C$113,"&lt;&gt;")&lt;=1,"-",SUM(AK38:AT38)&amp;"-"&amp;SUM(AW38:BF38))</f>
        <v/>
      </c>
      <c r="V38" s="18">
        <f>IF(COUNTIFS($E$14:$E$113,$E38,$J$14:$J$113,$J38,$C$14:$C$113,"&lt;&gt;",$CF$14:$CF$113,$CF38)&lt;=1,"-",IF(SUM(BU38:CD38)=0,0,ROUND(SUM(BI38:BR38)/SUM(BU38:CD38),3)))</f>
        <v/>
      </c>
      <c r="W38" s="18">
        <f>IF(COUNTIFS($E$14:$E$113,$E38,$J$14:$J$113,$J38,$C$14:$C$113,"&lt;&gt;",$CF$14:$CF$113,$CF38,$V$14:$V$113,$V38)&lt;=1,"-",IF(P38=0,0,ROUND(O38/P38,3)))</f>
        <v/>
      </c>
      <c r="X38" s="19">
        <f>IF($C38="","",$E38&amp;"#"&amp;COUNTIFS($E$14:$E38,$E38,$C$14:$C38,"&lt;&gt;"))</f>
        <v/>
      </c>
      <c r="Y38" s="20">
        <f>IFERROR(INDEX($H$14:$H$113,MATCH($E38&amp;"#1",$X$14:$X$113,0)),"")</f>
        <v/>
      </c>
      <c r="Z38" s="20">
        <f>IFERROR(INDEX($H$14:$H$113,MATCH($E38&amp;"#2",$X$14:$X$113,0)),"")</f>
        <v/>
      </c>
      <c r="AA38" s="20">
        <f>IFERROR(INDEX($H$14:$H$113,MATCH($E38&amp;"#3",$X$14:$X$113,0)),"")</f>
        <v/>
      </c>
      <c r="AB38" s="20">
        <f>IFERROR(INDEX($H$14:$H$113,MATCH($E38&amp;"#4",$X$14:$X$113,0)),"")</f>
        <v/>
      </c>
      <c r="AC38" s="20">
        <f>IFERROR(INDEX($H$14:$H$113,MATCH($E38&amp;"#5",$X$14:$X$113,0)),"")</f>
        <v/>
      </c>
      <c r="AD38" s="20">
        <f>IFERROR(INDEX($H$14:$H$113,MATCH($E38&amp;"#6",$X$14:$X$113,0)),"")</f>
        <v/>
      </c>
      <c r="AE38" s="20">
        <f>IFERROR(INDEX($H$14:$H$113,MATCH($E38&amp;"#7",$X$14:$X$113,0)),"")</f>
        <v/>
      </c>
      <c r="AF38" s="20">
        <f>IFERROR(INDEX($H$14:$H$113,MATCH($E38&amp;"#8",$X$14:$X$113,0)),"")</f>
        <v/>
      </c>
      <c r="AG38" s="20">
        <f>IFERROR(INDEX($H$14:$H$113,MATCH($E38&amp;"#9",$X$14:$X$113,0)),"")</f>
        <v/>
      </c>
      <c r="AH38" s="20">
        <f>IFERROR(INDEX($H$14:$H$113,MATCH($E38&amp;"#10",$X$14:$X$113,0)),"")</f>
        <v/>
      </c>
      <c r="AJ38" s="21">
        <f>$C38</f>
        <v/>
      </c>
      <c r="AK38" s="22">
        <f>IF(AND($H38&lt;&gt;"",$Y38&lt;&gt;"",$H38&lt;&gt;$Y38,IFERROR(VLOOKUP($H38,areaCercaPuntiClassificaSquadra,3,FALSE),-1)=IFERROR(VLOOKUP($Y38,areaCercaPuntiClassificaSquadra,3,FALSE),-2)),SUMIFS(Dati!$B$2:$B$451,Dati!$A$2:$A$451,$H38,Dati!$H$2:$H$451,$Y38)+SUMIFS(Dati!$I$2:$I$451,Dati!$H$2:$H$451,$H38,Dati!$A$2:$A$451,$Y38),"-")</f>
        <v/>
      </c>
      <c r="AL38" s="22">
        <f>IF(AND($H38&lt;&gt;"",$Z38&lt;&gt;"",$H38&lt;&gt;$Z38,IFERROR(VLOOKUP($H38,areaCercaPuntiClassificaSquadra,3,FALSE),-1)=IFERROR(VLOOKUP($Z38,areaCercaPuntiClassificaSquadra,3,FALSE),-2)),SUMIFS(Dati!$B$2:$B$451,Dati!$A$2:$A$451,$H38,Dati!$H$2:$H$451,$Z38)+SUMIFS(Dati!$I$2:$I$451,Dati!$H$2:$H$451,$H38,Dati!$A$2:$A$451,$Z38),"-")</f>
        <v/>
      </c>
      <c r="AM38" s="22">
        <f>IF(AND($H38&lt;&gt;"",$AA38&lt;&gt;"",$H38&lt;&gt;$AA38,IFERROR(VLOOKUP($H38,areaCercaPuntiClassificaSquadra,3,FALSE),-1)=IFERROR(VLOOKUP($AA38,areaCercaPuntiClassificaSquadra,3,FALSE),-2)),SUMIFS(Dati!$B$2:$B$451,Dati!$A$2:$A$451,$H38,Dati!$H$2:$H$451,$AA38)+SUMIFS(Dati!$I$2:$I$451,Dati!$H$2:$H$451,$H38,Dati!$A$2:$A$451,$AA38),"-")</f>
        <v/>
      </c>
      <c r="AN38" s="22">
        <f>IF(AND($H38&lt;&gt;"",$AB38&lt;&gt;"",$H38&lt;&gt;$AB38,IFERROR(VLOOKUP($H38,areaCercaPuntiClassificaSquadra,3,FALSE),-1)=IFERROR(VLOOKUP($AB38,areaCercaPuntiClassificaSquadra,3,FALSE),-2)),SUMIFS(Dati!$B$2:$B$451,Dati!$A$2:$A$451,$H38,Dati!$H$2:$H$451,$AB38)+SUMIFS(Dati!$I$2:$I$451,Dati!$H$2:$H$451,$H38,Dati!$A$2:$A$451,$AB38),"-")</f>
        <v/>
      </c>
      <c r="AO38" s="22">
        <f>IF(AND($H38&lt;&gt;"",$AC38&lt;&gt;"",$H38&lt;&gt;$AC38,IFERROR(VLOOKUP($H38,areaCercaPuntiClassificaSquadra,3,FALSE),-1)=IFERROR(VLOOKUP($AC38,areaCercaPuntiClassificaSquadra,3,FALSE),-2)),SUMIFS(Dati!$B$2:$B$451,Dati!$A$2:$A$451,$H38,Dati!$H$2:$H$451,$AC38)+SUMIFS(Dati!$I$2:$I$451,Dati!$H$2:$H$451,$H38,Dati!$A$2:$A$451,$AC38),"-")</f>
        <v/>
      </c>
      <c r="AP38" s="22">
        <f>IF(AND($H38&lt;&gt;"",$AD38&lt;&gt;"",$H38&lt;&gt;$AD38,IFERROR(VLOOKUP($H38,areaCercaPuntiClassificaSquadra,3,FALSE),-1)=IFERROR(VLOOKUP($AD38,areaCercaPuntiClassificaSquadra,3,FALSE),-2)),SUMIFS(Dati!$B$2:$B$451,Dati!$A$2:$A$451,$H38,Dati!$H$2:$H$451,$AD38)+SUMIFS(Dati!$I$2:$I$451,Dati!$H$2:$H$451,$H38,Dati!$A$2:$A$451,$AD38),"-")</f>
        <v/>
      </c>
      <c r="AQ38" s="22">
        <f>IF(AND($H38&lt;&gt;"",$AE38&lt;&gt;"",$H38&lt;&gt;$AE38,IFERROR(VLOOKUP($H38,areaCercaPuntiClassificaSquadra,3,FALSE),-1)=IFERROR(VLOOKUP($AE38,areaCercaPuntiClassificaSquadra,3,FALSE),-2)),SUMIFS(Dati!$B$2:$B$451,Dati!$A$2:$A$451,$H38,Dati!$H$2:$H$451,$AE38)+SUMIFS(Dati!$I$2:$I$451,Dati!$H$2:$H$451,$H38,Dati!$A$2:$A$451,$AE38),"-")</f>
        <v/>
      </c>
      <c r="AR38" s="22">
        <f>IF(AND($H38&lt;&gt;"",$AF38&lt;&gt;"",$H38&lt;&gt;$AF38,IFERROR(VLOOKUP($H38,areaCercaPuntiClassificaSquadra,3,FALSE),-1)=IFERROR(VLOOKUP($AF38,areaCercaPuntiClassificaSquadra,3,FALSE),-2)),SUMIFS(Dati!$B$2:$B$451,Dati!$A$2:$A$451,$H38,Dati!$H$2:$H$451,$AF38)+SUMIFS(Dati!$I$2:$I$451,Dati!$H$2:$H$451,$H38,Dati!$A$2:$A$451,$AF38),"-")</f>
        <v/>
      </c>
      <c r="AS38" s="22">
        <f>IF(AND($H38&lt;&gt;"",$AG38&lt;&gt;"",$H38&lt;&gt;$AG38,IFERROR(VLOOKUP($H38,areaCercaPuntiClassificaSquadra,3,FALSE),-1)=IFERROR(VLOOKUP($AG38,areaCercaPuntiClassificaSquadra,3,FALSE),-2)),SUMIFS(Dati!$B$2:$B$451,Dati!$A$2:$A$451,$H38,Dati!$H$2:$H$451,$AG38)+SUMIFS(Dati!$I$2:$I$451,Dati!$H$2:$H$451,$H38,Dati!$A$2:$A$451,$AG38),"-")</f>
        <v/>
      </c>
      <c r="AT38" s="22">
        <f>IF(AND($H38&lt;&gt;"",$AH38&lt;&gt;"",$H38&lt;&gt;$AH38,IFERROR(VLOOKUP($H38,areaCercaPuntiClassificaSquadra,3,FALSE),-1)=IFERROR(VLOOKUP($AH38,areaCercaPuntiClassificaSquadra,3,FALSE),-2)),SUMIFS(Dati!$B$2:$B$451,Dati!$A$2:$A$451,$H38,Dati!$H$2:$H$451,$AH38)+SUMIFS(Dati!$I$2:$I$451,Dati!$H$2:$H$451,$H38,Dati!$A$2:$A$451,$AH38),"-")</f>
        <v/>
      </c>
      <c r="AV38" s="21">
        <f>$C38</f>
        <v/>
      </c>
      <c r="AW38" s="22">
        <f>IF(AND($H38&lt;&gt;"",$Y38&lt;&gt;"",$H38&lt;&gt;$Y38,IFERROR(VLOOKUP($H38,areaCercaPuntiClassificaSquadra,3,FALSE),-1)=IFERROR(VLOOKUP($Y38,areaCercaPuntiClassificaSquadra,3,FALSE),-2)),SUMIFS(Dati!$D$2:$D$451,Dati!$A$2:$A$451,$H38,Dati!$H$2:$H$451,$Y38)+SUMIFS(Dati!$K$2:$K$451,Dati!$H$2:$H$451,$H38,Dati!$A$2:$A$451,$Y38)+SUMIFS(Dati!$C$2:$C$451,Dati!$A$2:$A$451,$H38,Dati!$H$2:$H$451,$Y38)+SUMIFS(Dati!$J$2:$J$451,Dati!$H$2:$H$451,$H38,Dati!$A$2:$A$451,$Y38),"-")</f>
        <v/>
      </c>
      <c r="AX38" s="22">
        <f>IF(AND($H38&lt;&gt;"",$Z38&lt;&gt;"",$H38&lt;&gt;$Z38,IFERROR(VLOOKUP($H38,areaCercaPuntiClassificaSquadra,3,FALSE),-1)=IFERROR(VLOOKUP($Z38,areaCercaPuntiClassificaSquadra,3,FALSE),-2)),SUMIFS(Dati!$D$2:$D$451,Dati!$A$2:$A$451,$H38,Dati!$H$2:$H$451,$Z38)+SUMIFS(Dati!$K$2:$K$451,Dati!$H$2:$H$451,$H38,Dati!$A$2:$A$451,$Z38)+SUMIFS(Dati!$C$2:$C$451,Dati!$A$2:$A$451,$H38,Dati!$H$2:$H$451,$Z38)+SUMIFS(Dati!$J$2:$J$451,Dati!$H$2:$H$451,$H38,Dati!$A$2:$A$451,$Z38),"-")</f>
        <v/>
      </c>
      <c r="AY38" s="22">
        <f>IF(AND($H38&lt;&gt;"",$AA38&lt;&gt;"",$H38&lt;&gt;$AA38,IFERROR(VLOOKUP($H38,areaCercaPuntiClassificaSquadra,3,FALSE),-1)=IFERROR(VLOOKUP($AA38,areaCercaPuntiClassificaSquadra,3,FALSE),-2)),SUMIFS(Dati!$D$2:$D$451,Dati!$A$2:$A$451,$H38,Dati!$H$2:$H$451,$AA38)+SUMIFS(Dati!$K$2:$K$451,Dati!$H$2:$H$451,$H38,Dati!$A$2:$A$451,$AA38)+SUMIFS(Dati!$C$2:$C$451,Dati!$A$2:$A$451,$H38,Dati!$H$2:$H$451,$AA38)+SUMIFS(Dati!$J$2:$J$451,Dati!$H$2:$H$451,$H38,Dati!$A$2:$A$451,$AA38),"-")</f>
        <v/>
      </c>
      <c r="AZ38" s="22">
        <f>IF(AND($H38&lt;&gt;"",$AB38&lt;&gt;"",$H38&lt;&gt;$AB38,IFERROR(VLOOKUP($H38,areaCercaPuntiClassificaSquadra,3,FALSE),-1)=IFERROR(VLOOKUP($AB38,areaCercaPuntiClassificaSquadra,3,FALSE),-2)),SUMIFS(Dati!$D$2:$D$451,Dati!$A$2:$A$451,$H38,Dati!$H$2:$H$451,$AB38)+SUMIFS(Dati!$K$2:$K$451,Dati!$H$2:$H$451,$H38,Dati!$A$2:$A$451,$AB38)+SUMIFS(Dati!$C$2:$C$451,Dati!$A$2:$A$451,$H38,Dati!$H$2:$H$451,$AB38)+SUMIFS(Dati!$J$2:$J$451,Dati!$H$2:$H$451,$H38,Dati!$A$2:$A$451,$AB38),"-")</f>
        <v/>
      </c>
      <c r="BA38" s="22">
        <f>IF(AND($H38&lt;&gt;"",$AC38&lt;&gt;"",$H38&lt;&gt;$AC38,IFERROR(VLOOKUP($H38,areaCercaPuntiClassificaSquadra,3,FALSE),-1)=IFERROR(VLOOKUP($AC38,areaCercaPuntiClassificaSquadra,3,FALSE),-2)),SUMIFS(Dati!$D$2:$D$451,Dati!$A$2:$A$451,$H38,Dati!$H$2:$H$451,$AC38)+SUMIFS(Dati!$K$2:$K$451,Dati!$H$2:$H$451,$H38,Dati!$A$2:$A$451,$AC38)+SUMIFS(Dati!$C$2:$C$451,Dati!$A$2:$A$451,$H38,Dati!$H$2:$H$451,$AC38)+SUMIFS(Dati!$J$2:$J$451,Dati!$H$2:$H$451,$H38,Dati!$A$2:$A$451,$AC38),"-")</f>
        <v/>
      </c>
      <c r="BB38" s="22">
        <f>IF(AND($H38&lt;&gt;"",$AD38&lt;&gt;"",$H38&lt;&gt;$AD38,IFERROR(VLOOKUP($H38,areaCercaPuntiClassificaSquadra,3,FALSE),-1)=IFERROR(VLOOKUP($AD38,areaCercaPuntiClassificaSquadra,3,FALSE),-2)),SUMIFS(Dati!$D$2:$D$451,Dati!$A$2:$A$451,$H38,Dati!$H$2:$H$451,$AD38)+SUMIFS(Dati!$K$2:$K$451,Dati!$H$2:$H$451,$H38,Dati!$A$2:$A$451,$AD38)+SUMIFS(Dati!$C$2:$C$451,Dati!$A$2:$A$451,$H38,Dati!$H$2:$H$451,$AD38)+SUMIFS(Dati!$J$2:$J$451,Dati!$H$2:$H$451,$H38,Dati!$A$2:$A$451,$AD38),"-")</f>
        <v/>
      </c>
      <c r="BC38" s="22">
        <f>IF(AND($H38&lt;&gt;"",$AE38&lt;&gt;"",$H38&lt;&gt;$AE38,IFERROR(VLOOKUP($H38,areaCercaPuntiClassificaSquadra,3,FALSE),-1)=IFERROR(VLOOKUP($AE38,areaCercaPuntiClassificaSquadra,3,FALSE),-2)),SUMIFS(Dati!$D$2:$D$451,Dati!$A$2:$A$451,$H38,Dati!$H$2:$H$451,$AE38)+SUMIFS(Dati!$K$2:$K$451,Dati!$H$2:$H$451,$H38,Dati!$A$2:$A$451,$AE38)+SUMIFS(Dati!$C$2:$C$451,Dati!$A$2:$A$451,$H38,Dati!$H$2:$H$451,$AE38)+SUMIFS(Dati!$J$2:$J$451,Dati!$H$2:$H$451,$H38,Dati!$A$2:$A$451,$AE38),"-")</f>
        <v/>
      </c>
      <c r="BD38" s="22">
        <f>IF(AND($H38&lt;&gt;"",$AF38&lt;&gt;"",$H38&lt;&gt;$AF38,IFERROR(VLOOKUP($H38,areaCercaPuntiClassificaSquadra,3,FALSE),-1)=IFERROR(VLOOKUP($AF38,areaCercaPuntiClassificaSquadra,3,FALSE),-2)),SUMIFS(Dati!$D$2:$D$451,Dati!$A$2:$A$451,$H38,Dati!$H$2:$H$451,$AF38)+SUMIFS(Dati!$K$2:$K$451,Dati!$H$2:$H$451,$H38,Dati!$A$2:$A$451,$AF38)+SUMIFS(Dati!$C$2:$C$451,Dati!$A$2:$A$451,$H38,Dati!$H$2:$H$451,$AF38)+SUMIFS(Dati!$J$2:$J$451,Dati!$H$2:$H$451,$H38,Dati!$A$2:$A$451,$AF38),"-")</f>
        <v/>
      </c>
      <c r="BE38" s="22">
        <f>IF(AND($H38&lt;&gt;"",$AG38&lt;&gt;"",$H38&lt;&gt;$AG38,IFERROR(VLOOKUP($H38,areaCercaPuntiClassificaSquadra,3,FALSE),-1)=IFERROR(VLOOKUP($AG38,areaCercaPuntiClassificaSquadra,3,FALSE),-2)),SUMIFS(Dati!$D$2:$D$451,Dati!$A$2:$A$451,$H38,Dati!$H$2:$H$451,$AG38)+SUMIFS(Dati!$K$2:$K$451,Dati!$H$2:$H$451,$H38,Dati!$A$2:$A$451,$AG38)+SUMIFS(Dati!$C$2:$C$451,Dati!$A$2:$A$451,$H38,Dati!$H$2:$H$451,$AG38)+SUMIFS(Dati!$J$2:$J$451,Dati!$H$2:$H$451,$H38,Dati!$A$2:$A$451,$AG38),"-")</f>
        <v/>
      </c>
      <c r="BF38" s="22">
        <f>IF(AND($H38&lt;&gt;"",$AH38&lt;&gt;"",$H38&lt;&gt;$AH38,IFERROR(VLOOKUP($H38,areaCercaPuntiClassificaSquadra,3,FALSE),-1)=IFERROR(VLOOKUP($AH38,areaCercaPuntiClassificaSquadra,3,FALSE),-2)),SUMIFS(Dati!$D$2:$D$451,Dati!$A$2:$A$451,$H38,Dati!$H$2:$H$451,$AH38)+SUMIFS(Dati!$K$2:$K$451,Dati!$H$2:$H$451,$H38,Dati!$A$2:$A$451,$AH38)+SUMIFS(Dati!$C$2:$C$451,Dati!$A$2:$A$451,$H38,Dati!$H$2:$H$451,$AH38)+SUMIFS(Dati!$J$2:$J$451,Dati!$H$2:$H$451,$H38,Dati!$A$2:$A$451,$AH38),"-")</f>
        <v/>
      </c>
      <c r="BH38" s="21">
        <f>$C38</f>
        <v/>
      </c>
      <c r="BI38" s="22">
        <f>IF(AND($H38&lt;&gt;"",$Y38&lt;&gt;"",$H38&lt;&gt;$Y38,IFERROR(VLOOKUP($H38,areaCercaPuntiClassificaSquadra,3,FALSE),-1)=IFERROR(VLOOKUP($Y38,areaCercaPuntiClassificaSquadra,3,FALSE),-2)),SUMIFS(Dati!$E$2:$E$451,Dati!$A$2:$A$451,$H38,Dati!$H$2:$H$451,$Y38)+SUMIFS(Dati!$L$2:$L$451,Dati!$H$2:$H$451,$H38,Dati!$A$2:$A$451,$Y38),"-")</f>
        <v/>
      </c>
      <c r="BJ38" s="22">
        <f>IF(AND($H38&lt;&gt;"",$Z38&lt;&gt;"",$H38&lt;&gt;$Z38,IFERROR(VLOOKUP($H38,areaCercaPuntiClassificaSquadra,3,FALSE),-1)=IFERROR(VLOOKUP($Z38,areaCercaPuntiClassificaSquadra,3,FALSE),-2)),SUMIFS(Dati!$E$2:$E$451,Dati!$A$2:$A$451,$H38,Dati!$H$2:$H$451,$Z38)+SUMIFS(Dati!$L$2:$L$451,Dati!$H$2:$H$451,$H38,Dati!$A$2:$A$451,$Z38),"-")</f>
        <v/>
      </c>
      <c r="BK38" s="22">
        <f>IF(AND($H38&lt;&gt;"",$AA38&lt;&gt;"",$H38&lt;&gt;$AA38,IFERROR(VLOOKUP($H38,areaCercaPuntiClassificaSquadra,3,FALSE),-1)=IFERROR(VLOOKUP($AA38,areaCercaPuntiClassificaSquadra,3,FALSE),-2)),SUMIFS(Dati!$E$2:$E$451,Dati!$A$2:$A$451,$H38,Dati!$H$2:$H$451,$AA38)+SUMIFS(Dati!$L$2:$L$451,Dati!$H$2:$H$451,$H38,Dati!$A$2:$A$451,$AA38),"-")</f>
        <v/>
      </c>
      <c r="BL38" s="22">
        <f>IF(AND($H38&lt;&gt;"",$AB38&lt;&gt;"",$H38&lt;&gt;$AB38,IFERROR(VLOOKUP($H38,areaCercaPuntiClassificaSquadra,3,FALSE),-1)=IFERROR(VLOOKUP($AB38,areaCercaPuntiClassificaSquadra,3,FALSE),-2)),SUMIFS(Dati!$E$2:$E$451,Dati!$A$2:$A$451,$H38,Dati!$H$2:$H$451,$AB38)+SUMIFS(Dati!$L$2:$L$451,Dati!$H$2:$H$451,$H38,Dati!$A$2:$A$451,$AB38),"-")</f>
        <v/>
      </c>
      <c r="BM38" s="22">
        <f>IF(AND($H38&lt;&gt;"",$AC38&lt;&gt;"",$H38&lt;&gt;$AC38,IFERROR(VLOOKUP($H38,areaCercaPuntiClassificaSquadra,3,FALSE),-1)=IFERROR(VLOOKUP($AC38,areaCercaPuntiClassificaSquadra,3,FALSE),-2)),SUMIFS(Dati!$E$2:$E$451,Dati!$A$2:$A$451,$H38,Dati!$H$2:$H$451,$AC38)+SUMIFS(Dati!$L$2:$L$451,Dati!$H$2:$H$451,$H38,Dati!$A$2:$A$451,$AC38),"-")</f>
        <v/>
      </c>
      <c r="BN38" s="22">
        <f>IF(AND($H38&lt;&gt;"",$AD38&lt;&gt;"",$H38&lt;&gt;$AD38,IFERROR(VLOOKUP($H38,areaCercaPuntiClassificaSquadra,3,FALSE),-1)=IFERROR(VLOOKUP($AD38,areaCercaPuntiClassificaSquadra,3,FALSE),-2)),SUMIFS(Dati!$E$2:$E$451,Dati!$A$2:$A$451,$H38,Dati!$H$2:$H$451,$AD38)+SUMIFS(Dati!$L$2:$L$451,Dati!$H$2:$H$451,$H38,Dati!$A$2:$A$451,$AD38),"-")</f>
        <v/>
      </c>
      <c r="BO38" s="22">
        <f>IF(AND($H38&lt;&gt;"",$AE38&lt;&gt;"",$H38&lt;&gt;$AE38,IFERROR(VLOOKUP($H38,areaCercaPuntiClassificaSquadra,3,FALSE),-1)=IFERROR(VLOOKUP($AE38,areaCercaPuntiClassificaSquadra,3,FALSE),-2)),SUMIFS(Dati!$E$2:$E$451,Dati!$A$2:$A$451,$H38,Dati!$H$2:$H$451,$AE38)+SUMIFS(Dati!$L$2:$L$451,Dati!$H$2:$H$451,$H38,Dati!$A$2:$A$451,$AE38),"-")</f>
        <v/>
      </c>
      <c r="BP38" s="22">
        <f>IF(AND($H38&lt;&gt;"",$AF38&lt;&gt;"",$H38&lt;&gt;$AF38,IFERROR(VLOOKUP($H38,areaCercaPuntiClassificaSquadra,3,FALSE),-1)=IFERROR(VLOOKUP($AF38,areaCercaPuntiClassificaSquadra,3,FALSE),-2)),SUMIFS(Dati!$E$2:$E$451,Dati!$A$2:$A$451,$H38,Dati!$H$2:$H$451,$AF38)+SUMIFS(Dati!$L$2:$L$451,Dati!$H$2:$H$451,$H38,Dati!$A$2:$A$451,$AF38),"-")</f>
        <v/>
      </c>
      <c r="BQ38" s="22">
        <f>IF(AND($H38&lt;&gt;"",$AG38&lt;&gt;"",$H38&lt;&gt;$AG38,IFERROR(VLOOKUP($H38,areaCercaPuntiClassificaSquadra,3,FALSE),-1)=IFERROR(VLOOKUP($AG38,areaCercaPuntiClassificaSquadra,3,FALSE),-2)),SUMIFS(Dati!$E$2:$E$451,Dati!$A$2:$A$451,$H38,Dati!$H$2:$H$451,$AG38)+SUMIFS(Dati!$L$2:$L$451,Dati!$H$2:$H$451,$H38,Dati!$A$2:$A$451,$AG38),"-")</f>
        <v/>
      </c>
      <c r="BR38" s="22">
        <f>IF(AND($H38&lt;&gt;"",$AH38&lt;&gt;"",$H38&lt;&gt;$AH38,IFERROR(VLOOKUP($H38,areaCercaPuntiClassificaSquadra,3,FALSE),-1)=IFERROR(VLOOKUP($AH38,areaCercaPuntiClassificaSquadra,3,FALSE),-2)),SUMIFS(Dati!$E$2:$E$451,Dati!$A$2:$A$451,$H38,Dati!$H$2:$H$451,$AH38)+SUMIFS(Dati!$L$2:$L$451,Dati!$H$2:$H$451,$H38,Dati!$A$2:$A$451,$AH38),"-")</f>
        <v/>
      </c>
      <c r="BT38" s="21">
        <f>$C38</f>
        <v/>
      </c>
      <c r="BU38" s="22">
        <f>IF(AND($H38&lt;&gt;"",$Y38&lt;&gt;"",$H38&lt;&gt;$Y38,IFERROR(VLOOKUP($H38,areaCercaPuntiClassificaSquadra,3,FALSE),-1)=IFERROR(VLOOKUP($Y38,areaCercaPuntiClassificaSquadra,3,FALSE),-2)),SUMIFS(Dati!$F$2:$F$451,Dati!$A$2:$A$451,$H38,Dati!$H$2:$H$451,$Y38)+SUMIFS(Dati!$M$2:$M$451,Dati!$H$2:$H$451,$H38,Dati!$A$2:$A$451,$Y38),"-")</f>
        <v/>
      </c>
      <c r="BV38" s="22">
        <f>IF(AND($H38&lt;&gt;"",$Z38&lt;&gt;"",$H38&lt;&gt;$Z38,IFERROR(VLOOKUP($H38,areaCercaPuntiClassificaSquadra,3,FALSE),-1)=IFERROR(VLOOKUP($Z38,areaCercaPuntiClassificaSquadra,3,FALSE),-2)),SUMIFS(Dati!$F$2:$F$451,Dati!$A$2:$A$451,$H38,Dati!$H$2:$H$451,$Z38)+SUMIFS(Dati!$M$2:$M$451,Dati!$H$2:$H$451,$H38,Dati!$A$2:$A$451,$Z38),"-")</f>
        <v/>
      </c>
      <c r="BW38" s="22">
        <f>IF(AND($H38&lt;&gt;"",$AA38&lt;&gt;"",$H38&lt;&gt;$AA38,IFERROR(VLOOKUP($H38,areaCercaPuntiClassificaSquadra,3,FALSE),-1)=IFERROR(VLOOKUP($AA38,areaCercaPuntiClassificaSquadra,3,FALSE),-2)),SUMIFS(Dati!$F$2:$F$451,Dati!$A$2:$A$451,$H38,Dati!$H$2:$H$451,$AA38)+SUMIFS(Dati!$M$2:$M$451,Dati!$H$2:$H$451,$H38,Dati!$A$2:$A$451,$AA38),"-")</f>
        <v/>
      </c>
      <c r="BX38" s="22">
        <f>IF(AND($H38&lt;&gt;"",$AB38&lt;&gt;"",$H38&lt;&gt;$AB38,IFERROR(VLOOKUP($H38,areaCercaPuntiClassificaSquadra,3,FALSE),-1)=IFERROR(VLOOKUP($AB38,areaCercaPuntiClassificaSquadra,3,FALSE),-2)),SUMIFS(Dati!$F$2:$F$451,Dati!$A$2:$A$451,$H38,Dati!$H$2:$H$451,$AB38)+SUMIFS(Dati!$M$2:$M$451,Dati!$H$2:$H$451,$H38,Dati!$A$2:$A$451,$AB38),"-")</f>
        <v/>
      </c>
      <c r="BY38" s="22">
        <f>IF(AND($H38&lt;&gt;"",$AC38&lt;&gt;"",$H38&lt;&gt;$AC38,IFERROR(VLOOKUP($H38,areaCercaPuntiClassificaSquadra,3,FALSE),-1)=IFERROR(VLOOKUP($AC38,areaCercaPuntiClassificaSquadra,3,FALSE),-2)),SUMIFS(Dati!$F$2:$F$451,Dati!$A$2:$A$451,$H38,Dati!$H$2:$H$451,$AC38)+SUMIFS(Dati!$M$2:$M$451,Dati!$H$2:$H$451,$H38,Dati!$A$2:$A$451,$AC38),"-")</f>
        <v/>
      </c>
      <c r="BZ38" s="22">
        <f>IF(AND($H38&lt;&gt;"",$AD38&lt;&gt;"",$H38&lt;&gt;$AD38,IFERROR(VLOOKUP($H38,areaCercaPuntiClassificaSquadra,3,FALSE),-1)=IFERROR(VLOOKUP($AD38,areaCercaPuntiClassificaSquadra,3,FALSE),-2)),SUMIFS(Dati!$F$2:$F$451,Dati!$A$2:$A$451,$H38,Dati!$H$2:$H$451,$AD38)+SUMIFS(Dati!$M$2:$M$451,Dati!$H$2:$H$451,$H38,Dati!$A$2:$A$451,$AD38),"-")</f>
        <v/>
      </c>
      <c r="CA38" s="22">
        <f>IF(AND($H38&lt;&gt;"",$AE38&lt;&gt;"",$H38&lt;&gt;$AE38,IFERROR(VLOOKUP($H38,areaCercaPuntiClassificaSquadra,3,FALSE),-1)=IFERROR(VLOOKUP($AE38,areaCercaPuntiClassificaSquadra,3,FALSE),-2)),SUMIFS(Dati!$F$2:$F$451,Dati!$A$2:$A$451,$H38,Dati!$H$2:$H$451,$AE38)+SUMIFS(Dati!$M$2:$M$451,Dati!$H$2:$H$451,$H38,Dati!$A$2:$A$451,$AE38),"-")</f>
        <v/>
      </c>
      <c r="CB38" s="22">
        <f>IF(AND($H38&lt;&gt;"",$AF38&lt;&gt;"",$H38&lt;&gt;$AF38,IFERROR(VLOOKUP($H38,areaCercaPuntiClassificaSquadra,3,FALSE),-1)=IFERROR(VLOOKUP($AF38,areaCercaPuntiClassificaSquadra,3,FALSE),-2)),SUMIFS(Dati!$F$2:$F$451,Dati!$A$2:$A$451,$H38,Dati!$H$2:$H$451,$AF38)+SUMIFS(Dati!$M$2:$M$451,Dati!$H$2:$H$451,$H38,Dati!$A$2:$A$451,$AF38),"-")</f>
        <v/>
      </c>
      <c r="CC38" s="22">
        <f>IF(AND($H38&lt;&gt;"",$AG38&lt;&gt;"",$H38&lt;&gt;$AG38,IFERROR(VLOOKUP($H38,areaCercaPuntiClassificaSquadra,3,FALSE),-1)=IFERROR(VLOOKUP($AG38,areaCercaPuntiClassificaSquadra,3,FALSE),-2)),SUMIFS(Dati!$F$2:$F$451,Dati!$A$2:$A$451,$H38,Dati!$H$2:$H$451,$AG38)+SUMIFS(Dati!$M$2:$M$451,Dati!$H$2:$H$451,$H38,Dati!$A$2:$A$451,$AG38),"-")</f>
        <v/>
      </c>
      <c r="CD38" s="22">
        <f>IF(AND($H38&lt;&gt;"",$AH38&lt;&gt;"",$H38&lt;&gt;$AH38,IFERROR(VLOOKUP($H38,areaCercaPuntiClassificaSquadra,3,FALSE),-1)=IFERROR(VLOOKUP($AH38,areaCercaPuntiClassificaSquadra,3,FALSE),-2)),SUMIFS(Dati!$F$2:$F$451,Dati!$A$2:$A$451,$H38,Dati!$H$2:$H$451,$AH38)+SUMIFS(Dati!$M$2:$M$451,Dati!$H$2:$H$451,$H38,Dati!$A$2:$A$451,$AH38),"-")</f>
        <v/>
      </c>
      <c r="CF38" s="22">
        <f>IF($C38="","",SUM(AK38:AT38))</f>
        <v/>
      </c>
    </row>
    <row r="39">
      <c r="B39" s="12" t="inlineStr">
        <is>
          <t>C06</t>
        </is>
      </c>
      <c r="C39" s="13" t="n"/>
      <c r="D39" s="14" t="n"/>
      <c r="E39" s="25" t="inlineStr">
        <is>
          <t>C</t>
        </is>
      </c>
      <c r="G39" s="26">
        <f>IF($C39="","",$E39&amp;(COUNTIFS(I$14:I$113,"&gt;"&amp;I39,E$14:E$113,"="&amp;E39,C$14:C$113,"&lt;&gt;")+COUNTIFS(I$14:I$113,"="&amp;I39,H$14:H$113,"&lt;="&amp;H39,E$14:E$113,"="&amp;E39,C$14:C$113,"&lt;&gt;")))</f>
        <v/>
      </c>
      <c r="H39" s="17">
        <f>IF($C39="","",IFERROR(LEFT($C39,FIND("-",$C39)-1),$C39))</f>
        <v/>
      </c>
      <c r="I39" s="12">
        <f>TEXT(1000000000+J39,"|0000000000|")&amp;TEXT(SUM(AK39:AT39),"0000000000|")&amp;IF(SUM(BU39:CD39)=0,"0000000000|",TEXT(ROUND(SUM(BI39:BR39)/SUM(BU39:CD39),4)*100000,"0000000000|"))&amp;IF(P39=0,"0000000000|",TEXT(ROUND(O39/P39,4)*100000,"0000000000|"))</f>
        <v/>
      </c>
      <c r="J39" s="26">
        <f>L39*constPuntiVittoria+M39*constPuntiSconfitta+N39*constPuntiForfait+IF(D39="",0,D39)</f>
        <v/>
      </c>
      <c r="K39" s="12">
        <f>SUM(L39:N39)</f>
        <v/>
      </c>
      <c r="L39" s="12">
        <f>IF($H39="",0,SUMIF(Dati!$A$2:$A$451,$H39,Dati!$B$2:$B$451)+SUMIF(Dati!$H$2:$H$451,$H39,Dati!$I$2:$I$451))</f>
        <v/>
      </c>
      <c r="M39" s="12">
        <f>IF($H39="",0,SUMIF(Dati!$A$2:$A$451,$H39,Dati!$D$2:$D$451)+SUMIF(Dati!$H$2:$H$451,$H39,Dati!$K$2:$K$451))</f>
        <v/>
      </c>
      <c r="N39" s="12">
        <f>IF($H39="",0,SUMIF(Dati!$A$2:$A$451,$H39,Dati!$C$2:$C$451)+SUMIF(Dati!$H$2:$H$451,$H39,Dati!$J$2:$J$451))</f>
        <v/>
      </c>
      <c r="O39" s="12">
        <f>IF($H39="",0,SUMIF(Dati!$A$2:$A$451,$H39,Dati!$E$2:$E$451)+SUMIF(Dati!$H$2:$H$451,$H39,Dati!$L$2:$L$451))</f>
        <v/>
      </c>
      <c r="P39" s="12">
        <f>IF($H39="",0,SUMIF(Dati!$A$2:$A$451,$H39,Dati!$F$2:$F$451)+SUMIF(Dati!$H$2:$H$451,$H39,Dati!$M$2:$M$451))</f>
        <v/>
      </c>
      <c r="Q39" s="12">
        <f>IF($H39="",0,SUMIF(Dati!$A$2:$A$451,$H39,Dati!$G$2:$G$451)+SUMIF(Dati!$H$2:$H$451,$H39,Dati!$N$2:$N$451))</f>
        <v/>
      </c>
      <c r="R39" s="12">
        <f>IF(K39=0,0,ROUND(O39/K39,2))</f>
        <v/>
      </c>
      <c r="S39" s="12">
        <f>IF(K39=0,0,ROUND(P39/K39,2))</f>
        <v/>
      </c>
      <c r="T39" s="12">
        <f>IF(K39=0,0,ROUND(Q39/K39,2))</f>
        <v/>
      </c>
      <c r="U39" s="12">
        <f>IF(COUNTIFS($E$14:$E$113,$E39,$J$14:$J$113,$J39,$C$14:$C$113,"&lt;&gt;")&lt;=1,"-",SUM(AK39:AT39)&amp;"-"&amp;SUM(AW39:BF39))</f>
        <v/>
      </c>
      <c r="V39" s="18">
        <f>IF(COUNTIFS($E$14:$E$113,$E39,$J$14:$J$113,$J39,$C$14:$C$113,"&lt;&gt;",$CF$14:$CF$113,$CF39)&lt;=1,"-",IF(SUM(BU39:CD39)=0,0,ROUND(SUM(BI39:BR39)/SUM(BU39:CD39),3)))</f>
        <v/>
      </c>
      <c r="W39" s="18">
        <f>IF(COUNTIFS($E$14:$E$113,$E39,$J$14:$J$113,$J39,$C$14:$C$113,"&lt;&gt;",$CF$14:$CF$113,$CF39,$V$14:$V$113,$V39)&lt;=1,"-",IF(P39=0,0,ROUND(O39/P39,3)))</f>
        <v/>
      </c>
      <c r="X39" s="19">
        <f>IF($C39="","",$E39&amp;"#"&amp;COUNTIFS($E$14:$E39,$E39,$C$14:$C39,"&lt;&gt;"))</f>
        <v/>
      </c>
      <c r="Y39" s="20">
        <f>IFERROR(INDEX($H$14:$H$113,MATCH($E39&amp;"#1",$X$14:$X$113,0)),"")</f>
        <v/>
      </c>
      <c r="Z39" s="20">
        <f>IFERROR(INDEX($H$14:$H$113,MATCH($E39&amp;"#2",$X$14:$X$113,0)),"")</f>
        <v/>
      </c>
      <c r="AA39" s="20">
        <f>IFERROR(INDEX($H$14:$H$113,MATCH($E39&amp;"#3",$X$14:$X$113,0)),"")</f>
        <v/>
      </c>
      <c r="AB39" s="20">
        <f>IFERROR(INDEX($H$14:$H$113,MATCH($E39&amp;"#4",$X$14:$X$113,0)),"")</f>
        <v/>
      </c>
      <c r="AC39" s="20">
        <f>IFERROR(INDEX($H$14:$H$113,MATCH($E39&amp;"#5",$X$14:$X$113,0)),"")</f>
        <v/>
      </c>
      <c r="AD39" s="20">
        <f>IFERROR(INDEX($H$14:$H$113,MATCH($E39&amp;"#6",$X$14:$X$113,0)),"")</f>
        <v/>
      </c>
      <c r="AE39" s="20">
        <f>IFERROR(INDEX($H$14:$H$113,MATCH($E39&amp;"#7",$X$14:$X$113,0)),"")</f>
        <v/>
      </c>
      <c r="AF39" s="20">
        <f>IFERROR(INDEX($H$14:$H$113,MATCH($E39&amp;"#8",$X$14:$X$113,0)),"")</f>
        <v/>
      </c>
      <c r="AG39" s="20">
        <f>IFERROR(INDEX($H$14:$H$113,MATCH($E39&amp;"#9",$X$14:$X$113,0)),"")</f>
        <v/>
      </c>
      <c r="AH39" s="20">
        <f>IFERROR(INDEX($H$14:$H$113,MATCH($E39&amp;"#10",$X$14:$X$113,0)),"")</f>
        <v/>
      </c>
      <c r="AJ39" s="21">
        <f>$C39</f>
        <v/>
      </c>
      <c r="AK39" s="22">
        <f>IF(AND($H39&lt;&gt;"",$Y39&lt;&gt;"",$H39&lt;&gt;$Y39,IFERROR(VLOOKUP($H39,areaCercaPuntiClassificaSquadra,3,FALSE),-1)=IFERROR(VLOOKUP($Y39,areaCercaPuntiClassificaSquadra,3,FALSE),-2)),SUMIFS(Dati!$B$2:$B$451,Dati!$A$2:$A$451,$H39,Dati!$H$2:$H$451,$Y39)+SUMIFS(Dati!$I$2:$I$451,Dati!$H$2:$H$451,$H39,Dati!$A$2:$A$451,$Y39),"-")</f>
        <v/>
      </c>
      <c r="AL39" s="22">
        <f>IF(AND($H39&lt;&gt;"",$Z39&lt;&gt;"",$H39&lt;&gt;$Z39,IFERROR(VLOOKUP($H39,areaCercaPuntiClassificaSquadra,3,FALSE),-1)=IFERROR(VLOOKUP($Z39,areaCercaPuntiClassificaSquadra,3,FALSE),-2)),SUMIFS(Dati!$B$2:$B$451,Dati!$A$2:$A$451,$H39,Dati!$H$2:$H$451,$Z39)+SUMIFS(Dati!$I$2:$I$451,Dati!$H$2:$H$451,$H39,Dati!$A$2:$A$451,$Z39),"-")</f>
        <v/>
      </c>
      <c r="AM39" s="22">
        <f>IF(AND($H39&lt;&gt;"",$AA39&lt;&gt;"",$H39&lt;&gt;$AA39,IFERROR(VLOOKUP($H39,areaCercaPuntiClassificaSquadra,3,FALSE),-1)=IFERROR(VLOOKUP($AA39,areaCercaPuntiClassificaSquadra,3,FALSE),-2)),SUMIFS(Dati!$B$2:$B$451,Dati!$A$2:$A$451,$H39,Dati!$H$2:$H$451,$AA39)+SUMIFS(Dati!$I$2:$I$451,Dati!$H$2:$H$451,$H39,Dati!$A$2:$A$451,$AA39),"-")</f>
        <v/>
      </c>
      <c r="AN39" s="22">
        <f>IF(AND($H39&lt;&gt;"",$AB39&lt;&gt;"",$H39&lt;&gt;$AB39,IFERROR(VLOOKUP($H39,areaCercaPuntiClassificaSquadra,3,FALSE),-1)=IFERROR(VLOOKUP($AB39,areaCercaPuntiClassificaSquadra,3,FALSE),-2)),SUMIFS(Dati!$B$2:$B$451,Dati!$A$2:$A$451,$H39,Dati!$H$2:$H$451,$AB39)+SUMIFS(Dati!$I$2:$I$451,Dati!$H$2:$H$451,$H39,Dati!$A$2:$A$451,$AB39),"-")</f>
        <v/>
      </c>
      <c r="AO39" s="22">
        <f>IF(AND($H39&lt;&gt;"",$AC39&lt;&gt;"",$H39&lt;&gt;$AC39,IFERROR(VLOOKUP($H39,areaCercaPuntiClassificaSquadra,3,FALSE),-1)=IFERROR(VLOOKUP($AC39,areaCercaPuntiClassificaSquadra,3,FALSE),-2)),SUMIFS(Dati!$B$2:$B$451,Dati!$A$2:$A$451,$H39,Dati!$H$2:$H$451,$AC39)+SUMIFS(Dati!$I$2:$I$451,Dati!$H$2:$H$451,$H39,Dati!$A$2:$A$451,$AC39),"-")</f>
        <v/>
      </c>
      <c r="AP39" s="22">
        <f>IF(AND($H39&lt;&gt;"",$AD39&lt;&gt;"",$H39&lt;&gt;$AD39,IFERROR(VLOOKUP($H39,areaCercaPuntiClassificaSquadra,3,FALSE),-1)=IFERROR(VLOOKUP($AD39,areaCercaPuntiClassificaSquadra,3,FALSE),-2)),SUMIFS(Dati!$B$2:$B$451,Dati!$A$2:$A$451,$H39,Dati!$H$2:$H$451,$AD39)+SUMIFS(Dati!$I$2:$I$451,Dati!$H$2:$H$451,$H39,Dati!$A$2:$A$451,$AD39),"-")</f>
        <v/>
      </c>
      <c r="AQ39" s="22">
        <f>IF(AND($H39&lt;&gt;"",$AE39&lt;&gt;"",$H39&lt;&gt;$AE39,IFERROR(VLOOKUP($H39,areaCercaPuntiClassificaSquadra,3,FALSE),-1)=IFERROR(VLOOKUP($AE39,areaCercaPuntiClassificaSquadra,3,FALSE),-2)),SUMIFS(Dati!$B$2:$B$451,Dati!$A$2:$A$451,$H39,Dati!$H$2:$H$451,$AE39)+SUMIFS(Dati!$I$2:$I$451,Dati!$H$2:$H$451,$H39,Dati!$A$2:$A$451,$AE39),"-")</f>
        <v/>
      </c>
      <c r="AR39" s="22">
        <f>IF(AND($H39&lt;&gt;"",$AF39&lt;&gt;"",$H39&lt;&gt;$AF39,IFERROR(VLOOKUP($H39,areaCercaPuntiClassificaSquadra,3,FALSE),-1)=IFERROR(VLOOKUP($AF39,areaCercaPuntiClassificaSquadra,3,FALSE),-2)),SUMIFS(Dati!$B$2:$B$451,Dati!$A$2:$A$451,$H39,Dati!$H$2:$H$451,$AF39)+SUMIFS(Dati!$I$2:$I$451,Dati!$H$2:$H$451,$H39,Dati!$A$2:$A$451,$AF39),"-")</f>
        <v/>
      </c>
      <c r="AS39" s="22">
        <f>IF(AND($H39&lt;&gt;"",$AG39&lt;&gt;"",$H39&lt;&gt;$AG39,IFERROR(VLOOKUP($H39,areaCercaPuntiClassificaSquadra,3,FALSE),-1)=IFERROR(VLOOKUP($AG39,areaCercaPuntiClassificaSquadra,3,FALSE),-2)),SUMIFS(Dati!$B$2:$B$451,Dati!$A$2:$A$451,$H39,Dati!$H$2:$H$451,$AG39)+SUMIFS(Dati!$I$2:$I$451,Dati!$H$2:$H$451,$H39,Dati!$A$2:$A$451,$AG39),"-")</f>
        <v/>
      </c>
      <c r="AT39" s="22">
        <f>IF(AND($H39&lt;&gt;"",$AH39&lt;&gt;"",$H39&lt;&gt;$AH39,IFERROR(VLOOKUP($H39,areaCercaPuntiClassificaSquadra,3,FALSE),-1)=IFERROR(VLOOKUP($AH39,areaCercaPuntiClassificaSquadra,3,FALSE),-2)),SUMIFS(Dati!$B$2:$B$451,Dati!$A$2:$A$451,$H39,Dati!$H$2:$H$451,$AH39)+SUMIFS(Dati!$I$2:$I$451,Dati!$H$2:$H$451,$H39,Dati!$A$2:$A$451,$AH39),"-")</f>
        <v/>
      </c>
      <c r="AV39" s="21">
        <f>$C39</f>
        <v/>
      </c>
      <c r="AW39" s="22">
        <f>IF(AND($H39&lt;&gt;"",$Y39&lt;&gt;"",$H39&lt;&gt;$Y39,IFERROR(VLOOKUP($H39,areaCercaPuntiClassificaSquadra,3,FALSE),-1)=IFERROR(VLOOKUP($Y39,areaCercaPuntiClassificaSquadra,3,FALSE),-2)),SUMIFS(Dati!$D$2:$D$451,Dati!$A$2:$A$451,$H39,Dati!$H$2:$H$451,$Y39)+SUMIFS(Dati!$K$2:$K$451,Dati!$H$2:$H$451,$H39,Dati!$A$2:$A$451,$Y39)+SUMIFS(Dati!$C$2:$C$451,Dati!$A$2:$A$451,$H39,Dati!$H$2:$H$451,$Y39)+SUMIFS(Dati!$J$2:$J$451,Dati!$H$2:$H$451,$H39,Dati!$A$2:$A$451,$Y39),"-")</f>
        <v/>
      </c>
      <c r="AX39" s="22">
        <f>IF(AND($H39&lt;&gt;"",$Z39&lt;&gt;"",$H39&lt;&gt;$Z39,IFERROR(VLOOKUP($H39,areaCercaPuntiClassificaSquadra,3,FALSE),-1)=IFERROR(VLOOKUP($Z39,areaCercaPuntiClassificaSquadra,3,FALSE),-2)),SUMIFS(Dati!$D$2:$D$451,Dati!$A$2:$A$451,$H39,Dati!$H$2:$H$451,$Z39)+SUMIFS(Dati!$K$2:$K$451,Dati!$H$2:$H$451,$H39,Dati!$A$2:$A$451,$Z39)+SUMIFS(Dati!$C$2:$C$451,Dati!$A$2:$A$451,$H39,Dati!$H$2:$H$451,$Z39)+SUMIFS(Dati!$J$2:$J$451,Dati!$H$2:$H$451,$H39,Dati!$A$2:$A$451,$Z39),"-")</f>
        <v/>
      </c>
      <c r="AY39" s="22">
        <f>IF(AND($H39&lt;&gt;"",$AA39&lt;&gt;"",$H39&lt;&gt;$AA39,IFERROR(VLOOKUP($H39,areaCercaPuntiClassificaSquadra,3,FALSE),-1)=IFERROR(VLOOKUP($AA39,areaCercaPuntiClassificaSquadra,3,FALSE),-2)),SUMIFS(Dati!$D$2:$D$451,Dati!$A$2:$A$451,$H39,Dati!$H$2:$H$451,$AA39)+SUMIFS(Dati!$K$2:$K$451,Dati!$H$2:$H$451,$H39,Dati!$A$2:$A$451,$AA39)+SUMIFS(Dati!$C$2:$C$451,Dati!$A$2:$A$451,$H39,Dati!$H$2:$H$451,$AA39)+SUMIFS(Dati!$J$2:$J$451,Dati!$H$2:$H$451,$H39,Dati!$A$2:$A$451,$AA39),"-")</f>
        <v/>
      </c>
      <c r="AZ39" s="22">
        <f>IF(AND($H39&lt;&gt;"",$AB39&lt;&gt;"",$H39&lt;&gt;$AB39,IFERROR(VLOOKUP($H39,areaCercaPuntiClassificaSquadra,3,FALSE),-1)=IFERROR(VLOOKUP($AB39,areaCercaPuntiClassificaSquadra,3,FALSE),-2)),SUMIFS(Dati!$D$2:$D$451,Dati!$A$2:$A$451,$H39,Dati!$H$2:$H$451,$AB39)+SUMIFS(Dati!$K$2:$K$451,Dati!$H$2:$H$451,$H39,Dati!$A$2:$A$451,$AB39)+SUMIFS(Dati!$C$2:$C$451,Dati!$A$2:$A$451,$H39,Dati!$H$2:$H$451,$AB39)+SUMIFS(Dati!$J$2:$J$451,Dati!$H$2:$H$451,$H39,Dati!$A$2:$A$451,$AB39),"-")</f>
        <v/>
      </c>
      <c r="BA39" s="22">
        <f>IF(AND($H39&lt;&gt;"",$AC39&lt;&gt;"",$H39&lt;&gt;$AC39,IFERROR(VLOOKUP($H39,areaCercaPuntiClassificaSquadra,3,FALSE),-1)=IFERROR(VLOOKUP($AC39,areaCercaPuntiClassificaSquadra,3,FALSE),-2)),SUMIFS(Dati!$D$2:$D$451,Dati!$A$2:$A$451,$H39,Dati!$H$2:$H$451,$AC39)+SUMIFS(Dati!$K$2:$K$451,Dati!$H$2:$H$451,$H39,Dati!$A$2:$A$451,$AC39)+SUMIFS(Dati!$C$2:$C$451,Dati!$A$2:$A$451,$H39,Dati!$H$2:$H$451,$AC39)+SUMIFS(Dati!$J$2:$J$451,Dati!$H$2:$H$451,$H39,Dati!$A$2:$A$451,$AC39),"-")</f>
        <v/>
      </c>
      <c r="BB39" s="22">
        <f>IF(AND($H39&lt;&gt;"",$AD39&lt;&gt;"",$H39&lt;&gt;$AD39,IFERROR(VLOOKUP($H39,areaCercaPuntiClassificaSquadra,3,FALSE),-1)=IFERROR(VLOOKUP($AD39,areaCercaPuntiClassificaSquadra,3,FALSE),-2)),SUMIFS(Dati!$D$2:$D$451,Dati!$A$2:$A$451,$H39,Dati!$H$2:$H$451,$AD39)+SUMIFS(Dati!$K$2:$K$451,Dati!$H$2:$H$451,$H39,Dati!$A$2:$A$451,$AD39)+SUMIFS(Dati!$C$2:$C$451,Dati!$A$2:$A$451,$H39,Dati!$H$2:$H$451,$AD39)+SUMIFS(Dati!$J$2:$J$451,Dati!$H$2:$H$451,$H39,Dati!$A$2:$A$451,$AD39),"-")</f>
        <v/>
      </c>
      <c r="BC39" s="22">
        <f>IF(AND($H39&lt;&gt;"",$AE39&lt;&gt;"",$H39&lt;&gt;$AE39,IFERROR(VLOOKUP($H39,areaCercaPuntiClassificaSquadra,3,FALSE),-1)=IFERROR(VLOOKUP($AE39,areaCercaPuntiClassificaSquadra,3,FALSE),-2)),SUMIFS(Dati!$D$2:$D$451,Dati!$A$2:$A$451,$H39,Dati!$H$2:$H$451,$AE39)+SUMIFS(Dati!$K$2:$K$451,Dati!$H$2:$H$451,$H39,Dati!$A$2:$A$451,$AE39)+SUMIFS(Dati!$C$2:$C$451,Dati!$A$2:$A$451,$H39,Dati!$H$2:$H$451,$AE39)+SUMIFS(Dati!$J$2:$J$451,Dati!$H$2:$H$451,$H39,Dati!$A$2:$A$451,$AE39),"-")</f>
        <v/>
      </c>
      <c r="BD39" s="22">
        <f>IF(AND($H39&lt;&gt;"",$AF39&lt;&gt;"",$H39&lt;&gt;$AF39,IFERROR(VLOOKUP($H39,areaCercaPuntiClassificaSquadra,3,FALSE),-1)=IFERROR(VLOOKUP($AF39,areaCercaPuntiClassificaSquadra,3,FALSE),-2)),SUMIFS(Dati!$D$2:$D$451,Dati!$A$2:$A$451,$H39,Dati!$H$2:$H$451,$AF39)+SUMIFS(Dati!$K$2:$K$451,Dati!$H$2:$H$451,$H39,Dati!$A$2:$A$451,$AF39)+SUMIFS(Dati!$C$2:$C$451,Dati!$A$2:$A$451,$H39,Dati!$H$2:$H$451,$AF39)+SUMIFS(Dati!$J$2:$J$451,Dati!$H$2:$H$451,$H39,Dati!$A$2:$A$451,$AF39),"-")</f>
        <v/>
      </c>
      <c r="BE39" s="22">
        <f>IF(AND($H39&lt;&gt;"",$AG39&lt;&gt;"",$H39&lt;&gt;$AG39,IFERROR(VLOOKUP($H39,areaCercaPuntiClassificaSquadra,3,FALSE),-1)=IFERROR(VLOOKUP($AG39,areaCercaPuntiClassificaSquadra,3,FALSE),-2)),SUMIFS(Dati!$D$2:$D$451,Dati!$A$2:$A$451,$H39,Dati!$H$2:$H$451,$AG39)+SUMIFS(Dati!$K$2:$K$451,Dati!$H$2:$H$451,$H39,Dati!$A$2:$A$451,$AG39)+SUMIFS(Dati!$C$2:$C$451,Dati!$A$2:$A$451,$H39,Dati!$H$2:$H$451,$AG39)+SUMIFS(Dati!$J$2:$J$451,Dati!$H$2:$H$451,$H39,Dati!$A$2:$A$451,$AG39),"-")</f>
        <v/>
      </c>
      <c r="BF39" s="22">
        <f>IF(AND($H39&lt;&gt;"",$AH39&lt;&gt;"",$H39&lt;&gt;$AH39,IFERROR(VLOOKUP($H39,areaCercaPuntiClassificaSquadra,3,FALSE),-1)=IFERROR(VLOOKUP($AH39,areaCercaPuntiClassificaSquadra,3,FALSE),-2)),SUMIFS(Dati!$D$2:$D$451,Dati!$A$2:$A$451,$H39,Dati!$H$2:$H$451,$AH39)+SUMIFS(Dati!$K$2:$K$451,Dati!$H$2:$H$451,$H39,Dati!$A$2:$A$451,$AH39)+SUMIFS(Dati!$C$2:$C$451,Dati!$A$2:$A$451,$H39,Dati!$H$2:$H$451,$AH39)+SUMIFS(Dati!$J$2:$J$451,Dati!$H$2:$H$451,$H39,Dati!$A$2:$A$451,$AH39),"-")</f>
        <v/>
      </c>
      <c r="BH39" s="21">
        <f>$C39</f>
        <v/>
      </c>
      <c r="BI39" s="22">
        <f>IF(AND($H39&lt;&gt;"",$Y39&lt;&gt;"",$H39&lt;&gt;$Y39,IFERROR(VLOOKUP($H39,areaCercaPuntiClassificaSquadra,3,FALSE),-1)=IFERROR(VLOOKUP($Y39,areaCercaPuntiClassificaSquadra,3,FALSE),-2)),SUMIFS(Dati!$E$2:$E$451,Dati!$A$2:$A$451,$H39,Dati!$H$2:$H$451,$Y39)+SUMIFS(Dati!$L$2:$L$451,Dati!$H$2:$H$451,$H39,Dati!$A$2:$A$451,$Y39),"-")</f>
        <v/>
      </c>
      <c r="BJ39" s="22">
        <f>IF(AND($H39&lt;&gt;"",$Z39&lt;&gt;"",$H39&lt;&gt;$Z39,IFERROR(VLOOKUP($H39,areaCercaPuntiClassificaSquadra,3,FALSE),-1)=IFERROR(VLOOKUP($Z39,areaCercaPuntiClassificaSquadra,3,FALSE),-2)),SUMIFS(Dati!$E$2:$E$451,Dati!$A$2:$A$451,$H39,Dati!$H$2:$H$451,$Z39)+SUMIFS(Dati!$L$2:$L$451,Dati!$H$2:$H$451,$H39,Dati!$A$2:$A$451,$Z39),"-")</f>
        <v/>
      </c>
      <c r="BK39" s="22">
        <f>IF(AND($H39&lt;&gt;"",$AA39&lt;&gt;"",$H39&lt;&gt;$AA39,IFERROR(VLOOKUP($H39,areaCercaPuntiClassificaSquadra,3,FALSE),-1)=IFERROR(VLOOKUP($AA39,areaCercaPuntiClassificaSquadra,3,FALSE),-2)),SUMIFS(Dati!$E$2:$E$451,Dati!$A$2:$A$451,$H39,Dati!$H$2:$H$451,$AA39)+SUMIFS(Dati!$L$2:$L$451,Dati!$H$2:$H$451,$H39,Dati!$A$2:$A$451,$AA39),"-")</f>
        <v/>
      </c>
      <c r="BL39" s="22">
        <f>IF(AND($H39&lt;&gt;"",$AB39&lt;&gt;"",$H39&lt;&gt;$AB39,IFERROR(VLOOKUP($H39,areaCercaPuntiClassificaSquadra,3,FALSE),-1)=IFERROR(VLOOKUP($AB39,areaCercaPuntiClassificaSquadra,3,FALSE),-2)),SUMIFS(Dati!$E$2:$E$451,Dati!$A$2:$A$451,$H39,Dati!$H$2:$H$451,$AB39)+SUMIFS(Dati!$L$2:$L$451,Dati!$H$2:$H$451,$H39,Dati!$A$2:$A$451,$AB39),"-")</f>
        <v/>
      </c>
      <c r="BM39" s="22">
        <f>IF(AND($H39&lt;&gt;"",$AC39&lt;&gt;"",$H39&lt;&gt;$AC39,IFERROR(VLOOKUP($H39,areaCercaPuntiClassificaSquadra,3,FALSE),-1)=IFERROR(VLOOKUP($AC39,areaCercaPuntiClassificaSquadra,3,FALSE),-2)),SUMIFS(Dati!$E$2:$E$451,Dati!$A$2:$A$451,$H39,Dati!$H$2:$H$451,$AC39)+SUMIFS(Dati!$L$2:$L$451,Dati!$H$2:$H$451,$H39,Dati!$A$2:$A$451,$AC39),"-")</f>
        <v/>
      </c>
      <c r="BN39" s="22">
        <f>IF(AND($H39&lt;&gt;"",$AD39&lt;&gt;"",$H39&lt;&gt;$AD39,IFERROR(VLOOKUP($H39,areaCercaPuntiClassificaSquadra,3,FALSE),-1)=IFERROR(VLOOKUP($AD39,areaCercaPuntiClassificaSquadra,3,FALSE),-2)),SUMIFS(Dati!$E$2:$E$451,Dati!$A$2:$A$451,$H39,Dati!$H$2:$H$451,$AD39)+SUMIFS(Dati!$L$2:$L$451,Dati!$H$2:$H$451,$H39,Dati!$A$2:$A$451,$AD39),"-")</f>
        <v/>
      </c>
      <c r="BO39" s="22">
        <f>IF(AND($H39&lt;&gt;"",$AE39&lt;&gt;"",$H39&lt;&gt;$AE39,IFERROR(VLOOKUP($H39,areaCercaPuntiClassificaSquadra,3,FALSE),-1)=IFERROR(VLOOKUP($AE39,areaCercaPuntiClassificaSquadra,3,FALSE),-2)),SUMIFS(Dati!$E$2:$E$451,Dati!$A$2:$A$451,$H39,Dati!$H$2:$H$451,$AE39)+SUMIFS(Dati!$L$2:$L$451,Dati!$H$2:$H$451,$H39,Dati!$A$2:$A$451,$AE39),"-")</f>
        <v/>
      </c>
      <c r="BP39" s="22">
        <f>IF(AND($H39&lt;&gt;"",$AF39&lt;&gt;"",$H39&lt;&gt;$AF39,IFERROR(VLOOKUP($H39,areaCercaPuntiClassificaSquadra,3,FALSE),-1)=IFERROR(VLOOKUP($AF39,areaCercaPuntiClassificaSquadra,3,FALSE),-2)),SUMIFS(Dati!$E$2:$E$451,Dati!$A$2:$A$451,$H39,Dati!$H$2:$H$451,$AF39)+SUMIFS(Dati!$L$2:$L$451,Dati!$H$2:$H$451,$H39,Dati!$A$2:$A$451,$AF39),"-")</f>
        <v/>
      </c>
      <c r="BQ39" s="22">
        <f>IF(AND($H39&lt;&gt;"",$AG39&lt;&gt;"",$H39&lt;&gt;$AG39,IFERROR(VLOOKUP($H39,areaCercaPuntiClassificaSquadra,3,FALSE),-1)=IFERROR(VLOOKUP($AG39,areaCercaPuntiClassificaSquadra,3,FALSE),-2)),SUMIFS(Dati!$E$2:$E$451,Dati!$A$2:$A$451,$H39,Dati!$H$2:$H$451,$AG39)+SUMIFS(Dati!$L$2:$L$451,Dati!$H$2:$H$451,$H39,Dati!$A$2:$A$451,$AG39),"-")</f>
        <v/>
      </c>
      <c r="BR39" s="22">
        <f>IF(AND($H39&lt;&gt;"",$AH39&lt;&gt;"",$H39&lt;&gt;$AH39,IFERROR(VLOOKUP($H39,areaCercaPuntiClassificaSquadra,3,FALSE),-1)=IFERROR(VLOOKUP($AH39,areaCercaPuntiClassificaSquadra,3,FALSE),-2)),SUMIFS(Dati!$E$2:$E$451,Dati!$A$2:$A$451,$H39,Dati!$H$2:$H$451,$AH39)+SUMIFS(Dati!$L$2:$L$451,Dati!$H$2:$H$451,$H39,Dati!$A$2:$A$451,$AH39),"-")</f>
        <v/>
      </c>
      <c r="BT39" s="21">
        <f>$C39</f>
        <v/>
      </c>
      <c r="BU39" s="22">
        <f>IF(AND($H39&lt;&gt;"",$Y39&lt;&gt;"",$H39&lt;&gt;$Y39,IFERROR(VLOOKUP($H39,areaCercaPuntiClassificaSquadra,3,FALSE),-1)=IFERROR(VLOOKUP($Y39,areaCercaPuntiClassificaSquadra,3,FALSE),-2)),SUMIFS(Dati!$F$2:$F$451,Dati!$A$2:$A$451,$H39,Dati!$H$2:$H$451,$Y39)+SUMIFS(Dati!$M$2:$M$451,Dati!$H$2:$H$451,$H39,Dati!$A$2:$A$451,$Y39),"-")</f>
        <v/>
      </c>
      <c r="BV39" s="22">
        <f>IF(AND($H39&lt;&gt;"",$Z39&lt;&gt;"",$H39&lt;&gt;$Z39,IFERROR(VLOOKUP($H39,areaCercaPuntiClassificaSquadra,3,FALSE),-1)=IFERROR(VLOOKUP($Z39,areaCercaPuntiClassificaSquadra,3,FALSE),-2)),SUMIFS(Dati!$F$2:$F$451,Dati!$A$2:$A$451,$H39,Dati!$H$2:$H$451,$Z39)+SUMIFS(Dati!$M$2:$M$451,Dati!$H$2:$H$451,$H39,Dati!$A$2:$A$451,$Z39),"-")</f>
        <v/>
      </c>
      <c r="BW39" s="22">
        <f>IF(AND($H39&lt;&gt;"",$AA39&lt;&gt;"",$H39&lt;&gt;$AA39,IFERROR(VLOOKUP($H39,areaCercaPuntiClassificaSquadra,3,FALSE),-1)=IFERROR(VLOOKUP($AA39,areaCercaPuntiClassificaSquadra,3,FALSE),-2)),SUMIFS(Dati!$F$2:$F$451,Dati!$A$2:$A$451,$H39,Dati!$H$2:$H$451,$AA39)+SUMIFS(Dati!$M$2:$M$451,Dati!$H$2:$H$451,$H39,Dati!$A$2:$A$451,$AA39),"-")</f>
        <v/>
      </c>
      <c r="BX39" s="22">
        <f>IF(AND($H39&lt;&gt;"",$AB39&lt;&gt;"",$H39&lt;&gt;$AB39,IFERROR(VLOOKUP($H39,areaCercaPuntiClassificaSquadra,3,FALSE),-1)=IFERROR(VLOOKUP($AB39,areaCercaPuntiClassificaSquadra,3,FALSE),-2)),SUMIFS(Dati!$F$2:$F$451,Dati!$A$2:$A$451,$H39,Dati!$H$2:$H$451,$AB39)+SUMIFS(Dati!$M$2:$M$451,Dati!$H$2:$H$451,$H39,Dati!$A$2:$A$451,$AB39),"-")</f>
        <v/>
      </c>
      <c r="BY39" s="22">
        <f>IF(AND($H39&lt;&gt;"",$AC39&lt;&gt;"",$H39&lt;&gt;$AC39,IFERROR(VLOOKUP($H39,areaCercaPuntiClassificaSquadra,3,FALSE),-1)=IFERROR(VLOOKUP($AC39,areaCercaPuntiClassificaSquadra,3,FALSE),-2)),SUMIFS(Dati!$F$2:$F$451,Dati!$A$2:$A$451,$H39,Dati!$H$2:$H$451,$AC39)+SUMIFS(Dati!$M$2:$M$451,Dati!$H$2:$H$451,$H39,Dati!$A$2:$A$451,$AC39),"-")</f>
        <v/>
      </c>
      <c r="BZ39" s="22">
        <f>IF(AND($H39&lt;&gt;"",$AD39&lt;&gt;"",$H39&lt;&gt;$AD39,IFERROR(VLOOKUP($H39,areaCercaPuntiClassificaSquadra,3,FALSE),-1)=IFERROR(VLOOKUP($AD39,areaCercaPuntiClassificaSquadra,3,FALSE),-2)),SUMIFS(Dati!$F$2:$F$451,Dati!$A$2:$A$451,$H39,Dati!$H$2:$H$451,$AD39)+SUMIFS(Dati!$M$2:$M$451,Dati!$H$2:$H$451,$H39,Dati!$A$2:$A$451,$AD39),"-")</f>
        <v/>
      </c>
      <c r="CA39" s="22">
        <f>IF(AND($H39&lt;&gt;"",$AE39&lt;&gt;"",$H39&lt;&gt;$AE39,IFERROR(VLOOKUP($H39,areaCercaPuntiClassificaSquadra,3,FALSE),-1)=IFERROR(VLOOKUP($AE39,areaCercaPuntiClassificaSquadra,3,FALSE),-2)),SUMIFS(Dati!$F$2:$F$451,Dati!$A$2:$A$451,$H39,Dati!$H$2:$H$451,$AE39)+SUMIFS(Dati!$M$2:$M$451,Dati!$H$2:$H$451,$H39,Dati!$A$2:$A$451,$AE39),"-")</f>
        <v/>
      </c>
      <c r="CB39" s="22">
        <f>IF(AND($H39&lt;&gt;"",$AF39&lt;&gt;"",$H39&lt;&gt;$AF39,IFERROR(VLOOKUP($H39,areaCercaPuntiClassificaSquadra,3,FALSE),-1)=IFERROR(VLOOKUP($AF39,areaCercaPuntiClassificaSquadra,3,FALSE),-2)),SUMIFS(Dati!$F$2:$F$451,Dati!$A$2:$A$451,$H39,Dati!$H$2:$H$451,$AF39)+SUMIFS(Dati!$M$2:$M$451,Dati!$H$2:$H$451,$H39,Dati!$A$2:$A$451,$AF39),"-")</f>
        <v/>
      </c>
      <c r="CC39" s="22">
        <f>IF(AND($H39&lt;&gt;"",$AG39&lt;&gt;"",$H39&lt;&gt;$AG39,IFERROR(VLOOKUP($H39,areaCercaPuntiClassificaSquadra,3,FALSE),-1)=IFERROR(VLOOKUP($AG39,areaCercaPuntiClassificaSquadra,3,FALSE),-2)),SUMIFS(Dati!$F$2:$F$451,Dati!$A$2:$A$451,$H39,Dati!$H$2:$H$451,$AG39)+SUMIFS(Dati!$M$2:$M$451,Dati!$H$2:$H$451,$H39,Dati!$A$2:$A$451,$AG39),"-")</f>
        <v/>
      </c>
      <c r="CD39" s="22">
        <f>IF(AND($H39&lt;&gt;"",$AH39&lt;&gt;"",$H39&lt;&gt;$AH39,IFERROR(VLOOKUP($H39,areaCercaPuntiClassificaSquadra,3,FALSE),-1)=IFERROR(VLOOKUP($AH39,areaCercaPuntiClassificaSquadra,3,FALSE),-2)),SUMIFS(Dati!$F$2:$F$451,Dati!$A$2:$A$451,$H39,Dati!$H$2:$H$451,$AH39)+SUMIFS(Dati!$M$2:$M$451,Dati!$H$2:$H$451,$H39,Dati!$A$2:$A$451,$AH39),"-")</f>
        <v/>
      </c>
      <c r="CF39" s="22">
        <f>IF($C39="","",SUM(AK39:AT39))</f>
        <v/>
      </c>
    </row>
    <row r="40">
      <c r="B40" s="12" t="inlineStr">
        <is>
          <t>C07</t>
        </is>
      </c>
      <c r="C40" s="13" t="n"/>
      <c r="D40" s="14" t="n"/>
      <c r="E40" s="25" t="inlineStr">
        <is>
          <t>C</t>
        </is>
      </c>
      <c r="G40" s="26">
        <f>IF($C40="","",$E40&amp;(COUNTIFS(I$14:I$113,"&gt;"&amp;I40,E$14:E$113,"="&amp;E40,C$14:C$113,"&lt;&gt;")+COUNTIFS(I$14:I$113,"="&amp;I40,H$14:H$113,"&lt;="&amp;H40,E$14:E$113,"="&amp;E40,C$14:C$113,"&lt;&gt;")))</f>
        <v/>
      </c>
      <c r="H40" s="17">
        <f>IF($C40="","",IFERROR(LEFT($C40,FIND("-",$C40)-1),$C40))</f>
        <v/>
      </c>
      <c r="I40" s="12">
        <f>TEXT(1000000000+J40,"|0000000000|")&amp;TEXT(SUM(AK40:AT40),"0000000000|")&amp;IF(SUM(BU40:CD40)=0,"0000000000|",TEXT(ROUND(SUM(BI40:BR40)/SUM(BU40:CD40),4)*100000,"0000000000|"))&amp;IF(P40=0,"0000000000|",TEXT(ROUND(O40/P40,4)*100000,"0000000000|"))</f>
        <v/>
      </c>
      <c r="J40" s="26">
        <f>L40*constPuntiVittoria+M40*constPuntiSconfitta+N40*constPuntiForfait+IF(D40="",0,D40)</f>
        <v/>
      </c>
      <c r="K40" s="12">
        <f>SUM(L40:N40)</f>
        <v/>
      </c>
      <c r="L40" s="12">
        <f>IF($H40="",0,SUMIF(Dati!$A$2:$A$451,$H40,Dati!$B$2:$B$451)+SUMIF(Dati!$H$2:$H$451,$H40,Dati!$I$2:$I$451))</f>
        <v/>
      </c>
      <c r="M40" s="12">
        <f>IF($H40="",0,SUMIF(Dati!$A$2:$A$451,$H40,Dati!$D$2:$D$451)+SUMIF(Dati!$H$2:$H$451,$H40,Dati!$K$2:$K$451))</f>
        <v/>
      </c>
      <c r="N40" s="12">
        <f>IF($H40="",0,SUMIF(Dati!$A$2:$A$451,$H40,Dati!$C$2:$C$451)+SUMIF(Dati!$H$2:$H$451,$H40,Dati!$J$2:$J$451))</f>
        <v/>
      </c>
      <c r="O40" s="12">
        <f>IF($H40="",0,SUMIF(Dati!$A$2:$A$451,$H40,Dati!$E$2:$E$451)+SUMIF(Dati!$H$2:$H$451,$H40,Dati!$L$2:$L$451))</f>
        <v/>
      </c>
      <c r="P40" s="12">
        <f>IF($H40="",0,SUMIF(Dati!$A$2:$A$451,$H40,Dati!$F$2:$F$451)+SUMIF(Dati!$H$2:$H$451,$H40,Dati!$M$2:$M$451))</f>
        <v/>
      </c>
      <c r="Q40" s="12">
        <f>IF($H40="",0,SUMIF(Dati!$A$2:$A$451,$H40,Dati!$G$2:$G$451)+SUMIF(Dati!$H$2:$H$451,$H40,Dati!$N$2:$N$451))</f>
        <v/>
      </c>
      <c r="R40" s="12">
        <f>IF(K40=0,0,ROUND(O40/K40,2))</f>
        <v/>
      </c>
      <c r="S40" s="12">
        <f>IF(K40=0,0,ROUND(P40/K40,2))</f>
        <v/>
      </c>
      <c r="T40" s="12">
        <f>IF(K40=0,0,ROUND(Q40/K40,2))</f>
        <v/>
      </c>
      <c r="U40" s="12">
        <f>IF(COUNTIFS($E$14:$E$113,$E40,$J$14:$J$113,$J40,$C$14:$C$113,"&lt;&gt;")&lt;=1,"-",SUM(AK40:AT40)&amp;"-"&amp;SUM(AW40:BF40))</f>
        <v/>
      </c>
      <c r="V40" s="18">
        <f>IF(COUNTIFS($E$14:$E$113,$E40,$J$14:$J$113,$J40,$C$14:$C$113,"&lt;&gt;",$CF$14:$CF$113,$CF40)&lt;=1,"-",IF(SUM(BU40:CD40)=0,0,ROUND(SUM(BI40:BR40)/SUM(BU40:CD40),3)))</f>
        <v/>
      </c>
      <c r="W40" s="18">
        <f>IF(COUNTIFS($E$14:$E$113,$E40,$J$14:$J$113,$J40,$C$14:$C$113,"&lt;&gt;",$CF$14:$CF$113,$CF40,$V$14:$V$113,$V40)&lt;=1,"-",IF(P40=0,0,ROUND(O40/P40,3)))</f>
        <v/>
      </c>
      <c r="X40" s="19">
        <f>IF($C40="","",$E40&amp;"#"&amp;COUNTIFS($E$14:$E40,$E40,$C$14:$C40,"&lt;&gt;"))</f>
        <v/>
      </c>
      <c r="Y40" s="20">
        <f>IFERROR(INDEX($H$14:$H$113,MATCH($E40&amp;"#1",$X$14:$X$113,0)),"")</f>
        <v/>
      </c>
      <c r="Z40" s="20">
        <f>IFERROR(INDEX($H$14:$H$113,MATCH($E40&amp;"#2",$X$14:$X$113,0)),"")</f>
        <v/>
      </c>
      <c r="AA40" s="20">
        <f>IFERROR(INDEX($H$14:$H$113,MATCH($E40&amp;"#3",$X$14:$X$113,0)),"")</f>
        <v/>
      </c>
      <c r="AB40" s="20">
        <f>IFERROR(INDEX($H$14:$H$113,MATCH($E40&amp;"#4",$X$14:$X$113,0)),"")</f>
        <v/>
      </c>
      <c r="AC40" s="20">
        <f>IFERROR(INDEX($H$14:$H$113,MATCH($E40&amp;"#5",$X$14:$X$113,0)),"")</f>
        <v/>
      </c>
      <c r="AD40" s="20">
        <f>IFERROR(INDEX($H$14:$H$113,MATCH($E40&amp;"#6",$X$14:$X$113,0)),"")</f>
        <v/>
      </c>
      <c r="AE40" s="20">
        <f>IFERROR(INDEX($H$14:$H$113,MATCH($E40&amp;"#7",$X$14:$X$113,0)),"")</f>
        <v/>
      </c>
      <c r="AF40" s="20">
        <f>IFERROR(INDEX($H$14:$H$113,MATCH($E40&amp;"#8",$X$14:$X$113,0)),"")</f>
        <v/>
      </c>
      <c r="AG40" s="20">
        <f>IFERROR(INDEX($H$14:$H$113,MATCH($E40&amp;"#9",$X$14:$X$113,0)),"")</f>
        <v/>
      </c>
      <c r="AH40" s="20">
        <f>IFERROR(INDEX($H$14:$H$113,MATCH($E40&amp;"#10",$X$14:$X$113,0)),"")</f>
        <v/>
      </c>
      <c r="AJ40" s="21">
        <f>$C40</f>
        <v/>
      </c>
      <c r="AK40" s="22">
        <f>IF(AND($H40&lt;&gt;"",$Y40&lt;&gt;"",$H40&lt;&gt;$Y40,IFERROR(VLOOKUP($H40,areaCercaPuntiClassificaSquadra,3,FALSE),-1)=IFERROR(VLOOKUP($Y40,areaCercaPuntiClassificaSquadra,3,FALSE),-2)),SUMIFS(Dati!$B$2:$B$451,Dati!$A$2:$A$451,$H40,Dati!$H$2:$H$451,$Y40)+SUMIFS(Dati!$I$2:$I$451,Dati!$H$2:$H$451,$H40,Dati!$A$2:$A$451,$Y40),"-")</f>
        <v/>
      </c>
      <c r="AL40" s="22">
        <f>IF(AND($H40&lt;&gt;"",$Z40&lt;&gt;"",$H40&lt;&gt;$Z40,IFERROR(VLOOKUP($H40,areaCercaPuntiClassificaSquadra,3,FALSE),-1)=IFERROR(VLOOKUP($Z40,areaCercaPuntiClassificaSquadra,3,FALSE),-2)),SUMIFS(Dati!$B$2:$B$451,Dati!$A$2:$A$451,$H40,Dati!$H$2:$H$451,$Z40)+SUMIFS(Dati!$I$2:$I$451,Dati!$H$2:$H$451,$H40,Dati!$A$2:$A$451,$Z40),"-")</f>
        <v/>
      </c>
      <c r="AM40" s="22">
        <f>IF(AND($H40&lt;&gt;"",$AA40&lt;&gt;"",$H40&lt;&gt;$AA40,IFERROR(VLOOKUP($H40,areaCercaPuntiClassificaSquadra,3,FALSE),-1)=IFERROR(VLOOKUP($AA40,areaCercaPuntiClassificaSquadra,3,FALSE),-2)),SUMIFS(Dati!$B$2:$B$451,Dati!$A$2:$A$451,$H40,Dati!$H$2:$H$451,$AA40)+SUMIFS(Dati!$I$2:$I$451,Dati!$H$2:$H$451,$H40,Dati!$A$2:$A$451,$AA40),"-")</f>
        <v/>
      </c>
      <c r="AN40" s="22">
        <f>IF(AND($H40&lt;&gt;"",$AB40&lt;&gt;"",$H40&lt;&gt;$AB40,IFERROR(VLOOKUP($H40,areaCercaPuntiClassificaSquadra,3,FALSE),-1)=IFERROR(VLOOKUP($AB40,areaCercaPuntiClassificaSquadra,3,FALSE),-2)),SUMIFS(Dati!$B$2:$B$451,Dati!$A$2:$A$451,$H40,Dati!$H$2:$H$451,$AB40)+SUMIFS(Dati!$I$2:$I$451,Dati!$H$2:$H$451,$H40,Dati!$A$2:$A$451,$AB40),"-")</f>
        <v/>
      </c>
      <c r="AO40" s="22">
        <f>IF(AND($H40&lt;&gt;"",$AC40&lt;&gt;"",$H40&lt;&gt;$AC40,IFERROR(VLOOKUP($H40,areaCercaPuntiClassificaSquadra,3,FALSE),-1)=IFERROR(VLOOKUP($AC40,areaCercaPuntiClassificaSquadra,3,FALSE),-2)),SUMIFS(Dati!$B$2:$B$451,Dati!$A$2:$A$451,$H40,Dati!$H$2:$H$451,$AC40)+SUMIFS(Dati!$I$2:$I$451,Dati!$H$2:$H$451,$H40,Dati!$A$2:$A$451,$AC40),"-")</f>
        <v/>
      </c>
      <c r="AP40" s="22">
        <f>IF(AND($H40&lt;&gt;"",$AD40&lt;&gt;"",$H40&lt;&gt;$AD40,IFERROR(VLOOKUP($H40,areaCercaPuntiClassificaSquadra,3,FALSE),-1)=IFERROR(VLOOKUP($AD40,areaCercaPuntiClassificaSquadra,3,FALSE),-2)),SUMIFS(Dati!$B$2:$B$451,Dati!$A$2:$A$451,$H40,Dati!$H$2:$H$451,$AD40)+SUMIFS(Dati!$I$2:$I$451,Dati!$H$2:$H$451,$H40,Dati!$A$2:$A$451,$AD40),"-")</f>
        <v/>
      </c>
      <c r="AQ40" s="22">
        <f>IF(AND($H40&lt;&gt;"",$AE40&lt;&gt;"",$H40&lt;&gt;$AE40,IFERROR(VLOOKUP($H40,areaCercaPuntiClassificaSquadra,3,FALSE),-1)=IFERROR(VLOOKUP($AE40,areaCercaPuntiClassificaSquadra,3,FALSE),-2)),SUMIFS(Dati!$B$2:$B$451,Dati!$A$2:$A$451,$H40,Dati!$H$2:$H$451,$AE40)+SUMIFS(Dati!$I$2:$I$451,Dati!$H$2:$H$451,$H40,Dati!$A$2:$A$451,$AE40),"-")</f>
        <v/>
      </c>
      <c r="AR40" s="22">
        <f>IF(AND($H40&lt;&gt;"",$AF40&lt;&gt;"",$H40&lt;&gt;$AF40,IFERROR(VLOOKUP($H40,areaCercaPuntiClassificaSquadra,3,FALSE),-1)=IFERROR(VLOOKUP($AF40,areaCercaPuntiClassificaSquadra,3,FALSE),-2)),SUMIFS(Dati!$B$2:$B$451,Dati!$A$2:$A$451,$H40,Dati!$H$2:$H$451,$AF40)+SUMIFS(Dati!$I$2:$I$451,Dati!$H$2:$H$451,$H40,Dati!$A$2:$A$451,$AF40),"-")</f>
        <v/>
      </c>
      <c r="AS40" s="22">
        <f>IF(AND($H40&lt;&gt;"",$AG40&lt;&gt;"",$H40&lt;&gt;$AG40,IFERROR(VLOOKUP($H40,areaCercaPuntiClassificaSquadra,3,FALSE),-1)=IFERROR(VLOOKUP($AG40,areaCercaPuntiClassificaSquadra,3,FALSE),-2)),SUMIFS(Dati!$B$2:$B$451,Dati!$A$2:$A$451,$H40,Dati!$H$2:$H$451,$AG40)+SUMIFS(Dati!$I$2:$I$451,Dati!$H$2:$H$451,$H40,Dati!$A$2:$A$451,$AG40),"-")</f>
        <v/>
      </c>
      <c r="AT40" s="22">
        <f>IF(AND($H40&lt;&gt;"",$AH40&lt;&gt;"",$H40&lt;&gt;$AH40,IFERROR(VLOOKUP($H40,areaCercaPuntiClassificaSquadra,3,FALSE),-1)=IFERROR(VLOOKUP($AH40,areaCercaPuntiClassificaSquadra,3,FALSE),-2)),SUMIFS(Dati!$B$2:$B$451,Dati!$A$2:$A$451,$H40,Dati!$H$2:$H$451,$AH40)+SUMIFS(Dati!$I$2:$I$451,Dati!$H$2:$H$451,$H40,Dati!$A$2:$A$451,$AH40),"-")</f>
        <v/>
      </c>
      <c r="AV40" s="21">
        <f>$C40</f>
        <v/>
      </c>
      <c r="AW40" s="22">
        <f>IF(AND($H40&lt;&gt;"",$Y40&lt;&gt;"",$H40&lt;&gt;$Y40,IFERROR(VLOOKUP($H40,areaCercaPuntiClassificaSquadra,3,FALSE),-1)=IFERROR(VLOOKUP($Y40,areaCercaPuntiClassificaSquadra,3,FALSE),-2)),SUMIFS(Dati!$D$2:$D$451,Dati!$A$2:$A$451,$H40,Dati!$H$2:$H$451,$Y40)+SUMIFS(Dati!$K$2:$K$451,Dati!$H$2:$H$451,$H40,Dati!$A$2:$A$451,$Y40)+SUMIFS(Dati!$C$2:$C$451,Dati!$A$2:$A$451,$H40,Dati!$H$2:$H$451,$Y40)+SUMIFS(Dati!$J$2:$J$451,Dati!$H$2:$H$451,$H40,Dati!$A$2:$A$451,$Y40),"-")</f>
        <v/>
      </c>
      <c r="AX40" s="22">
        <f>IF(AND($H40&lt;&gt;"",$Z40&lt;&gt;"",$H40&lt;&gt;$Z40,IFERROR(VLOOKUP($H40,areaCercaPuntiClassificaSquadra,3,FALSE),-1)=IFERROR(VLOOKUP($Z40,areaCercaPuntiClassificaSquadra,3,FALSE),-2)),SUMIFS(Dati!$D$2:$D$451,Dati!$A$2:$A$451,$H40,Dati!$H$2:$H$451,$Z40)+SUMIFS(Dati!$K$2:$K$451,Dati!$H$2:$H$451,$H40,Dati!$A$2:$A$451,$Z40)+SUMIFS(Dati!$C$2:$C$451,Dati!$A$2:$A$451,$H40,Dati!$H$2:$H$451,$Z40)+SUMIFS(Dati!$J$2:$J$451,Dati!$H$2:$H$451,$H40,Dati!$A$2:$A$451,$Z40),"-")</f>
        <v/>
      </c>
      <c r="AY40" s="22">
        <f>IF(AND($H40&lt;&gt;"",$AA40&lt;&gt;"",$H40&lt;&gt;$AA40,IFERROR(VLOOKUP($H40,areaCercaPuntiClassificaSquadra,3,FALSE),-1)=IFERROR(VLOOKUP($AA40,areaCercaPuntiClassificaSquadra,3,FALSE),-2)),SUMIFS(Dati!$D$2:$D$451,Dati!$A$2:$A$451,$H40,Dati!$H$2:$H$451,$AA40)+SUMIFS(Dati!$K$2:$K$451,Dati!$H$2:$H$451,$H40,Dati!$A$2:$A$451,$AA40)+SUMIFS(Dati!$C$2:$C$451,Dati!$A$2:$A$451,$H40,Dati!$H$2:$H$451,$AA40)+SUMIFS(Dati!$J$2:$J$451,Dati!$H$2:$H$451,$H40,Dati!$A$2:$A$451,$AA40),"-")</f>
        <v/>
      </c>
      <c r="AZ40" s="22">
        <f>IF(AND($H40&lt;&gt;"",$AB40&lt;&gt;"",$H40&lt;&gt;$AB40,IFERROR(VLOOKUP($H40,areaCercaPuntiClassificaSquadra,3,FALSE),-1)=IFERROR(VLOOKUP($AB40,areaCercaPuntiClassificaSquadra,3,FALSE),-2)),SUMIFS(Dati!$D$2:$D$451,Dati!$A$2:$A$451,$H40,Dati!$H$2:$H$451,$AB40)+SUMIFS(Dati!$K$2:$K$451,Dati!$H$2:$H$451,$H40,Dati!$A$2:$A$451,$AB40)+SUMIFS(Dati!$C$2:$C$451,Dati!$A$2:$A$451,$H40,Dati!$H$2:$H$451,$AB40)+SUMIFS(Dati!$J$2:$J$451,Dati!$H$2:$H$451,$H40,Dati!$A$2:$A$451,$AB40),"-")</f>
        <v/>
      </c>
      <c r="BA40" s="22">
        <f>IF(AND($H40&lt;&gt;"",$AC40&lt;&gt;"",$H40&lt;&gt;$AC40,IFERROR(VLOOKUP($H40,areaCercaPuntiClassificaSquadra,3,FALSE),-1)=IFERROR(VLOOKUP($AC40,areaCercaPuntiClassificaSquadra,3,FALSE),-2)),SUMIFS(Dati!$D$2:$D$451,Dati!$A$2:$A$451,$H40,Dati!$H$2:$H$451,$AC40)+SUMIFS(Dati!$K$2:$K$451,Dati!$H$2:$H$451,$H40,Dati!$A$2:$A$451,$AC40)+SUMIFS(Dati!$C$2:$C$451,Dati!$A$2:$A$451,$H40,Dati!$H$2:$H$451,$AC40)+SUMIFS(Dati!$J$2:$J$451,Dati!$H$2:$H$451,$H40,Dati!$A$2:$A$451,$AC40),"-")</f>
        <v/>
      </c>
      <c r="BB40" s="22">
        <f>IF(AND($H40&lt;&gt;"",$AD40&lt;&gt;"",$H40&lt;&gt;$AD40,IFERROR(VLOOKUP($H40,areaCercaPuntiClassificaSquadra,3,FALSE),-1)=IFERROR(VLOOKUP($AD40,areaCercaPuntiClassificaSquadra,3,FALSE),-2)),SUMIFS(Dati!$D$2:$D$451,Dati!$A$2:$A$451,$H40,Dati!$H$2:$H$451,$AD40)+SUMIFS(Dati!$K$2:$K$451,Dati!$H$2:$H$451,$H40,Dati!$A$2:$A$451,$AD40)+SUMIFS(Dati!$C$2:$C$451,Dati!$A$2:$A$451,$H40,Dati!$H$2:$H$451,$AD40)+SUMIFS(Dati!$J$2:$J$451,Dati!$H$2:$H$451,$H40,Dati!$A$2:$A$451,$AD40),"-")</f>
        <v/>
      </c>
      <c r="BC40" s="22">
        <f>IF(AND($H40&lt;&gt;"",$AE40&lt;&gt;"",$H40&lt;&gt;$AE40,IFERROR(VLOOKUP($H40,areaCercaPuntiClassificaSquadra,3,FALSE),-1)=IFERROR(VLOOKUP($AE40,areaCercaPuntiClassificaSquadra,3,FALSE),-2)),SUMIFS(Dati!$D$2:$D$451,Dati!$A$2:$A$451,$H40,Dati!$H$2:$H$451,$AE40)+SUMIFS(Dati!$K$2:$K$451,Dati!$H$2:$H$451,$H40,Dati!$A$2:$A$451,$AE40)+SUMIFS(Dati!$C$2:$C$451,Dati!$A$2:$A$451,$H40,Dati!$H$2:$H$451,$AE40)+SUMIFS(Dati!$J$2:$J$451,Dati!$H$2:$H$451,$H40,Dati!$A$2:$A$451,$AE40),"-")</f>
        <v/>
      </c>
      <c r="BD40" s="22">
        <f>IF(AND($H40&lt;&gt;"",$AF40&lt;&gt;"",$H40&lt;&gt;$AF40,IFERROR(VLOOKUP($H40,areaCercaPuntiClassificaSquadra,3,FALSE),-1)=IFERROR(VLOOKUP($AF40,areaCercaPuntiClassificaSquadra,3,FALSE),-2)),SUMIFS(Dati!$D$2:$D$451,Dati!$A$2:$A$451,$H40,Dati!$H$2:$H$451,$AF40)+SUMIFS(Dati!$K$2:$K$451,Dati!$H$2:$H$451,$H40,Dati!$A$2:$A$451,$AF40)+SUMIFS(Dati!$C$2:$C$451,Dati!$A$2:$A$451,$H40,Dati!$H$2:$H$451,$AF40)+SUMIFS(Dati!$J$2:$J$451,Dati!$H$2:$H$451,$H40,Dati!$A$2:$A$451,$AF40),"-")</f>
        <v/>
      </c>
      <c r="BE40" s="22">
        <f>IF(AND($H40&lt;&gt;"",$AG40&lt;&gt;"",$H40&lt;&gt;$AG40,IFERROR(VLOOKUP($H40,areaCercaPuntiClassificaSquadra,3,FALSE),-1)=IFERROR(VLOOKUP($AG40,areaCercaPuntiClassificaSquadra,3,FALSE),-2)),SUMIFS(Dati!$D$2:$D$451,Dati!$A$2:$A$451,$H40,Dati!$H$2:$H$451,$AG40)+SUMIFS(Dati!$K$2:$K$451,Dati!$H$2:$H$451,$H40,Dati!$A$2:$A$451,$AG40)+SUMIFS(Dati!$C$2:$C$451,Dati!$A$2:$A$451,$H40,Dati!$H$2:$H$451,$AG40)+SUMIFS(Dati!$J$2:$J$451,Dati!$H$2:$H$451,$H40,Dati!$A$2:$A$451,$AG40),"-")</f>
        <v/>
      </c>
      <c r="BF40" s="22">
        <f>IF(AND($H40&lt;&gt;"",$AH40&lt;&gt;"",$H40&lt;&gt;$AH40,IFERROR(VLOOKUP($H40,areaCercaPuntiClassificaSquadra,3,FALSE),-1)=IFERROR(VLOOKUP($AH40,areaCercaPuntiClassificaSquadra,3,FALSE),-2)),SUMIFS(Dati!$D$2:$D$451,Dati!$A$2:$A$451,$H40,Dati!$H$2:$H$451,$AH40)+SUMIFS(Dati!$K$2:$K$451,Dati!$H$2:$H$451,$H40,Dati!$A$2:$A$451,$AH40)+SUMIFS(Dati!$C$2:$C$451,Dati!$A$2:$A$451,$H40,Dati!$H$2:$H$451,$AH40)+SUMIFS(Dati!$J$2:$J$451,Dati!$H$2:$H$451,$H40,Dati!$A$2:$A$451,$AH40),"-")</f>
        <v/>
      </c>
      <c r="BH40" s="21">
        <f>$C40</f>
        <v/>
      </c>
      <c r="BI40" s="22">
        <f>IF(AND($H40&lt;&gt;"",$Y40&lt;&gt;"",$H40&lt;&gt;$Y40,IFERROR(VLOOKUP($H40,areaCercaPuntiClassificaSquadra,3,FALSE),-1)=IFERROR(VLOOKUP($Y40,areaCercaPuntiClassificaSquadra,3,FALSE),-2)),SUMIFS(Dati!$E$2:$E$451,Dati!$A$2:$A$451,$H40,Dati!$H$2:$H$451,$Y40)+SUMIFS(Dati!$L$2:$L$451,Dati!$H$2:$H$451,$H40,Dati!$A$2:$A$451,$Y40),"-")</f>
        <v/>
      </c>
      <c r="BJ40" s="22">
        <f>IF(AND($H40&lt;&gt;"",$Z40&lt;&gt;"",$H40&lt;&gt;$Z40,IFERROR(VLOOKUP($H40,areaCercaPuntiClassificaSquadra,3,FALSE),-1)=IFERROR(VLOOKUP($Z40,areaCercaPuntiClassificaSquadra,3,FALSE),-2)),SUMIFS(Dati!$E$2:$E$451,Dati!$A$2:$A$451,$H40,Dati!$H$2:$H$451,$Z40)+SUMIFS(Dati!$L$2:$L$451,Dati!$H$2:$H$451,$H40,Dati!$A$2:$A$451,$Z40),"-")</f>
        <v/>
      </c>
      <c r="BK40" s="22">
        <f>IF(AND($H40&lt;&gt;"",$AA40&lt;&gt;"",$H40&lt;&gt;$AA40,IFERROR(VLOOKUP($H40,areaCercaPuntiClassificaSquadra,3,FALSE),-1)=IFERROR(VLOOKUP($AA40,areaCercaPuntiClassificaSquadra,3,FALSE),-2)),SUMIFS(Dati!$E$2:$E$451,Dati!$A$2:$A$451,$H40,Dati!$H$2:$H$451,$AA40)+SUMIFS(Dati!$L$2:$L$451,Dati!$H$2:$H$451,$H40,Dati!$A$2:$A$451,$AA40),"-")</f>
        <v/>
      </c>
      <c r="BL40" s="22">
        <f>IF(AND($H40&lt;&gt;"",$AB40&lt;&gt;"",$H40&lt;&gt;$AB40,IFERROR(VLOOKUP($H40,areaCercaPuntiClassificaSquadra,3,FALSE),-1)=IFERROR(VLOOKUP($AB40,areaCercaPuntiClassificaSquadra,3,FALSE),-2)),SUMIFS(Dati!$E$2:$E$451,Dati!$A$2:$A$451,$H40,Dati!$H$2:$H$451,$AB40)+SUMIFS(Dati!$L$2:$L$451,Dati!$H$2:$H$451,$H40,Dati!$A$2:$A$451,$AB40),"-")</f>
        <v/>
      </c>
      <c r="BM40" s="22">
        <f>IF(AND($H40&lt;&gt;"",$AC40&lt;&gt;"",$H40&lt;&gt;$AC40,IFERROR(VLOOKUP($H40,areaCercaPuntiClassificaSquadra,3,FALSE),-1)=IFERROR(VLOOKUP($AC40,areaCercaPuntiClassificaSquadra,3,FALSE),-2)),SUMIFS(Dati!$E$2:$E$451,Dati!$A$2:$A$451,$H40,Dati!$H$2:$H$451,$AC40)+SUMIFS(Dati!$L$2:$L$451,Dati!$H$2:$H$451,$H40,Dati!$A$2:$A$451,$AC40),"-")</f>
        <v/>
      </c>
      <c r="BN40" s="22">
        <f>IF(AND($H40&lt;&gt;"",$AD40&lt;&gt;"",$H40&lt;&gt;$AD40,IFERROR(VLOOKUP($H40,areaCercaPuntiClassificaSquadra,3,FALSE),-1)=IFERROR(VLOOKUP($AD40,areaCercaPuntiClassificaSquadra,3,FALSE),-2)),SUMIFS(Dati!$E$2:$E$451,Dati!$A$2:$A$451,$H40,Dati!$H$2:$H$451,$AD40)+SUMIFS(Dati!$L$2:$L$451,Dati!$H$2:$H$451,$H40,Dati!$A$2:$A$451,$AD40),"-")</f>
        <v/>
      </c>
      <c r="BO40" s="22">
        <f>IF(AND($H40&lt;&gt;"",$AE40&lt;&gt;"",$H40&lt;&gt;$AE40,IFERROR(VLOOKUP($H40,areaCercaPuntiClassificaSquadra,3,FALSE),-1)=IFERROR(VLOOKUP($AE40,areaCercaPuntiClassificaSquadra,3,FALSE),-2)),SUMIFS(Dati!$E$2:$E$451,Dati!$A$2:$A$451,$H40,Dati!$H$2:$H$451,$AE40)+SUMIFS(Dati!$L$2:$L$451,Dati!$H$2:$H$451,$H40,Dati!$A$2:$A$451,$AE40),"-")</f>
        <v/>
      </c>
      <c r="BP40" s="22">
        <f>IF(AND($H40&lt;&gt;"",$AF40&lt;&gt;"",$H40&lt;&gt;$AF40,IFERROR(VLOOKUP($H40,areaCercaPuntiClassificaSquadra,3,FALSE),-1)=IFERROR(VLOOKUP($AF40,areaCercaPuntiClassificaSquadra,3,FALSE),-2)),SUMIFS(Dati!$E$2:$E$451,Dati!$A$2:$A$451,$H40,Dati!$H$2:$H$451,$AF40)+SUMIFS(Dati!$L$2:$L$451,Dati!$H$2:$H$451,$H40,Dati!$A$2:$A$451,$AF40),"-")</f>
        <v/>
      </c>
      <c r="BQ40" s="22">
        <f>IF(AND($H40&lt;&gt;"",$AG40&lt;&gt;"",$H40&lt;&gt;$AG40,IFERROR(VLOOKUP($H40,areaCercaPuntiClassificaSquadra,3,FALSE),-1)=IFERROR(VLOOKUP($AG40,areaCercaPuntiClassificaSquadra,3,FALSE),-2)),SUMIFS(Dati!$E$2:$E$451,Dati!$A$2:$A$451,$H40,Dati!$H$2:$H$451,$AG40)+SUMIFS(Dati!$L$2:$L$451,Dati!$H$2:$H$451,$H40,Dati!$A$2:$A$451,$AG40),"-")</f>
        <v/>
      </c>
      <c r="BR40" s="22">
        <f>IF(AND($H40&lt;&gt;"",$AH40&lt;&gt;"",$H40&lt;&gt;$AH40,IFERROR(VLOOKUP($H40,areaCercaPuntiClassificaSquadra,3,FALSE),-1)=IFERROR(VLOOKUP($AH40,areaCercaPuntiClassificaSquadra,3,FALSE),-2)),SUMIFS(Dati!$E$2:$E$451,Dati!$A$2:$A$451,$H40,Dati!$H$2:$H$451,$AH40)+SUMIFS(Dati!$L$2:$L$451,Dati!$H$2:$H$451,$H40,Dati!$A$2:$A$451,$AH40),"-")</f>
        <v/>
      </c>
      <c r="BT40" s="21">
        <f>$C40</f>
        <v/>
      </c>
      <c r="BU40" s="22">
        <f>IF(AND($H40&lt;&gt;"",$Y40&lt;&gt;"",$H40&lt;&gt;$Y40,IFERROR(VLOOKUP($H40,areaCercaPuntiClassificaSquadra,3,FALSE),-1)=IFERROR(VLOOKUP($Y40,areaCercaPuntiClassificaSquadra,3,FALSE),-2)),SUMIFS(Dati!$F$2:$F$451,Dati!$A$2:$A$451,$H40,Dati!$H$2:$H$451,$Y40)+SUMIFS(Dati!$M$2:$M$451,Dati!$H$2:$H$451,$H40,Dati!$A$2:$A$451,$Y40),"-")</f>
        <v/>
      </c>
      <c r="BV40" s="22">
        <f>IF(AND($H40&lt;&gt;"",$Z40&lt;&gt;"",$H40&lt;&gt;$Z40,IFERROR(VLOOKUP($H40,areaCercaPuntiClassificaSquadra,3,FALSE),-1)=IFERROR(VLOOKUP($Z40,areaCercaPuntiClassificaSquadra,3,FALSE),-2)),SUMIFS(Dati!$F$2:$F$451,Dati!$A$2:$A$451,$H40,Dati!$H$2:$H$451,$Z40)+SUMIFS(Dati!$M$2:$M$451,Dati!$H$2:$H$451,$H40,Dati!$A$2:$A$451,$Z40),"-")</f>
        <v/>
      </c>
      <c r="BW40" s="22">
        <f>IF(AND($H40&lt;&gt;"",$AA40&lt;&gt;"",$H40&lt;&gt;$AA40,IFERROR(VLOOKUP($H40,areaCercaPuntiClassificaSquadra,3,FALSE),-1)=IFERROR(VLOOKUP($AA40,areaCercaPuntiClassificaSquadra,3,FALSE),-2)),SUMIFS(Dati!$F$2:$F$451,Dati!$A$2:$A$451,$H40,Dati!$H$2:$H$451,$AA40)+SUMIFS(Dati!$M$2:$M$451,Dati!$H$2:$H$451,$H40,Dati!$A$2:$A$451,$AA40),"-")</f>
        <v/>
      </c>
      <c r="BX40" s="22">
        <f>IF(AND($H40&lt;&gt;"",$AB40&lt;&gt;"",$H40&lt;&gt;$AB40,IFERROR(VLOOKUP($H40,areaCercaPuntiClassificaSquadra,3,FALSE),-1)=IFERROR(VLOOKUP($AB40,areaCercaPuntiClassificaSquadra,3,FALSE),-2)),SUMIFS(Dati!$F$2:$F$451,Dati!$A$2:$A$451,$H40,Dati!$H$2:$H$451,$AB40)+SUMIFS(Dati!$M$2:$M$451,Dati!$H$2:$H$451,$H40,Dati!$A$2:$A$451,$AB40),"-")</f>
        <v/>
      </c>
      <c r="BY40" s="22">
        <f>IF(AND($H40&lt;&gt;"",$AC40&lt;&gt;"",$H40&lt;&gt;$AC40,IFERROR(VLOOKUP($H40,areaCercaPuntiClassificaSquadra,3,FALSE),-1)=IFERROR(VLOOKUP($AC40,areaCercaPuntiClassificaSquadra,3,FALSE),-2)),SUMIFS(Dati!$F$2:$F$451,Dati!$A$2:$A$451,$H40,Dati!$H$2:$H$451,$AC40)+SUMIFS(Dati!$M$2:$M$451,Dati!$H$2:$H$451,$H40,Dati!$A$2:$A$451,$AC40),"-")</f>
        <v/>
      </c>
      <c r="BZ40" s="22">
        <f>IF(AND($H40&lt;&gt;"",$AD40&lt;&gt;"",$H40&lt;&gt;$AD40,IFERROR(VLOOKUP($H40,areaCercaPuntiClassificaSquadra,3,FALSE),-1)=IFERROR(VLOOKUP($AD40,areaCercaPuntiClassificaSquadra,3,FALSE),-2)),SUMIFS(Dati!$F$2:$F$451,Dati!$A$2:$A$451,$H40,Dati!$H$2:$H$451,$AD40)+SUMIFS(Dati!$M$2:$M$451,Dati!$H$2:$H$451,$H40,Dati!$A$2:$A$451,$AD40),"-")</f>
        <v/>
      </c>
      <c r="CA40" s="22">
        <f>IF(AND($H40&lt;&gt;"",$AE40&lt;&gt;"",$H40&lt;&gt;$AE40,IFERROR(VLOOKUP($H40,areaCercaPuntiClassificaSquadra,3,FALSE),-1)=IFERROR(VLOOKUP($AE40,areaCercaPuntiClassificaSquadra,3,FALSE),-2)),SUMIFS(Dati!$F$2:$F$451,Dati!$A$2:$A$451,$H40,Dati!$H$2:$H$451,$AE40)+SUMIFS(Dati!$M$2:$M$451,Dati!$H$2:$H$451,$H40,Dati!$A$2:$A$451,$AE40),"-")</f>
        <v/>
      </c>
      <c r="CB40" s="22">
        <f>IF(AND($H40&lt;&gt;"",$AF40&lt;&gt;"",$H40&lt;&gt;$AF40,IFERROR(VLOOKUP($H40,areaCercaPuntiClassificaSquadra,3,FALSE),-1)=IFERROR(VLOOKUP($AF40,areaCercaPuntiClassificaSquadra,3,FALSE),-2)),SUMIFS(Dati!$F$2:$F$451,Dati!$A$2:$A$451,$H40,Dati!$H$2:$H$451,$AF40)+SUMIFS(Dati!$M$2:$M$451,Dati!$H$2:$H$451,$H40,Dati!$A$2:$A$451,$AF40),"-")</f>
        <v/>
      </c>
      <c r="CC40" s="22">
        <f>IF(AND($H40&lt;&gt;"",$AG40&lt;&gt;"",$H40&lt;&gt;$AG40,IFERROR(VLOOKUP($H40,areaCercaPuntiClassificaSquadra,3,FALSE),-1)=IFERROR(VLOOKUP($AG40,areaCercaPuntiClassificaSquadra,3,FALSE),-2)),SUMIFS(Dati!$F$2:$F$451,Dati!$A$2:$A$451,$H40,Dati!$H$2:$H$451,$AG40)+SUMIFS(Dati!$M$2:$M$451,Dati!$H$2:$H$451,$H40,Dati!$A$2:$A$451,$AG40),"-")</f>
        <v/>
      </c>
      <c r="CD40" s="22">
        <f>IF(AND($H40&lt;&gt;"",$AH40&lt;&gt;"",$H40&lt;&gt;$AH40,IFERROR(VLOOKUP($H40,areaCercaPuntiClassificaSquadra,3,FALSE),-1)=IFERROR(VLOOKUP($AH40,areaCercaPuntiClassificaSquadra,3,FALSE),-2)),SUMIFS(Dati!$F$2:$F$451,Dati!$A$2:$A$451,$H40,Dati!$H$2:$H$451,$AH40)+SUMIFS(Dati!$M$2:$M$451,Dati!$H$2:$H$451,$H40,Dati!$A$2:$A$451,$AH40),"-")</f>
        <v/>
      </c>
      <c r="CF40" s="22">
        <f>IF($C40="","",SUM(AK40:AT40))</f>
        <v/>
      </c>
    </row>
    <row r="41">
      <c r="B41" s="12" t="inlineStr">
        <is>
          <t>C08</t>
        </is>
      </c>
      <c r="C41" s="13" t="n"/>
      <c r="D41" s="14" t="n"/>
      <c r="E41" s="25" t="inlineStr">
        <is>
          <t>C</t>
        </is>
      </c>
      <c r="G41" s="26">
        <f>IF($C41="","",$E41&amp;(COUNTIFS(I$14:I$113,"&gt;"&amp;I41,E$14:E$113,"="&amp;E41,C$14:C$113,"&lt;&gt;")+COUNTIFS(I$14:I$113,"="&amp;I41,H$14:H$113,"&lt;="&amp;H41,E$14:E$113,"="&amp;E41,C$14:C$113,"&lt;&gt;")))</f>
        <v/>
      </c>
      <c r="H41" s="17">
        <f>IF($C41="","",IFERROR(LEFT($C41,FIND("-",$C41)-1),$C41))</f>
        <v/>
      </c>
      <c r="I41" s="12">
        <f>TEXT(1000000000+J41,"|0000000000|")&amp;TEXT(SUM(AK41:AT41),"0000000000|")&amp;IF(SUM(BU41:CD41)=0,"0000000000|",TEXT(ROUND(SUM(BI41:BR41)/SUM(BU41:CD41),4)*100000,"0000000000|"))&amp;IF(P41=0,"0000000000|",TEXT(ROUND(O41/P41,4)*100000,"0000000000|"))</f>
        <v/>
      </c>
      <c r="J41" s="26">
        <f>L41*constPuntiVittoria+M41*constPuntiSconfitta+N41*constPuntiForfait+IF(D41="",0,D41)</f>
        <v/>
      </c>
      <c r="K41" s="12">
        <f>SUM(L41:N41)</f>
        <v/>
      </c>
      <c r="L41" s="12">
        <f>IF($H41="",0,SUMIF(Dati!$A$2:$A$451,$H41,Dati!$B$2:$B$451)+SUMIF(Dati!$H$2:$H$451,$H41,Dati!$I$2:$I$451))</f>
        <v/>
      </c>
      <c r="M41" s="12">
        <f>IF($H41="",0,SUMIF(Dati!$A$2:$A$451,$H41,Dati!$D$2:$D$451)+SUMIF(Dati!$H$2:$H$451,$H41,Dati!$K$2:$K$451))</f>
        <v/>
      </c>
      <c r="N41" s="12">
        <f>IF($H41="",0,SUMIF(Dati!$A$2:$A$451,$H41,Dati!$C$2:$C$451)+SUMIF(Dati!$H$2:$H$451,$H41,Dati!$J$2:$J$451))</f>
        <v/>
      </c>
      <c r="O41" s="12">
        <f>IF($H41="",0,SUMIF(Dati!$A$2:$A$451,$H41,Dati!$E$2:$E$451)+SUMIF(Dati!$H$2:$H$451,$H41,Dati!$L$2:$L$451))</f>
        <v/>
      </c>
      <c r="P41" s="12">
        <f>IF($H41="",0,SUMIF(Dati!$A$2:$A$451,$H41,Dati!$F$2:$F$451)+SUMIF(Dati!$H$2:$H$451,$H41,Dati!$M$2:$M$451))</f>
        <v/>
      </c>
      <c r="Q41" s="12">
        <f>IF($H41="",0,SUMIF(Dati!$A$2:$A$451,$H41,Dati!$G$2:$G$451)+SUMIF(Dati!$H$2:$H$451,$H41,Dati!$N$2:$N$451))</f>
        <v/>
      </c>
      <c r="R41" s="12">
        <f>IF(K41=0,0,ROUND(O41/K41,2))</f>
        <v/>
      </c>
      <c r="S41" s="12">
        <f>IF(K41=0,0,ROUND(P41/K41,2))</f>
        <v/>
      </c>
      <c r="T41" s="12">
        <f>IF(K41=0,0,ROUND(Q41/K41,2))</f>
        <v/>
      </c>
      <c r="U41" s="12">
        <f>IF(COUNTIFS($E$14:$E$113,$E41,$J$14:$J$113,$J41,$C$14:$C$113,"&lt;&gt;")&lt;=1,"-",SUM(AK41:AT41)&amp;"-"&amp;SUM(AW41:BF41))</f>
        <v/>
      </c>
      <c r="V41" s="18">
        <f>IF(COUNTIFS($E$14:$E$113,$E41,$J$14:$J$113,$J41,$C$14:$C$113,"&lt;&gt;",$CF$14:$CF$113,$CF41)&lt;=1,"-",IF(SUM(BU41:CD41)=0,0,ROUND(SUM(BI41:BR41)/SUM(BU41:CD41),3)))</f>
        <v/>
      </c>
      <c r="W41" s="18">
        <f>IF(COUNTIFS($E$14:$E$113,$E41,$J$14:$J$113,$J41,$C$14:$C$113,"&lt;&gt;",$CF$14:$CF$113,$CF41,$V$14:$V$113,$V41)&lt;=1,"-",IF(P41=0,0,ROUND(O41/P41,3)))</f>
        <v/>
      </c>
      <c r="X41" s="19">
        <f>IF($C41="","",$E41&amp;"#"&amp;COUNTIFS($E$14:$E41,$E41,$C$14:$C41,"&lt;&gt;"))</f>
        <v/>
      </c>
      <c r="Y41" s="20">
        <f>IFERROR(INDEX($H$14:$H$113,MATCH($E41&amp;"#1",$X$14:$X$113,0)),"")</f>
        <v/>
      </c>
      <c r="Z41" s="20">
        <f>IFERROR(INDEX($H$14:$H$113,MATCH($E41&amp;"#2",$X$14:$X$113,0)),"")</f>
        <v/>
      </c>
      <c r="AA41" s="20">
        <f>IFERROR(INDEX($H$14:$H$113,MATCH($E41&amp;"#3",$X$14:$X$113,0)),"")</f>
        <v/>
      </c>
      <c r="AB41" s="20">
        <f>IFERROR(INDEX($H$14:$H$113,MATCH($E41&amp;"#4",$X$14:$X$113,0)),"")</f>
        <v/>
      </c>
      <c r="AC41" s="20">
        <f>IFERROR(INDEX($H$14:$H$113,MATCH($E41&amp;"#5",$X$14:$X$113,0)),"")</f>
        <v/>
      </c>
      <c r="AD41" s="20">
        <f>IFERROR(INDEX($H$14:$H$113,MATCH($E41&amp;"#6",$X$14:$X$113,0)),"")</f>
        <v/>
      </c>
      <c r="AE41" s="20">
        <f>IFERROR(INDEX($H$14:$H$113,MATCH($E41&amp;"#7",$X$14:$X$113,0)),"")</f>
        <v/>
      </c>
      <c r="AF41" s="20">
        <f>IFERROR(INDEX($H$14:$H$113,MATCH($E41&amp;"#8",$X$14:$X$113,0)),"")</f>
        <v/>
      </c>
      <c r="AG41" s="20">
        <f>IFERROR(INDEX($H$14:$H$113,MATCH($E41&amp;"#9",$X$14:$X$113,0)),"")</f>
        <v/>
      </c>
      <c r="AH41" s="20">
        <f>IFERROR(INDEX($H$14:$H$113,MATCH($E41&amp;"#10",$X$14:$X$113,0)),"")</f>
        <v/>
      </c>
      <c r="AJ41" s="21">
        <f>$C41</f>
        <v/>
      </c>
      <c r="AK41" s="22">
        <f>IF(AND($H41&lt;&gt;"",$Y41&lt;&gt;"",$H41&lt;&gt;$Y41,IFERROR(VLOOKUP($H41,areaCercaPuntiClassificaSquadra,3,FALSE),-1)=IFERROR(VLOOKUP($Y41,areaCercaPuntiClassificaSquadra,3,FALSE),-2)),SUMIFS(Dati!$B$2:$B$451,Dati!$A$2:$A$451,$H41,Dati!$H$2:$H$451,$Y41)+SUMIFS(Dati!$I$2:$I$451,Dati!$H$2:$H$451,$H41,Dati!$A$2:$A$451,$Y41),"-")</f>
        <v/>
      </c>
      <c r="AL41" s="22">
        <f>IF(AND($H41&lt;&gt;"",$Z41&lt;&gt;"",$H41&lt;&gt;$Z41,IFERROR(VLOOKUP($H41,areaCercaPuntiClassificaSquadra,3,FALSE),-1)=IFERROR(VLOOKUP($Z41,areaCercaPuntiClassificaSquadra,3,FALSE),-2)),SUMIFS(Dati!$B$2:$B$451,Dati!$A$2:$A$451,$H41,Dati!$H$2:$H$451,$Z41)+SUMIFS(Dati!$I$2:$I$451,Dati!$H$2:$H$451,$H41,Dati!$A$2:$A$451,$Z41),"-")</f>
        <v/>
      </c>
      <c r="AM41" s="22">
        <f>IF(AND($H41&lt;&gt;"",$AA41&lt;&gt;"",$H41&lt;&gt;$AA41,IFERROR(VLOOKUP($H41,areaCercaPuntiClassificaSquadra,3,FALSE),-1)=IFERROR(VLOOKUP($AA41,areaCercaPuntiClassificaSquadra,3,FALSE),-2)),SUMIFS(Dati!$B$2:$B$451,Dati!$A$2:$A$451,$H41,Dati!$H$2:$H$451,$AA41)+SUMIFS(Dati!$I$2:$I$451,Dati!$H$2:$H$451,$H41,Dati!$A$2:$A$451,$AA41),"-")</f>
        <v/>
      </c>
      <c r="AN41" s="22">
        <f>IF(AND($H41&lt;&gt;"",$AB41&lt;&gt;"",$H41&lt;&gt;$AB41,IFERROR(VLOOKUP($H41,areaCercaPuntiClassificaSquadra,3,FALSE),-1)=IFERROR(VLOOKUP($AB41,areaCercaPuntiClassificaSquadra,3,FALSE),-2)),SUMIFS(Dati!$B$2:$B$451,Dati!$A$2:$A$451,$H41,Dati!$H$2:$H$451,$AB41)+SUMIFS(Dati!$I$2:$I$451,Dati!$H$2:$H$451,$H41,Dati!$A$2:$A$451,$AB41),"-")</f>
        <v/>
      </c>
      <c r="AO41" s="22">
        <f>IF(AND($H41&lt;&gt;"",$AC41&lt;&gt;"",$H41&lt;&gt;$AC41,IFERROR(VLOOKUP($H41,areaCercaPuntiClassificaSquadra,3,FALSE),-1)=IFERROR(VLOOKUP($AC41,areaCercaPuntiClassificaSquadra,3,FALSE),-2)),SUMIFS(Dati!$B$2:$B$451,Dati!$A$2:$A$451,$H41,Dati!$H$2:$H$451,$AC41)+SUMIFS(Dati!$I$2:$I$451,Dati!$H$2:$H$451,$H41,Dati!$A$2:$A$451,$AC41),"-")</f>
        <v/>
      </c>
      <c r="AP41" s="22">
        <f>IF(AND($H41&lt;&gt;"",$AD41&lt;&gt;"",$H41&lt;&gt;$AD41,IFERROR(VLOOKUP($H41,areaCercaPuntiClassificaSquadra,3,FALSE),-1)=IFERROR(VLOOKUP($AD41,areaCercaPuntiClassificaSquadra,3,FALSE),-2)),SUMIFS(Dati!$B$2:$B$451,Dati!$A$2:$A$451,$H41,Dati!$H$2:$H$451,$AD41)+SUMIFS(Dati!$I$2:$I$451,Dati!$H$2:$H$451,$H41,Dati!$A$2:$A$451,$AD41),"-")</f>
        <v/>
      </c>
      <c r="AQ41" s="22">
        <f>IF(AND($H41&lt;&gt;"",$AE41&lt;&gt;"",$H41&lt;&gt;$AE41,IFERROR(VLOOKUP($H41,areaCercaPuntiClassificaSquadra,3,FALSE),-1)=IFERROR(VLOOKUP($AE41,areaCercaPuntiClassificaSquadra,3,FALSE),-2)),SUMIFS(Dati!$B$2:$B$451,Dati!$A$2:$A$451,$H41,Dati!$H$2:$H$451,$AE41)+SUMIFS(Dati!$I$2:$I$451,Dati!$H$2:$H$451,$H41,Dati!$A$2:$A$451,$AE41),"-")</f>
        <v/>
      </c>
      <c r="AR41" s="22">
        <f>IF(AND($H41&lt;&gt;"",$AF41&lt;&gt;"",$H41&lt;&gt;$AF41,IFERROR(VLOOKUP($H41,areaCercaPuntiClassificaSquadra,3,FALSE),-1)=IFERROR(VLOOKUP($AF41,areaCercaPuntiClassificaSquadra,3,FALSE),-2)),SUMIFS(Dati!$B$2:$B$451,Dati!$A$2:$A$451,$H41,Dati!$H$2:$H$451,$AF41)+SUMIFS(Dati!$I$2:$I$451,Dati!$H$2:$H$451,$H41,Dati!$A$2:$A$451,$AF41),"-")</f>
        <v/>
      </c>
      <c r="AS41" s="22">
        <f>IF(AND($H41&lt;&gt;"",$AG41&lt;&gt;"",$H41&lt;&gt;$AG41,IFERROR(VLOOKUP($H41,areaCercaPuntiClassificaSquadra,3,FALSE),-1)=IFERROR(VLOOKUP($AG41,areaCercaPuntiClassificaSquadra,3,FALSE),-2)),SUMIFS(Dati!$B$2:$B$451,Dati!$A$2:$A$451,$H41,Dati!$H$2:$H$451,$AG41)+SUMIFS(Dati!$I$2:$I$451,Dati!$H$2:$H$451,$H41,Dati!$A$2:$A$451,$AG41),"-")</f>
        <v/>
      </c>
      <c r="AT41" s="22">
        <f>IF(AND($H41&lt;&gt;"",$AH41&lt;&gt;"",$H41&lt;&gt;$AH41,IFERROR(VLOOKUP($H41,areaCercaPuntiClassificaSquadra,3,FALSE),-1)=IFERROR(VLOOKUP($AH41,areaCercaPuntiClassificaSquadra,3,FALSE),-2)),SUMIFS(Dati!$B$2:$B$451,Dati!$A$2:$A$451,$H41,Dati!$H$2:$H$451,$AH41)+SUMIFS(Dati!$I$2:$I$451,Dati!$H$2:$H$451,$H41,Dati!$A$2:$A$451,$AH41),"-")</f>
        <v/>
      </c>
      <c r="AV41" s="21">
        <f>$C41</f>
        <v/>
      </c>
      <c r="AW41" s="22">
        <f>IF(AND($H41&lt;&gt;"",$Y41&lt;&gt;"",$H41&lt;&gt;$Y41,IFERROR(VLOOKUP($H41,areaCercaPuntiClassificaSquadra,3,FALSE),-1)=IFERROR(VLOOKUP($Y41,areaCercaPuntiClassificaSquadra,3,FALSE),-2)),SUMIFS(Dati!$D$2:$D$451,Dati!$A$2:$A$451,$H41,Dati!$H$2:$H$451,$Y41)+SUMIFS(Dati!$K$2:$K$451,Dati!$H$2:$H$451,$H41,Dati!$A$2:$A$451,$Y41)+SUMIFS(Dati!$C$2:$C$451,Dati!$A$2:$A$451,$H41,Dati!$H$2:$H$451,$Y41)+SUMIFS(Dati!$J$2:$J$451,Dati!$H$2:$H$451,$H41,Dati!$A$2:$A$451,$Y41),"-")</f>
        <v/>
      </c>
      <c r="AX41" s="22">
        <f>IF(AND($H41&lt;&gt;"",$Z41&lt;&gt;"",$H41&lt;&gt;$Z41,IFERROR(VLOOKUP($H41,areaCercaPuntiClassificaSquadra,3,FALSE),-1)=IFERROR(VLOOKUP($Z41,areaCercaPuntiClassificaSquadra,3,FALSE),-2)),SUMIFS(Dati!$D$2:$D$451,Dati!$A$2:$A$451,$H41,Dati!$H$2:$H$451,$Z41)+SUMIFS(Dati!$K$2:$K$451,Dati!$H$2:$H$451,$H41,Dati!$A$2:$A$451,$Z41)+SUMIFS(Dati!$C$2:$C$451,Dati!$A$2:$A$451,$H41,Dati!$H$2:$H$451,$Z41)+SUMIFS(Dati!$J$2:$J$451,Dati!$H$2:$H$451,$H41,Dati!$A$2:$A$451,$Z41),"-")</f>
        <v/>
      </c>
      <c r="AY41" s="22">
        <f>IF(AND($H41&lt;&gt;"",$AA41&lt;&gt;"",$H41&lt;&gt;$AA41,IFERROR(VLOOKUP($H41,areaCercaPuntiClassificaSquadra,3,FALSE),-1)=IFERROR(VLOOKUP($AA41,areaCercaPuntiClassificaSquadra,3,FALSE),-2)),SUMIFS(Dati!$D$2:$D$451,Dati!$A$2:$A$451,$H41,Dati!$H$2:$H$451,$AA41)+SUMIFS(Dati!$K$2:$K$451,Dati!$H$2:$H$451,$H41,Dati!$A$2:$A$451,$AA41)+SUMIFS(Dati!$C$2:$C$451,Dati!$A$2:$A$451,$H41,Dati!$H$2:$H$451,$AA41)+SUMIFS(Dati!$J$2:$J$451,Dati!$H$2:$H$451,$H41,Dati!$A$2:$A$451,$AA41),"-")</f>
        <v/>
      </c>
      <c r="AZ41" s="22">
        <f>IF(AND($H41&lt;&gt;"",$AB41&lt;&gt;"",$H41&lt;&gt;$AB41,IFERROR(VLOOKUP($H41,areaCercaPuntiClassificaSquadra,3,FALSE),-1)=IFERROR(VLOOKUP($AB41,areaCercaPuntiClassificaSquadra,3,FALSE),-2)),SUMIFS(Dati!$D$2:$D$451,Dati!$A$2:$A$451,$H41,Dati!$H$2:$H$451,$AB41)+SUMIFS(Dati!$K$2:$K$451,Dati!$H$2:$H$451,$H41,Dati!$A$2:$A$451,$AB41)+SUMIFS(Dati!$C$2:$C$451,Dati!$A$2:$A$451,$H41,Dati!$H$2:$H$451,$AB41)+SUMIFS(Dati!$J$2:$J$451,Dati!$H$2:$H$451,$H41,Dati!$A$2:$A$451,$AB41),"-")</f>
        <v/>
      </c>
      <c r="BA41" s="22">
        <f>IF(AND($H41&lt;&gt;"",$AC41&lt;&gt;"",$H41&lt;&gt;$AC41,IFERROR(VLOOKUP($H41,areaCercaPuntiClassificaSquadra,3,FALSE),-1)=IFERROR(VLOOKUP($AC41,areaCercaPuntiClassificaSquadra,3,FALSE),-2)),SUMIFS(Dati!$D$2:$D$451,Dati!$A$2:$A$451,$H41,Dati!$H$2:$H$451,$AC41)+SUMIFS(Dati!$K$2:$K$451,Dati!$H$2:$H$451,$H41,Dati!$A$2:$A$451,$AC41)+SUMIFS(Dati!$C$2:$C$451,Dati!$A$2:$A$451,$H41,Dati!$H$2:$H$451,$AC41)+SUMIFS(Dati!$J$2:$J$451,Dati!$H$2:$H$451,$H41,Dati!$A$2:$A$451,$AC41),"-")</f>
        <v/>
      </c>
      <c r="BB41" s="22">
        <f>IF(AND($H41&lt;&gt;"",$AD41&lt;&gt;"",$H41&lt;&gt;$AD41,IFERROR(VLOOKUP($H41,areaCercaPuntiClassificaSquadra,3,FALSE),-1)=IFERROR(VLOOKUP($AD41,areaCercaPuntiClassificaSquadra,3,FALSE),-2)),SUMIFS(Dati!$D$2:$D$451,Dati!$A$2:$A$451,$H41,Dati!$H$2:$H$451,$AD41)+SUMIFS(Dati!$K$2:$K$451,Dati!$H$2:$H$451,$H41,Dati!$A$2:$A$451,$AD41)+SUMIFS(Dati!$C$2:$C$451,Dati!$A$2:$A$451,$H41,Dati!$H$2:$H$451,$AD41)+SUMIFS(Dati!$J$2:$J$451,Dati!$H$2:$H$451,$H41,Dati!$A$2:$A$451,$AD41),"-")</f>
        <v/>
      </c>
      <c r="BC41" s="22">
        <f>IF(AND($H41&lt;&gt;"",$AE41&lt;&gt;"",$H41&lt;&gt;$AE41,IFERROR(VLOOKUP($H41,areaCercaPuntiClassificaSquadra,3,FALSE),-1)=IFERROR(VLOOKUP($AE41,areaCercaPuntiClassificaSquadra,3,FALSE),-2)),SUMIFS(Dati!$D$2:$D$451,Dati!$A$2:$A$451,$H41,Dati!$H$2:$H$451,$AE41)+SUMIFS(Dati!$K$2:$K$451,Dati!$H$2:$H$451,$H41,Dati!$A$2:$A$451,$AE41)+SUMIFS(Dati!$C$2:$C$451,Dati!$A$2:$A$451,$H41,Dati!$H$2:$H$451,$AE41)+SUMIFS(Dati!$J$2:$J$451,Dati!$H$2:$H$451,$H41,Dati!$A$2:$A$451,$AE41),"-")</f>
        <v/>
      </c>
      <c r="BD41" s="22">
        <f>IF(AND($H41&lt;&gt;"",$AF41&lt;&gt;"",$H41&lt;&gt;$AF41,IFERROR(VLOOKUP($H41,areaCercaPuntiClassificaSquadra,3,FALSE),-1)=IFERROR(VLOOKUP($AF41,areaCercaPuntiClassificaSquadra,3,FALSE),-2)),SUMIFS(Dati!$D$2:$D$451,Dati!$A$2:$A$451,$H41,Dati!$H$2:$H$451,$AF41)+SUMIFS(Dati!$K$2:$K$451,Dati!$H$2:$H$451,$H41,Dati!$A$2:$A$451,$AF41)+SUMIFS(Dati!$C$2:$C$451,Dati!$A$2:$A$451,$H41,Dati!$H$2:$H$451,$AF41)+SUMIFS(Dati!$J$2:$J$451,Dati!$H$2:$H$451,$H41,Dati!$A$2:$A$451,$AF41),"-")</f>
        <v/>
      </c>
      <c r="BE41" s="22">
        <f>IF(AND($H41&lt;&gt;"",$AG41&lt;&gt;"",$H41&lt;&gt;$AG41,IFERROR(VLOOKUP($H41,areaCercaPuntiClassificaSquadra,3,FALSE),-1)=IFERROR(VLOOKUP($AG41,areaCercaPuntiClassificaSquadra,3,FALSE),-2)),SUMIFS(Dati!$D$2:$D$451,Dati!$A$2:$A$451,$H41,Dati!$H$2:$H$451,$AG41)+SUMIFS(Dati!$K$2:$K$451,Dati!$H$2:$H$451,$H41,Dati!$A$2:$A$451,$AG41)+SUMIFS(Dati!$C$2:$C$451,Dati!$A$2:$A$451,$H41,Dati!$H$2:$H$451,$AG41)+SUMIFS(Dati!$J$2:$J$451,Dati!$H$2:$H$451,$H41,Dati!$A$2:$A$451,$AG41),"-")</f>
        <v/>
      </c>
      <c r="BF41" s="22">
        <f>IF(AND($H41&lt;&gt;"",$AH41&lt;&gt;"",$H41&lt;&gt;$AH41,IFERROR(VLOOKUP($H41,areaCercaPuntiClassificaSquadra,3,FALSE),-1)=IFERROR(VLOOKUP($AH41,areaCercaPuntiClassificaSquadra,3,FALSE),-2)),SUMIFS(Dati!$D$2:$D$451,Dati!$A$2:$A$451,$H41,Dati!$H$2:$H$451,$AH41)+SUMIFS(Dati!$K$2:$K$451,Dati!$H$2:$H$451,$H41,Dati!$A$2:$A$451,$AH41)+SUMIFS(Dati!$C$2:$C$451,Dati!$A$2:$A$451,$H41,Dati!$H$2:$H$451,$AH41)+SUMIFS(Dati!$J$2:$J$451,Dati!$H$2:$H$451,$H41,Dati!$A$2:$A$451,$AH41),"-")</f>
        <v/>
      </c>
      <c r="BH41" s="21">
        <f>$C41</f>
        <v/>
      </c>
      <c r="BI41" s="22">
        <f>IF(AND($H41&lt;&gt;"",$Y41&lt;&gt;"",$H41&lt;&gt;$Y41,IFERROR(VLOOKUP($H41,areaCercaPuntiClassificaSquadra,3,FALSE),-1)=IFERROR(VLOOKUP($Y41,areaCercaPuntiClassificaSquadra,3,FALSE),-2)),SUMIFS(Dati!$E$2:$E$451,Dati!$A$2:$A$451,$H41,Dati!$H$2:$H$451,$Y41)+SUMIFS(Dati!$L$2:$L$451,Dati!$H$2:$H$451,$H41,Dati!$A$2:$A$451,$Y41),"-")</f>
        <v/>
      </c>
      <c r="BJ41" s="22">
        <f>IF(AND($H41&lt;&gt;"",$Z41&lt;&gt;"",$H41&lt;&gt;$Z41,IFERROR(VLOOKUP($H41,areaCercaPuntiClassificaSquadra,3,FALSE),-1)=IFERROR(VLOOKUP($Z41,areaCercaPuntiClassificaSquadra,3,FALSE),-2)),SUMIFS(Dati!$E$2:$E$451,Dati!$A$2:$A$451,$H41,Dati!$H$2:$H$451,$Z41)+SUMIFS(Dati!$L$2:$L$451,Dati!$H$2:$H$451,$H41,Dati!$A$2:$A$451,$Z41),"-")</f>
        <v/>
      </c>
      <c r="BK41" s="22">
        <f>IF(AND($H41&lt;&gt;"",$AA41&lt;&gt;"",$H41&lt;&gt;$AA41,IFERROR(VLOOKUP($H41,areaCercaPuntiClassificaSquadra,3,FALSE),-1)=IFERROR(VLOOKUP($AA41,areaCercaPuntiClassificaSquadra,3,FALSE),-2)),SUMIFS(Dati!$E$2:$E$451,Dati!$A$2:$A$451,$H41,Dati!$H$2:$H$451,$AA41)+SUMIFS(Dati!$L$2:$L$451,Dati!$H$2:$H$451,$H41,Dati!$A$2:$A$451,$AA41),"-")</f>
        <v/>
      </c>
      <c r="BL41" s="22">
        <f>IF(AND($H41&lt;&gt;"",$AB41&lt;&gt;"",$H41&lt;&gt;$AB41,IFERROR(VLOOKUP($H41,areaCercaPuntiClassificaSquadra,3,FALSE),-1)=IFERROR(VLOOKUP($AB41,areaCercaPuntiClassificaSquadra,3,FALSE),-2)),SUMIFS(Dati!$E$2:$E$451,Dati!$A$2:$A$451,$H41,Dati!$H$2:$H$451,$AB41)+SUMIFS(Dati!$L$2:$L$451,Dati!$H$2:$H$451,$H41,Dati!$A$2:$A$451,$AB41),"-")</f>
        <v/>
      </c>
      <c r="BM41" s="22">
        <f>IF(AND($H41&lt;&gt;"",$AC41&lt;&gt;"",$H41&lt;&gt;$AC41,IFERROR(VLOOKUP($H41,areaCercaPuntiClassificaSquadra,3,FALSE),-1)=IFERROR(VLOOKUP($AC41,areaCercaPuntiClassificaSquadra,3,FALSE),-2)),SUMIFS(Dati!$E$2:$E$451,Dati!$A$2:$A$451,$H41,Dati!$H$2:$H$451,$AC41)+SUMIFS(Dati!$L$2:$L$451,Dati!$H$2:$H$451,$H41,Dati!$A$2:$A$451,$AC41),"-")</f>
        <v/>
      </c>
      <c r="BN41" s="22">
        <f>IF(AND($H41&lt;&gt;"",$AD41&lt;&gt;"",$H41&lt;&gt;$AD41,IFERROR(VLOOKUP($H41,areaCercaPuntiClassificaSquadra,3,FALSE),-1)=IFERROR(VLOOKUP($AD41,areaCercaPuntiClassificaSquadra,3,FALSE),-2)),SUMIFS(Dati!$E$2:$E$451,Dati!$A$2:$A$451,$H41,Dati!$H$2:$H$451,$AD41)+SUMIFS(Dati!$L$2:$L$451,Dati!$H$2:$H$451,$H41,Dati!$A$2:$A$451,$AD41),"-")</f>
        <v/>
      </c>
      <c r="BO41" s="22">
        <f>IF(AND($H41&lt;&gt;"",$AE41&lt;&gt;"",$H41&lt;&gt;$AE41,IFERROR(VLOOKUP($H41,areaCercaPuntiClassificaSquadra,3,FALSE),-1)=IFERROR(VLOOKUP($AE41,areaCercaPuntiClassificaSquadra,3,FALSE),-2)),SUMIFS(Dati!$E$2:$E$451,Dati!$A$2:$A$451,$H41,Dati!$H$2:$H$451,$AE41)+SUMIFS(Dati!$L$2:$L$451,Dati!$H$2:$H$451,$H41,Dati!$A$2:$A$451,$AE41),"-")</f>
        <v/>
      </c>
      <c r="BP41" s="22">
        <f>IF(AND($H41&lt;&gt;"",$AF41&lt;&gt;"",$H41&lt;&gt;$AF41,IFERROR(VLOOKUP($H41,areaCercaPuntiClassificaSquadra,3,FALSE),-1)=IFERROR(VLOOKUP($AF41,areaCercaPuntiClassificaSquadra,3,FALSE),-2)),SUMIFS(Dati!$E$2:$E$451,Dati!$A$2:$A$451,$H41,Dati!$H$2:$H$451,$AF41)+SUMIFS(Dati!$L$2:$L$451,Dati!$H$2:$H$451,$H41,Dati!$A$2:$A$451,$AF41),"-")</f>
        <v/>
      </c>
      <c r="BQ41" s="22">
        <f>IF(AND($H41&lt;&gt;"",$AG41&lt;&gt;"",$H41&lt;&gt;$AG41,IFERROR(VLOOKUP($H41,areaCercaPuntiClassificaSquadra,3,FALSE),-1)=IFERROR(VLOOKUP($AG41,areaCercaPuntiClassificaSquadra,3,FALSE),-2)),SUMIFS(Dati!$E$2:$E$451,Dati!$A$2:$A$451,$H41,Dati!$H$2:$H$451,$AG41)+SUMIFS(Dati!$L$2:$L$451,Dati!$H$2:$H$451,$H41,Dati!$A$2:$A$451,$AG41),"-")</f>
        <v/>
      </c>
      <c r="BR41" s="22">
        <f>IF(AND($H41&lt;&gt;"",$AH41&lt;&gt;"",$H41&lt;&gt;$AH41,IFERROR(VLOOKUP($H41,areaCercaPuntiClassificaSquadra,3,FALSE),-1)=IFERROR(VLOOKUP($AH41,areaCercaPuntiClassificaSquadra,3,FALSE),-2)),SUMIFS(Dati!$E$2:$E$451,Dati!$A$2:$A$451,$H41,Dati!$H$2:$H$451,$AH41)+SUMIFS(Dati!$L$2:$L$451,Dati!$H$2:$H$451,$H41,Dati!$A$2:$A$451,$AH41),"-")</f>
        <v/>
      </c>
      <c r="BT41" s="21">
        <f>$C41</f>
        <v/>
      </c>
      <c r="BU41" s="22">
        <f>IF(AND($H41&lt;&gt;"",$Y41&lt;&gt;"",$H41&lt;&gt;$Y41,IFERROR(VLOOKUP($H41,areaCercaPuntiClassificaSquadra,3,FALSE),-1)=IFERROR(VLOOKUP($Y41,areaCercaPuntiClassificaSquadra,3,FALSE),-2)),SUMIFS(Dati!$F$2:$F$451,Dati!$A$2:$A$451,$H41,Dati!$H$2:$H$451,$Y41)+SUMIFS(Dati!$M$2:$M$451,Dati!$H$2:$H$451,$H41,Dati!$A$2:$A$451,$Y41),"-")</f>
        <v/>
      </c>
      <c r="BV41" s="22">
        <f>IF(AND($H41&lt;&gt;"",$Z41&lt;&gt;"",$H41&lt;&gt;$Z41,IFERROR(VLOOKUP($H41,areaCercaPuntiClassificaSquadra,3,FALSE),-1)=IFERROR(VLOOKUP($Z41,areaCercaPuntiClassificaSquadra,3,FALSE),-2)),SUMIFS(Dati!$F$2:$F$451,Dati!$A$2:$A$451,$H41,Dati!$H$2:$H$451,$Z41)+SUMIFS(Dati!$M$2:$M$451,Dati!$H$2:$H$451,$H41,Dati!$A$2:$A$451,$Z41),"-")</f>
        <v/>
      </c>
      <c r="BW41" s="22">
        <f>IF(AND($H41&lt;&gt;"",$AA41&lt;&gt;"",$H41&lt;&gt;$AA41,IFERROR(VLOOKUP($H41,areaCercaPuntiClassificaSquadra,3,FALSE),-1)=IFERROR(VLOOKUP($AA41,areaCercaPuntiClassificaSquadra,3,FALSE),-2)),SUMIFS(Dati!$F$2:$F$451,Dati!$A$2:$A$451,$H41,Dati!$H$2:$H$451,$AA41)+SUMIFS(Dati!$M$2:$M$451,Dati!$H$2:$H$451,$H41,Dati!$A$2:$A$451,$AA41),"-")</f>
        <v/>
      </c>
      <c r="BX41" s="22">
        <f>IF(AND($H41&lt;&gt;"",$AB41&lt;&gt;"",$H41&lt;&gt;$AB41,IFERROR(VLOOKUP($H41,areaCercaPuntiClassificaSquadra,3,FALSE),-1)=IFERROR(VLOOKUP($AB41,areaCercaPuntiClassificaSquadra,3,FALSE),-2)),SUMIFS(Dati!$F$2:$F$451,Dati!$A$2:$A$451,$H41,Dati!$H$2:$H$451,$AB41)+SUMIFS(Dati!$M$2:$M$451,Dati!$H$2:$H$451,$H41,Dati!$A$2:$A$451,$AB41),"-")</f>
        <v/>
      </c>
      <c r="BY41" s="22">
        <f>IF(AND($H41&lt;&gt;"",$AC41&lt;&gt;"",$H41&lt;&gt;$AC41,IFERROR(VLOOKUP($H41,areaCercaPuntiClassificaSquadra,3,FALSE),-1)=IFERROR(VLOOKUP($AC41,areaCercaPuntiClassificaSquadra,3,FALSE),-2)),SUMIFS(Dati!$F$2:$F$451,Dati!$A$2:$A$451,$H41,Dati!$H$2:$H$451,$AC41)+SUMIFS(Dati!$M$2:$M$451,Dati!$H$2:$H$451,$H41,Dati!$A$2:$A$451,$AC41),"-")</f>
        <v/>
      </c>
      <c r="BZ41" s="22">
        <f>IF(AND($H41&lt;&gt;"",$AD41&lt;&gt;"",$H41&lt;&gt;$AD41,IFERROR(VLOOKUP($H41,areaCercaPuntiClassificaSquadra,3,FALSE),-1)=IFERROR(VLOOKUP($AD41,areaCercaPuntiClassificaSquadra,3,FALSE),-2)),SUMIFS(Dati!$F$2:$F$451,Dati!$A$2:$A$451,$H41,Dati!$H$2:$H$451,$AD41)+SUMIFS(Dati!$M$2:$M$451,Dati!$H$2:$H$451,$H41,Dati!$A$2:$A$451,$AD41),"-")</f>
        <v/>
      </c>
      <c r="CA41" s="22">
        <f>IF(AND($H41&lt;&gt;"",$AE41&lt;&gt;"",$H41&lt;&gt;$AE41,IFERROR(VLOOKUP($H41,areaCercaPuntiClassificaSquadra,3,FALSE),-1)=IFERROR(VLOOKUP($AE41,areaCercaPuntiClassificaSquadra,3,FALSE),-2)),SUMIFS(Dati!$F$2:$F$451,Dati!$A$2:$A$451,$H41,Dati!$H$2:$H$451,$AE41)+SUMIFS(Dati!$M$2:$M$451,Dati!$H$2:$H$451,$H41,Dati!$A$2:$A$451,$AE41),"-")</f>
        <v/>
      </c>
      <c r="CB41" s="22">
        <f>IF(AND($H41&lt;&gt;"",$AF41&lt;&gt;"",$H41&lt;&gt;$AF41,IFERROR(VLOOKUP($H41,areaCercaPuntiClassificaSquadra,3,FALSE),-1)=IFERROR(VLOOKUP($AF41,areaCercaPuntiClassificaSquadra,3,FALSE),-2)),SUMIFS(Dati!$F$2:$F$451,Dati!$A$2:$A$451,$H41,Dati!$H$2:$H$451,$AF41)+SUMIFS(Dati!$M$2:$M$451,Dati!$H$2:$H$451,$H41,Dati!$A$2:$A$451,$AF41),"-")</f>
        <v/>
      </c>
      <c r="CC41" s="22">
        <f>IF(AND($H41&lt;&gt;"",$AG41&lt;&gt;"",$H41&lt;&gt;$AG41,IFERROR(VLOOKUP($H41,areaCercaPuntiClassificaSquadra,3,FALSE),-1)=IFERROR(VLOOKUP($AG41,areaCercaPuntiClassificaSquadra,3,FALSE),-2)),SUMIFS(Dati!$F$2:$F$451,Dati!$A$2:$A$451,$H41,Dati!$H$2:$H$451,$AG41)+SUMIFS(Dati!$M$2:$M$451,Dati!$H$2:$H$451,$H41,Dati!$A$2:$A$451,$AG41),"-")</f>
        <v/>
      </c>
      <c r="CD41" s="22">
        <f>IF(AND($H41&lt;&gt;"",$AH41&lt;&gt;"",$H41&lt;&gt;$AH41,IFERROR(VLOOKUP($H41,areaCercaPuntiClassificaSquadra,3,FALSE),-1)=IFERROR(VLOOKUP($AH41,areaCercaPuntiClassificaSquadra,3,FALSE),-2)),SUMIFS(Dati!$F$2:$F$451,Dati!$A$2:$A$451,$H41,Dati!$H$2:$H$451,$AH41)+SUMIFS(Dati!$M$2:$M$451,Dati!$H$2:$H$451,$H41,Dati!$A$2:$A$451,$AH41),"-")</f>
        <v/>
      </c>
      <c r="CF41" s="22">
        <f>IF($C41="","",SUM(AK41:AT41))</f>
        <v/>
      </c>
    </row>
    <row r="42">
      <c r="B42" s="12" t="inlineStr">
        <is>
          <t>C09</t>
        </is>
      </c>
      <c r="C42" s="13" t="n"/>
      <c r="D42" s="14" t="n"/>
      <c r="E42" s="25" t="inlineStr">
        <is>
          <t>C</t>
        </is>
      </c>
      <c r="G42" s="26">
        <f>IF($C42="","",$E42&amp;(COUNTIFS(I$14:I$113,"&gt;"&amp;I42,E$14:E$113,"="&amp;E42,C$14:C$113,"&lt;&gt;")+COUNTIFS(I$14:I$113,"="&amp;I42,H$14:H$113,"&lt;="&amp;H42,E$14:E$113,"="&amp;E42,C$14:C$113,"&lt;&gt;")))</f>
        <v/>
      </c>
      <c r="H42" s="17">
        <f>IF($C42="","",IFERROR(LEFT($C42,FIND("-",$C42)-1),$C42))</f>
        <v/>
      </c>
      <c r="I42" s="12">
        <f>TEXT(1000000000+J42,"|0000000000|")&amp;TEXT(SUM(AK42:AT42),"0000000000|")&amp;IF(SUM(BU42:CD42)=0,"0000000000|",TEXT(ROUND(SUM(BI42:BR42)/SUM(BU42:CD42),4)*100000,"0000000000|"))&amp;IF(P42=0,"0000000000|",TEXT(ROUND(O42/P42,4)*100000,"0000000000|"))</f>
        <v/>
      </c>
      <c r="J42" s="26">
        <f>L42*constPuntiVittoria+M42*constPuntiSconfitta+N42*constPuntiForfait+IF(D42="",0,D42)</f>
        <v/>
      </c>
      <c r="K42" s="12">
        <f>SUM(L42:N42)</f>
        <v/>
      </c>
      <c r="L42" s="12">
        <f>IF($H42="",0,SUMIF(Dati!$A$2:$A$451,$H42,Dati!$B$2:$B$451)+SUMIF(Dati!$H$2:$H$451,$H42,Dati!$I$2:$I$451))</f>
        <v/>
      </c>
      <c r="M42" s="12">
        <f>IF($H42="",0,SUMIF(Dati!$A$2:$A$451,$H42,Dati!$D$2:$D$451)+SUMIF(Dati!$H$2:$H$451,$H42,Dati!$K$2:$K$451))</f>
        <v/>
      </c>
      <c r="N42" s="12">
        <f>IF($H42="",0,SUMIF(Dati!$A$2:$A$451,$H42,Dati!$C$2:$C$451)+SUMIF(Dati!$H$2:$H$451,$H42,Dati!$J$2:$J$451))</f>
        <v/>
      </c>
      <c r="O42" s="12">
        <f>IF($H42="",0,SUMIF(Dati!$A$2:$A$451,$H42,Dati!$E$2:$E$451)+SUMIF(Dati!$H$2:$H$451,$H42,Dati!$L$2:$L$451))</f>
        <v/>
      </c>
      <c r="P42" s="12">
        <f>IF($H42="",0,SUMIF(Dati!$A$2:$A$451,$H42,Dati!$F$2:$F$451)+SUMIF(Dati!$H$2:$H$451,$H42,Dati!$M$2:$M$451))</f>
        <v/>
      </c>
      <c r="Q42" s="12">
        <f>IF($H42="",0,SUMIF(Dati!$A$2:$A$451,$H42,Dati!$G$2:$G$451)+SUMIF(Dati!$H$2:$H$451,$H42,Dati!$N$2:$N$451))</f>
        <v/>
      </c>
      <c r="R42" s="12">
        <f>IF(K42=0,0,ROUND(O42/K42,2))</f>
        <v/>
      </c>
      <c r="S42" s="12">
        <f>IF(K42=0,0,ROUND(P42/K42,2))</f>
        <v/>
      </c>
      <c r="T42" s="12">
        <f>IF(K42=0,0,ROUND(Q42/K42,2))</f>
        <v/>
      </c>
      <c r="U42" s="12">
        <f>IF(COUNTIFS($E$14:$E$113,$E42,$J$14:$J$113,$J42,$C$14:$C$113,"&lt;&gt;")&lt;=1,"-",SUM(AK42:AT42)&amp;"-"&amp;SUM(AW42:BF42))</f>
        <v/>
      </c>
      <c r="V42" s="18">
        <f>IF(COUNTIFS($E$14:$E$113,$E42,$J$14:$J$113,$J42,$C$14:$C$113,"&lt;&gt;",$CF$14:$CF$113,$CF42)&lt;=1,"-",IF(SUM(BU42:CD42)=0,0,ROUND(SUM(BI42:BR42)/SUM(BU42:CD42),3)))</f>
        <v/>
      </c>
      <c r="W42" s="18">
        <f>IF(COUNTIFS($E$14:$E$113,$E42,$J$14:$J$113,$J42,$C$14:$C$113,"&lt;&gt;",$CF$14:$CF$113,$CF42,$V$14:$V$113,$V42)&lt;=1,"-",IF(P42=0,0,ROUND(O42/P42,3)))</f>
        <v/>
      </c>
      <c r="X42" s="19">
        <f>IF($C42="","",$E42&amp;"#"&amp;COUNTIFS($E$14:$E42,$E42,$C$14:$C42,"&lt;&gt;"))</f>
        <v/>
      </c>
      <c r="Y42" s="20">
        <f>IFERROR(INDEX($H$14:$H$113,MATCH($E42&amp;"#1",$X$14:$X$113,0)),"")</f>
        <v/>
      </c>
      <c r="Z42" s="20">
        <f>IFERROR(INDEX($H$14:$H$113,MATCH($E42&amp;"#2",$X$14:$X$113,0)),"")</f>
        <v/>
      </c>
      <c r="AA42" s="20">
        <f>IFERROR(INDEX($H$14:$H$113,MATCH($E42&amp;"#3",$X$14:$X$113,0)),"")</f>
        <v/>
      </c>
      <c r="AB42" s="20">
        <f>IFERROR(INDEX($H$14:$H$113,MATCH($E42&amp;"#4",$X$14:$X$113,0)),"")</f>
        <v/>
      </c>
      <c r="AC42" s="20">
        <f>IFERROR(INDEX($H$14:$H$113,MATCH($E42&amp;"#5",$X$14:$X$113,0)),"")</f>
        <v/>
      </c>
      <c r="AD42" s="20">
        <f>IFERROR(INDEX($H$14:$H$113,MATCH($E42&amp;"#6",$X$14:$X$113,0)),"")</f>
        <v/>
      </c>
      <c r="AE42" s="20">
        <f>IFERROR(INDEX($H$14:$H$113,MATCH($E42&amp;"#7",$X$14:$X$113,0)),"")</f>
        <v/>
      </c>
      <c r="AF42" s="20">
        <f>IFERROR(INDEX($H$14:$H$113,MATCH($E42&amp;"#8",$X$14:$X$113,0)),"")</f>
        <v/>
      </c>
      <c r="AG42" s="20">
        <f>IFERROR(INDEX($H$14:$H$113,MATCH($E42&amp;"#9",$X$14:$X$113,0)),"")</f>
        <v/>
      </c>
      <c r="AH42" s="20">
        <f>IFERROR(INDEX($H$14:$H$113,MATCH($E42&amp;"#10",$X$14:$X$113,0)),"")</f>
        <v/>
      </c>
      <c r="AJ42" s="21">
        <f>$C42</f>
        <v/>
      </c>
      <c r="AK42" s="22">
        <f>IF(AND($H42&lt;&gt;"",$Y42&lt;&gt;"",$H42&lt;&gt;$Y42,IFERROR(VLOOKUP($H42,areaCercaPuntiClassificaSquadra,3,FALSE),-1)=IFERROR(VLOOKUP($Y42,areaCercaPuntiClassificaSquadra,3,FALSE),-2)),SUMIFS(Dati!$B$2:$B$451,Dati!$A$2:$A$451,$H42,Dati!$H$2:$H$451,$Y42)+SUMIFS(Dati!$I$2:$I$451,Dati!$H$2:$H$451,$H42,Dati!$A$2:$A$451,$Y42),"-")</f>
        <v/>
      </c>
      <c r="AL42" s="22">
        <f>IF(AND($H42&lt;&gt;"",$Z42&lt;&gt;"",$H42&lt;&gt;$Z42,IFERROR(VLOOKUP($H42,areaCercaPuntiClassificaSquadra,3,FALSE),-1)=IFERROR(VLOOKUP($Z42,areaCercaPuntiClassificaSquadra,3,FALSE),-2)),SUMIFS(Dati!$B$2:$B$451,Dati!$A$2:$A$451,$H42,Dati!$H$2:$H$451,$Z42)+SUMIFS(Dati!$I$2:$I$451,Dati!$H$2:$H$451,$H42,Dati!$A$2:$A$451,$Z42),"-")</f>
        <v/>
      </c>
      <c r="AM42" s="22">
        <f>IF(AND($H42&lt;&gt;"",$AA42&lt;&gt;"",$H42&lt;&gt;$AA42,IFERROR(VLOOKUP($H42,areaCercaPuntiClassificaSquadra,3,FALSE),-1)=IFERROR(VLOOKUP($AA42,areaCercaPuntiClassificaSquadra,3,FALSE),-2)),SUMIFS(Dati!$B$2:$B$451,Dati!$A$2:$A$451,$H42,Dati!$H$2:$H$451,$AA42)+SUMIFS(Dati!$I$2:$I$451,Dati!$H$2:$H$451,$H42,Dati!$A$2:$A$451,$AA42),"-")</f>
        <v/>
      </c>
      <c r="AN42" s="22">
        <f>IF(AND($H42&lt;&gt;"",$AB42&lt;&gt;"",$H42&lt;&gt;$AB42,IFERROR(VLOOKUP($H42,areaCercaPuntiClassificaSquadra,3,FALSE),-1)=IFERROR(VLOOKUP($AB42,areaCercaPuntiClassificaSquadra,3,FALSE),-2)),SUMIFS(Dati!$B$2:$B$451,Dati!$A$2:$A$451,$H42,Dati!$H$2:$H$451,$AB42)+SUMIFS(Dati!$I$2:$I$451,Dati!$H$2:$H$451,$H42,Dati!$A$2:$A$451,$AB42),"-")</f>
        <v/>
      </c>
      <c r="AO42" s="22">
        <f>IF(AND($H42&lt;&gt;"",$AC42&lt;&gt;"",$H42&lt;&gt;$AC42,IFERROR(VLOOKUP($H42,areaCercaPuntiClassificaSquadra,3,FALSE),-1)=IFERROR(VLOOKUP($AC42,areaCercaPuntiClassificaSquadra,3,FALSE),-2)),SUMIFS(Dati!$B$2:$B$451,Dati!$A$2:$A$451,$H42,Dati!$H$2:$H$451,$AC42)+SUMIFS(Dati!$I$2:$I$451,Dati!$H$2:$H$451,$H42,Dati!$A$2:$A$451,$AC42),"-")</f>
        <v/>
      </c>
      <c r="AP42" s="22">
        <f>IF(AND($H42&lt;&gt;"",$AD42&lt;&gt;"",$H42&lt;&gt;$AD42,IFERROR(VLOOKUP($H42,areaCercaPuntiClassificaSquadra,3,FALSE),-1)=IFERROR(VLOOKUP($AD42,areaCercaPuntiClassificaSquadra,3,FALSE),-2)),SUMIFS(Dati!$B$2:$B$451,Dati!$A$2:$A$451,$H42,Dati!$H$2:$H$451,$AD42)+SUMIFS(Dati!$I$2:$I$451,Dati!$H$2:$H$451,$H42,Dati!$A$2:$A$451,$AD42),"-")</f>
        <v/>
      </c>
      <c r="AQ42" s="22">
        <f>IF(AND($H42&lt;&gt;"",$AE42&lt;&gt;"",$H42&lt;&gt;$AE42,IFERROR(VLOOKUP($H42,areaCercaPuntiClassificaSquadra,3,FALSE),-1)=IFERROR(VLOOKUP($AE42,areaCercaPuntiClassificaSquadra,3,FALSE),-2)),SUMIFS(Dati!$B$2:$B$451,Dati!$A$2:$A$451,$H42,Dati!$H$2:$H$451,$AE42)+SUMIFS(Dati!$I$2:$I$451,Dati!$H$2:$H$451,$H42,Dati!$A$2:$A$451,$AE42),"-")</f>
        <v/>
      </c>
      <c r="AR42" s="22">
        <f>IF(AND($H42&lt;&gt;"",$AF42&lt;&gt;"",$H42&lt;&gt;$AF42,IFERROR(VLOOKUP($H42,areaCercaPuntiClassificaSquadra,3,FALSE),-1)=IFERROR(VLOOKUP($AF42,areaCercaPuntiClassificaSquadra,3,FALSE),-2)),SUMIFS(Dati!$B$2:$B$451,Dati!$A$2:$A$451,$H42,Dati!$H$2:$H$451,$AF42)+SUMIFS(Dati!$I$2:$I$451,Dati!$H$2:$H$451,$H42,Dati!$A$2:$A$451,$AF42),"-")</f>
        <v/>
      </c>
      <c r="AS42" s="22">
        <f>IF(AND($H42&lt;&gt;"",$AG42&lt;&gt;"",$H42&lt;&gt;$AG42,IFERROR(VLOOKUP($H42,areaCercaPuntiClassificaSquadra,3,FALSE),-1)=IFERROR(VLOOKUP($AG42,areaCercaPuntiClassificaSquadra,3,FALSE),-2)),SUMIFS(Dati!$B$2:$B$451,Dati!$A$2:$A$451,$H42,Dati!$H$2:$H$451,$AG42)+SUMIFS(Dati!$I$2:$I$451,Dati!$H$2:$H$451,$H42,Dati!$A$2:$A$451,$AG42),"-")</f>
        <v/>
      </c>
      <c r="AT42" s="22">
        <f>IF(AND($H42&lt;&gt;"",$AH42&lt;&gt;"",$H42&lt;&gt;$AH42,IFERROR(VLOOKUP($H42,areaCercaPuntiClassificaSquadra,3,FALSE),-1)=IFERROR(VLOOKUP($AH42,areaCercaPuntiClassificaSquadra,3,FALSE),-2)),SUMIFS(Dati!$B$2:$B$451,Dati!$A$2:$A$451,$H42,Dati!$H$2:$H$451,$AH42)+SUMIFS(Dati!$I$2:$I$451,Dati!$H$2:$H$451,$H42,Dati!$A$2:$A$451,$AH42),"-")</f>
        <v/>
      </c>
      <c r="AV42" s="21">
        <f>$C42</f>
        <v/>
      </c>
      <c r="AW42" s="22">
        <f>IF(AND($H42&lt;&gt;"",$Y42&lt;&gt;"",$H42&lt;&gt;$Y42,IFERROR(VLOOKUP($H42,areaCercaPuntiClassificaSquadra,3,FALSE),-1)=IFERROR(VLOOKUP($Y42,areaCercaPuntiClassificaSquadra,3,FALSE),-2)),SUMIFS(Dati!$D$2:$D$451,Dati!$A$2:$A$451,$H42,Dati!$H$2:$H$451,$Y42)+SUMIFS(Dati!$K$2:$K$451,Dati!$H$2:$H$451,$H42,Dati!$A$2:$A$451,$Y42)+SUMIFS(Dati!$C$2:$C$451,Dati!$A$2:$A$451,$H42,Dati!$H$2:$H$451,$Y42)+SUMIFS(Dati!$J$2:$J$451,Dati!$H$2:$H$451,$H42,Dati!$A$2:$A$451,$Y42),"-")</f>
        <v/>
      </c>
      <c r="AX42" s="22">
        <f>IF(AND($H42&lt;&gt;"",$Z42&lt;&gt;"",$H42&lt;&gt;$Z42,IFERROR(VLOOKUP($H42,areaCercaPuntiClassificaSquadra,3,FALSE),-1)=IFERROR(VLOOKUP($Z42,areaCercaPuntiClassificaSquadra,3,FALSE),-2)),SUMIFS(Dati!$D$2:$D$451,Dati!$A$2:$A$451,$H42,Dati!$H$2:$H$451,$Z42)+SUMIFS(Dati!$K$2:$K$451,Dati!$H$2:$H$451,$H42,Dati!$A$2:$A$451,$Z42)+SUMIFS(Dati!$C$2:$C$451,Dati!$A$2:$A$451,$H42,Dati!$H$2:$H$451,$Z42)+SUMIFS(Dati!$J$2:$J$451,Dati!$H$2:$H$451,$H42,Dati!$A$2:$A$451,$Z42),"-")</f>
        <v/>
      </c>
      <c r="AY42" s="22">
        <f>IF(AND($H42&lt;&gt;"",$AA42&lt;&gt;"",$H42&lt;&gt;$AA42,IFERROR(VLOOKUP($H42,areaCercaPuntiClassificaSquadra,3,FALSE),-1)=IFERROR(VLOOKUP($AA42,areaCercaPuntiClassificaSquadra,3,FALSE),-2)),SUMIFS(Dati!$D$2:$D$451,Dati!$A$2:$A$451,$H42,Dati!$H$2:$H$451,$AA42)+SUMIFS(Dati!$K$2:$K$451,Dati!$H$2:$H$451,$H42,Dati!$A$2:$A$451,$AA42)+SUMIFS(Dati!$C$2:$C$451,Dati!$A$2:$A$451,$H42,Dati!$H$2:$H$451,$AA42)+SUMIFS(Dati!$J$2:$J$451,Dati!$H$2:$H$451,$H42,Dati!$A$2:$A$451,$AA42),"-")</f>
        <v/>
      </c>
      <c r="AZ42" s="22">
        <f>IF(AND($H42&lt;&gt;"",$AB42&lt;&gt;"",$H42&lt;&gt;$AB42,IFERROR(VLOOKUP($H42,areaCercaPuntiClassificaSquadra,3,FALSE),-1)=IFERROR(VLOOKUP($AB42,areaCercaPuntiClassificaSquadra,3,FALSE),-2)),SUMIFS(Dati!$D$2:$D$451,Dati!$A$2:$A$451,$H42,Dati!$H$2:$H$451,$AB42)+SUMIFS(Dati!$K$2:$K$451,Dati!$H$2:$H$451,$H42,Dati!$A$2:$A$451,$AB42)+SUMIFS(Dati!$C$2:$C$451,Dati!$A$2:$A$451,$H42,Dati!$H$2:$H$451,$AB42)+SUMIFS(Dati!$J$2:$J$451,Dati!$H$2:$H$451,$H42,Dati!$A$2:$A$451,$AB42),"-")</f>
        <v/>
      </c>
      <c r="BA42" s="22">
        <f>IF(AND($H42&lt;&gt;"",$AC42&lt;&gt;"",$H42&lt;&gt;$AC42,IFERROR(VLOOKUP($H42,areaCercaPuntiClassificaSquadra,3,FALSE),-1)=IFERROR(VLOOKUP($AC42,areaCercaPuntiClassificaSquadra,3,FALSE),-2)),SUMIFS(Dati!$D$2:$D$451,Dati!$A$2:$A$451,$H42,Dati!$H$2:$H$451,$AC42)+SUMIFS(Dati!$K$2:$K$451,Dati!$H$2:$H$451,$H42,Dati!$A$2:$A$451,$AC42)+SUMIFS(Dati!$C$2:$C$451,Dati!$A$2:$A$451,$H42,Dati!$H$2:$H$451,$AC42)+SUMIFS(Dati!$J$2:$J$451,Dati!$H$2:$H$451,$H42,Dati!$A$2:$A$451,$AC42),"-")</f>
        <v/>
      </c>
      <c r="BB42" s="22">
        <f>IF(AND($H42&lt;&gt;"",$AD42&lt;&gt;"",$H42&lt;&gt;$AD42,IFERROR(VLOOKUP($H42,areaCercaPuntiClassificaSquadra,3,FALSE),-1)=IFERROR(VLOOKUP($AD42,areaCercaPuntiClassificaSquadra,3,FALSE),-2)),SUMIFS(Dati!$D$2:$D$451,Dati!$A$2:$A$451,$H42,Dati!$H$2:$H$451,$AD42)+SUMIFS(Dati!$K$2:$K$451,Dati!$H$2:$H$451,$H42,Dati!$A$2:$A$451,$AD42)+SUMIFS(Dati!$C$2:$C$451,Dati!$A$2:$A$451,$H42,Dati!$H$2:$H$451,$AD42)+SUMIFS(Dati!$J$2:$J$451,Dati!$H$2:$H$451,$H42,Dati!$A$2:$A$451,$AD42),"-")</f>
        <v/>
      </c>
      <c r="BC42" s="22">
        <f>IF(AND($H42&lt;&gt;"",$AE42&lt;&gt;"",$H42&lt;&gt;$AE42,IFERROR(VLOOKUP($H42,areaCercaPuntiClassificaSquadra,3,FALSE),-1)=IFERROR(VLOOKUP($AE42,areaCercaPuntiClassificaSquadra,3,FALSE),-2)),SUMIFS(Dati!$D$2:$D$451,Dati!$A$2:$A$451,$H42,Dati!$H$2:$H$451,$AE42)+SUMIFS(Dati!$K$2:$K$451,Dati!$H$2:$H$451,$H42,Dati!$A$2:$A$451,$AE42)+SUMIFS(Dati!$C$2:$C$451,Dati!$A$2:$A$451,$H42,Dati!$H$2:$H$451,$AE42)+SUMIFS(Dati!$J$2:$J$451,Dati!$H$2:$H$451,$H42,Dati!$A$2:$A$451,$AE42),"-")</f>
        <v/>
      </c>
      <c r="BD42" s="22">
        <f>IF(AND($H42&lt;&gt;"",$AF42&lt;&gt;"",$H42&lt;&gt;$AF42,IFERROR(VLOOKUP($H42,areaCercaPuntiClassificaSquadra,3,FALSE),-1)=IFERROR(VLOOKUP($AF42,areaCercaPuntiClassificaSquadra,3,FALSE),-2)),SUMIFS(Dati!$D$2:$D$451,Dati!$A$2:$A$451,$H42,Dati!$H$2:$H$451,$AF42)+SUMIFS(Dati!$K$2:$K$451,Dati!$H$2:$H$451,$H42,Dati!$A$2:$A$451,$AF42)+SUMIFS(Dati!$C$2:$C$451,Dati!$A$2:$A$451,$H42,Dati!$H$2:$H$451,$AF42)+SUMIFS(Dati!$J$2:$J$451,Dati!$H$2:$H$451,$H42,Dati!$A$2:$A$451,$AF42),"-")</f>
        <v/>
      </c>
      <c r="BE42" s="22">
        <f>IF(AND($H42&lt;&gt;"",$AG42&lt;&gt;"",$H42&lt;&gt;$AG42,IFERROR(VLOOKUP($H42,areaCercaPuntiClassificaSquadra,3,FALSE),-1)=IFERROR(VLOOKUP($AG42,areaCercaPuntiClassificaSquadra,3,FALSE),-2)),SUMIFS(Dati!$D$2:$D$451,Dati!$A$2:$A$451,$H42,Dati!$H$2:$H$451,$AG42)+SUMIFS(Dati!$K$2:$K$451,Dati!$H$2:$H$451,$H42,Dati!$A$2:$A$451,$AG42)+SUMIFS(Dati!$C$2:$C$451,Dati!$A$2:$A$451,$H42,Dati!$H$2:$H$451,$AG42)+SUMIFS(Dati!$J$2:$J$451,Dati!$H$2:$H$451,$H42,Dati!$A$2:$A$451,$AG42),"-")</f>
        <v/>
      </c>
      <c r="BF42" s="22">
        <f>IF(AND($H42&lt;&gt;"",$AH42&lt;&gt;"",$H42&lt;&gt;$AH42,IFERROR(VLOOKUP($H42,areaCercaPuntiClassificaSquadra,3,FALSE),-1)=IFERROR(VLOOKUP($AH42,areaCercaPuntiClassificaSquadra,3,FALSE),-2)),SUMIFS(Dati!$D$2:$D$451,Dati!$A$2:$A$451,$H42,Dati!$H$2:$H$451,$AH42)+SUMIFS(Dati!$K$2:$K$451,Dati!$H$2:$H$451,$H42,Dati!$A$2:$A$451,$AH42)+SUMIFS(Dati!$C$2:$C$451,Dati!$A$2:$A$451,$H42,Dati!$H$2:$H$451,$AH42)+SUMIFS(Dati!$J$2:$J$451,Dati!$H$2:$H$451,$H42,Dati!$A$2:$A$451,$AH42),"-")</f>
        <v/>
      </c>
      <c r="BH42" s="21">
        <f>$C42</f>
        <v/>
      </c>
      <c r="BI42" s="22">
        <f>IF(AND($H42&lt;&gt;"",$Y42&lt;&gt;"",$H42&lt;&gt;$Y42,IFERROR(VLOOKUP($H42,areaCercaPuntiClassificaSquadra,3,FALSE),-1)=IFERROR(VLOOKUP($Y42,areaCercaPuntiClassificaSquadra,3,FALSE),-2)),SUMIFS(Dati!$E$2:$E$451,Dati!$A$2:$A$451,$H42,Dati!$H$2:$H$451,$Y42)+SUMIFS(Dati!$L$2:$L$451,Dati!$H$2:$H$451,$H42,Dati!$A$2:$A$451,$Y42),"-")</f>
        <v/>
      </c>
      <c r="BJ42" s="22">
        <f>IF(AND($H42&lt;&gt;"",$Z42&lt;&gt;"",$H42&lt;&gt;$Z42,IFERROR(VLOOKUP($H42,areaCercaPuntiClassificaSquadra,3,FALSE),-1)=IFERROR(VLOOKUP($Z42,areaCercaPuntiClassificaSquadra,3,FALSE),-2)),SUMIFS(Dati!$E$2:$E$451,Dati!$A$2:$A$451,$H42,Dati!$H$2:$H$451,$Z42)+SUMIFS(Dati!$L$2:$L$451,Dati!$H$2:$H$451,$H42,Dati!$A$2:$A$451,$Z42),"-")</f>
        <v/>
      </c>
      <c r="BK42" s="22">
        <f>IF(AND($H42&lt;&gt;"",$AA42&lt;&gt;"",$H42&lt;&gt;$AA42,IFERROR(VLOOKUP($H42,areaCercaPuntiClassificaSquadra,3,FALSE),-1)=IFERROR(VLOOKUP($AA42,areaCercaPuntiClassificaSquadra,3,FALSE),-2)),SUMIFS(Dati!$E$2:$E$451,Dati!$A$2:$A$451,$H42,Dati!$H$2:$H$451,$AA42)+SUMIFS(Dati!$L$2:$L$451,Dati!$H$2:$H$451,$H42,Dati!$A$2:$A$451,$AA42),"-")</f>
        <v/>
      </c>
      <c r="BL42" s="22">
        <f>IF(AND($H42&lt;&gt;"",$AB42&lt;&gt;"",$H42&lt;&gt;$AB42,IFERROR(VLOOKUP($H42,areaCercaPuntiClassificaSquadra,3,FALSE),-1)=IFERROR(VLOOKUP($AB42,areaCercaPuntiClassificaSquadra,3,FALSE),-2)),SUMIFS(Dati!$E$2:$E$451,Dati!$A$2:$A$451,$H42,Dati!$H$2:$H$451,$AB42)+SUMIFS(Dati!$L$2:$L$451,Dati!$H$2:$H$451,$H42,Dati!$A$2:$A$451,$AB42),"-")</f>
        <v/>
      </c>
      <c r="BM42" s="22">
        <f>IF(AND($H42&lt;&gt;"",$AC42&lt;&gt;"",$H42&lt;&gt;$AC42,IFERROR(VLOOKUP($H42,areaCercaPuntiClassificaSquadra,3,FALSE),-1)=IFERROR(VLOOKUP($AC42,areaCercaPuntiClassificaSquadra,3,FALSE),-2)),SUMIFS(Dati!$E$2:$E$451,Dati!$A$2:$A$451,$H42,Dati!$H$2:$H$451,$AC42)+SUMIFS(Dati!$L$2:$L$451,Dati!$H$2:$H$451,$H42,Dati!$A$2:$A$451,$AC42),"-")</f>
        <v/>
      </c>
      <c r="BN42" s="22">
        <f>IF(AND($H42&lt;&gt;"",$AD42&lt;&gt;"",$H42&lt;&gt;$AD42,IFERROR(VLOOKUP($H42,areaCercaPuntiClassificaSquadra,3,FALSE),-1)=IFERROR(VLOOKUP($AD42,areaCercaPuntiClassificaSquadra,3,FALSE),-2)),SUMIFS(Dati!$E$2:$E$451,Dati!$A$2:$A$451,$H42,Dati!$H$2:$H$451,$AD42)+SUMIFS(Dati!$L$2:$L$451,Dati!$H$2:$H$451,$H42,Dati!$A$2:$A$451,$AD42),"-")</f>
        <v/>
      </c>
      <c r="BO42" s="22">
        <f>IF(AND($H42&lt;&gt;"",$AE42&lt;&gt;"",$H42&lt;&gt;$AE42,IFERROR(VLOOKUP($H42,areaCercaPuntiClassificaSquadra,3,FALSE),-1)=IFERROR(VLOOKUP($AE42,areaCercaPuntiClassificaSquadra,3,FALSE),-2)),SUMIFS(Dati!$E$2:$E$451,Dati!$A$2:$A$451,$H42,Dati!$H$2:$H$451,$AE42)+SUMIFS(Dati!$L$2:$L$451,Dati!$H$2:$H$451,$H42,Dati!$A$2:$A$451,$AE42),"-")</f>
        <v/>
      </c>
      <c r="BP42" s="22">
        <f>IF(AND($H42&lt;&gt;"",$AF42&lt;&gt;"",$H42&lt;&gt;$AF42,IFERROR(VLOOKUP($H42,areaCercaPuntiClassificaSquadra,3,FALSE),-1)=IFERROR(VLOOKUP($AF42,areaCercaPuntiClassificaSquadra,3,FALSE),-2)),SUMIFS(Dati!$E$2:$E$451,Dati!$A$2:$A$451,$H42,Dati!$H$2:$H$451,$AF42)+SUMIFS(Dati!$L$2:$L$451,Dati!$H$2:$H$451,$H42,Dati!$A$2:$A$451,$AF42),"-")</f>
        <v/>
      </c>
      <c r="BQ42" s="22">
        <f>IF(AND($H42&lt;&gt;"",$AG42&lt;&gt;"",$H42&lt;&gt;$AG42,IFERROR(VLOOKUP($H42,areaCercaPuntiClassificaSquadra,3,FALSE),-1)=IFERROR(VLOOKUP($AG42,areaCercaPuntiClassificaSquadra,3,FALSE),-2)),SUMIFS(Dati!$E$2:$E$451,Dati!$A$2:$A$451,$H42,Dati!$H$2:$H$451,$AG42)+SUMIFS(Dati!$L$2:$L$451,Dati!$H$2:$H$451,$H42,Dati!$A$2:$A$451,$AG42),"-")</f>
        <v/>
      </c>
      <c r="BR42" s="22">
        <f>IF(AND($H42&lt;&gt;"",$AH42&lt;&gt;"",$H42&lt;&gt;$AH42,IFERROR(VLOOKUP($H42,areaCercaPuntiClassificaSquadra,3,FALSE),-1)=IFERROR(VLOOKUP($AH42,areaCercaPuntiClassificaSquadra,3,FALSE),-2)),SUMIFS(Dati!$E$2:$E$451,Dati!$A$2:$A$451,$H42,Dati!$H$2:$H$451,$AH42)+SUMIFS(Dati!$L$2:$L$451,Dati!$H$2:$H$451,$H42,Dati!$A$2:$A$451,$AH42),"-")</f>
        <v/>
      </c>
      <c r="BT42" s="21">
        <f>$C42</f>
        <v/>
      </c>
      <c r="BU42" s="22">
        <f>IF(AND($H42&lt;&gt;"",$Y42&lt;&gt;"",$H42&lt;&gt;$Y42,IFERROR(VLOOKUP($H42,areaCercaPuntiClassificaSquadra,3,FALSE),-1)=IFERROR(VLOOKUP($Y42,areaCercaPuntiClassificaSquadra,3,FALSE),-2)),SUMIFS(Dati!$F$2:$F$451,Dati!$A$2:$A$451,$H42,Dati!$H$2:$H$451,$Y42)+SUMIFS(Dati!$M$2:$M$451,Dati!$H$2:$H$451,$H42,Dati!$A$2:$A$451,$Y42),"-")</f>
        <v/>
      </c>
      <c r="BV42" s="22">
        <f>IF(AND($H42&lt;&gt;"",$Z42&lt;&gt;"",$H42&lt;&gt;$Z42,IFERROR(VLOOKUP($H42,areaCercaPuntiClassificaSquadra,3,FALSE),-1)=IFERROR(VLOOKUP($Z42,areaCercaPuntiClassificaSquadra,3,FALSE),-2)),SUMIFS(Dati!$F$2:$F$451,Dati!$A$2:$A$451,$H42,Dati!$H$2:$H$451,$Z42)+SUMIFS(Dati!$M$2:$M$451,Dati!$H$2:$H$451,$H42,Dati!$A$2:$A$451,$Z42),"-")</f>
        <v/>
      </c>
      <c r="BW42" s="22">
        <f>IF(AND($H42&lt;&gt;"",$AA42&lt;&gt;"",$H42&lt;&gt;$AA42,IFERROR(VLOOKUP($H42,areaCercaPuntiClassificaSquadra,3,FALSE),-1)=IFERROR(VLOOKUP($AA42,areaCercaPuntiClassificaSquadra,3,FALSE),-2)),SUMIFS(Dati!$F$2:$F$451,Dati!$A$2:$A$451,$H42,Dati!$H$2:$H$451,$AA42)+SUMIFS(Dati!$M$2:$M$451,Dati!$H$2:$H$451,$H42,Dati!$A$2:$A$451,$AA42),"-")</f>
        <v/>
      </c>
      <c r="BX42" s="22">
        <f>IF(AND($H42&lt;&gt;"",$AB42&lt;&gt;"",$H42&lt;&gt;$AB42,IFERROR(VLOOKUP($H42,areaCercaPuntiClassificaSquadra,3,FALSE),-1)=IFERROR(VLOOKUP($AB42,areaCercaPuntiClassificaSquadra,3,FALSE),-2)),SUMIFS(Dati!$F$2:$F$451,Dati!$A$2:$A$451,$H42,Dati!$H$2:$H$451,$AB42)+SUMIFS(Dati!$M$2:$M$451,Dati!$H$2:$H$451,$H42,Dati!$A$2:$A$451,$AB42),"-")</f>
        <v/>
      </c>
      <c r="BY42" s="22">
        <f>IF(AND($H42&lt;&gt;"",$AC42&lt;&gt;"",$H42&lt;&gt;$AC42,IFERROR(VLOOKUP($H42,areaCercaPuntiClassificaSquadra,3,FALSE),-1)=IFERROR(VLOOKUP($AC42,areaCercaPuntiClassificaSquadra,3,FALSE),-2)),SUMIFS(Dati!$F$2:$F$451,Dati!$A$2:$A$451,$H42,Dati!$H$2:$H$451,$AC42)+SUMIFS(Dati!$M$2:$M$451,Dati!$H$2:$H$451,$H42,Dati!$A$2:$A$451,$AC42),"-")</f>
        <v/>
      </c>
      <c r="BZ42" s="22">
        <f>IF(AND($H42&lt;&gt;"",$AD42&lt;&gt;"",$H42&lt;&gt;$AD42,IFERROR(VLOOKUP($H42,areaCercaPuntiClassificaSquadra,3,FALSE),-1)=IFERROR(VLOOKUP($AD42,areaCercaPuntiClassificaSquadra,3,FALSE),-2)),SUMIFS(Dati!$F$2:$F$451,Dati!$A$2:$A$451,$H42,Dati!$H$2:$H$451,$AD42)+SUMIFS(Dati!$M$2:$M$451,Dati!$H$2:$H$451,$H42,Dati!$A$2:$A$451,$AD42),"-")</f>
        <v/>
      </c>
      <c r="CA42" s="22">
        <f>IF(AND($H42&lt;&gt;"",$AE42&lt;&gt;"",$H42&lt;&gt;$AE42,IFERROR(VLOOKUP($H42,areaCercaPuntiClassificaSquadra,3,FALSE),-1)=IFERROR(VLOOKUP($AE42,areaCercaPuntiClassificaSquadra,3,FALSE),-2)),SUMIFS(Dati!$F$2:$F$451,Dati!$A$2:$A$451,$H42,Dati!$H$2:$H$451,$AE42)+SUMIFS(Dati!$M$2:$M$451,Dati!$H$2:$H$451,$H42,Dati!$A$2:$A$451,$AE42),"-")</f>
        <v/>
      </c>
      <c r="CB42" s="22">
        <f>IF(AND($H42&lt;&gt;"",$AF42&lt;&gt;"",$H42&lt;&gt;$AF42,IFERROR(VLOOKUP($H42,areaCercaPuntiClassificaSquadra,3,FALSE),-1)=IFERROR(VLOOKUP($AF42,areaCercaPuntiClassificaSquadra,3,FALSE),-2)),SUMIFS(Dati!$F$2:$F$451,Dati!$A$2:$A$451,$H42,Dati!$H$2:$H$451,$AF42)+SUMIFS(Dati!$M$2:$M$451,Dati!$H$2:$H$451,$H42,Dati!$A$2:$A$451,$AF42),"-")</f>
        <v/>
      </c>
      <c r="CC42" s="22">
        <f>IF(AND($H42&lt;&gt;"",$AG42&lt;&gt;"",$H42&lt;&gt;$AG42,IFERROR(VLOOKUP($H42,areaCercaPuntiClassificaSquadra,3,FALSE),-1)=IFERROR(VLOOKUP($AG42,areaCercaPuntiClassificaSquadra,3,FALSE),-2)),SUMIFS(Dati!$F$2:$F$451,Dati!$A$2:$A$451,$H42,Dati!$H$2:$H$451,$AG42)+SUMIFS(Dati!$M$2:$M$451,Dati!$H$2:$H$451,$H42,Dati!$A$2:$A$451,$AG42),"-")</f>
        <v/>
      </c>
      <c r="CD42" s="22">
        <f>IF(AND($H42&lt;&gt;"",$AH42&lt;&gt;"",$H42&lt;&gt;$AH42,IFERROR(VLOOKUP($H42,areaCercaPuntiClassificaSquadra,3,FALSE),-1)=IFERROR(VLOOKUP($AH42,areaCercaPuntiClassificaSquadra,3,FALSE),-2)),SUMIFS(Dati!$F$2:$F$451,Dati!$A$2:$A$451,$H42,Dati!$H$2:$H$451,$AH42)+SUMIFS(Dati!$M$2:$M$451,Dati!$H$2:$H$451,$H42,Dati!$A$2:$A$451,$AH42),"-")</f>
        <v/>
      </c>
      <c r="CF42" s="22">
        <f>IF($C42="","",SUM(AK42:AT42))</f>
        <v/>
      </c>
    </row>
    <row r="43">
      <c r="B43" s="12" t="inlineStr">
        <is>
          <t>C10</t>
        </is>
      </c>
      <c r="C43" s="13" t="n"/>
      <c r="D43" s="14" t="n"/>
      <c r="E43" s="25" t="inlineStr">
        <is>
          <t>C</t>
        </is>
      </c>
      <c r="G43" s="26">
        <f>IF($C43="","",$E43&amp;(COUNTIFS(I$14:I$113,"&gt;"&amp;I43,E$14:E$113,"="&amp;E43,C$14:C$113,"&lt;&gt;")+COUNTIFS(I$14:I$113,"="&amp;I43,H$14:H$113,"&lt;="&amp;H43,E$14:E$113,"="&amp;E43,C$14:C$113,"&lt;&gt;")))</f>
        <v/>
      </c>
      <c r="H43" s="17">
        <f>IF($C43="","",IFERROR(LEFT($C43,FIND("-",$C43)-1),$C43))</f>
        <v/>
      </c>
      <c r="I43" s="12">
        <f>TEXT(1000000000+J43,"|0000000000|")&amp;TEXT(SUM(AK43:AT43),"0000000000|")&amp;IF(SUM(BU43:CD43)=0,"0000000000|",TEXT(ROUND(SUM(BI43:BR43)/SUM(BU43:CD43),4)*100000,"0000000000|"))&amp;IF(P43=0,"0000000000|",TEXT(ROUND(O43/P43,4)*100000,"0000000000|"))</f>
        <v/>
      </c>
      <c r="J43" s="26">
        <f>L43*constPuntiVittoria+M43*constPuntiSconfitta+N43*constPuntiForfait+IF(D43="",0,D43)</f>
        <v/>
      </c>
      <c r="K43" s="12">
        <f>SUM(L43:N43)</f>
        <v/>
      </c>
      <c r="L43" s="12">
        <f>IF($H43="",0,SUMIF(Dati!$A$2:$A$451,$H43,Dati!$B$2:$B$451)+SUMIF(Dati!$H$2:$H$451,$H43,Dati!$I$2:$I$451))</f>
        <v/>
      </c>
      <c r="M43" s="12">
        <f>IF($H43="",0,SUMIF(Dati!$A$2:$A$451,$H43,Dati!$D$2:$D$451)+SUMIF(Dati!$H$2:$H$451,$H43,Dati!$K$2:$K$451))</f>
        <v/>
      </c>
      <c r="N43" s="12">
        <f>IF($H43="",0,SUMIF(Dati!$A$2:$A$451,$H43,Dati!$C$2:$C$451)+SUMIF(Dati!$H$2:$H$451,$H43,Dati!$J$2:$J$451))</f>
        <v/>
      </c>
      <c r="O43" s="12">
        <f>IF($H43="",0,SUMIF(Dati!$A$2:$A$451,$H43,Dati!$E$2:$E$451)+SUMIF(Dati!$H$2:$H$451,$H43,Dati!$L$2:$L$451))</f>
        <v/>
      </c>
      <c r="P43" s="12">
        <f>IF($H43="",0,SUMIF(Dati!$A$2:$A$451,$H43,Dati!$F$2:$F$451)+SUMIF(Dati!$H$2:$H$451,$H43,Dati!$M$2:$M$451))</f>
        <v/>
      </c>
      <c r="Q43" s="12">
        <f>IF($H43="",0,SUMIF(Dati!$A$2:$A$451,$H43,Dati!$G$2:$G$451)+SUMIF(Dati!$H$2:$H$451,$H43,Dati!$N$2:$N$451))</f>
        <v/>
      </c>
      <c r="R43" s="12">
        <f>IF(K43=0,0,ROUND(O43/K43,2))</f>
        <v/>
      </c>
      <c r="S43" s="12">
        <f>IF(K43=0,0,ROUND(P43/K43,2))</f>
        <v/>
      </c>
      <c r="T43" s="12">
        <f>IF(K43=0,0,ROUND(Q43/K43,2))</f>
        <v/>
      </c>
      <c r="U43" s="12">
        <f>IF(COUNTIFS($E$14:$E$113,$E43,$J$14:$J$113,$J43,$C$14:$C$113,"&lt;&gt;")&lt;=1,"-",SUM(AK43:AT43)&amp;"-"&amp;SUM(AW43:BF43))</f>
        <v/>
      </c>
      <c r="V43" s="18">
        <f>IF(COUNTIFS($E$14:$E$113,$E43,$J$14:$J$113,$J43,$C$14:$C$113,"&lt;&gt;",$CF$14:$CF$113,$CF43)&lt;=1,"-",IF(SUM(BU43:CD43)=0,0,ROUND(SUM(BI43:BR43)/SUM(BU43:CD43),3)))</f>
        <v/>
      </c>
      <c r="W43" s="18">
        <f>IF(COUNTIFS($E$14:$E$113,$E43,$J$14:$J$113,$J43,$C$14:$C$113,"&lt;&gt;",$CF$14:$CF$113,$CF43,$V$14:$V$113,$V43)&lt;=1,"-",IF(P43=0,0,ROUND(O43/P43,3)))</f>
        <v/>
      </c>
      <c r="X43" s="19">
        <f>IF($C43="","",$E43&amp;"#"&amp;COUNTIFS($E$14:$E43,$E43,$C$14:$C43,"&lt;&gt;"))</f>
        <v/>
      </c>
      <c r="Y43" s="20">
        <f>IFERROR(INDEX($H$14:$H$113,MATCH($E43&amp;"#1",$X$14:$X$113,0)),"")</f>
        <v/>
      </c>
      <c r="Z43" s="20">
        <f>IFERROR(INDEX($H$14:$H$113,MATCH($E43&amp;"#2",$X$14:$X$113,0)),"")</f>
        <v/>
      </c>
      <c r="AA43" s="20">
        <f>IFERROR(INDEX($H$14:$H$113,MATCH($E43&amp;"#3",$X$14:$X$113,0)),"")</f>
        <v/>
      </c>
      <c r="AB43" s="20">
        <f>IFERROR(INDEX($H$14:$H$113,MATCH($E43&amp;"#4",$X$14:$X$113,0)),"")</f>
        <v/>
      </c>
      <c r="AC43" s="20">
        <f>IFERROR(INDEX($H$14:$H$113,MATCH($E43&amp;"#5",$X$14:$X$113,0)),"")</f>
        <v/>
      </c>
      <c r="AD43" s="20">
        <f>IFERROR(INDEX($H$14:$H$113,MATCH($E43&amp;"#6",$X$14:$X$113,0)),"")</f>
        <v/>
      </c>
      <c r="AE43" s="20">
        <f>IFERROR(INDEX($H$14:$H$113,MATCH($E43&amp;"#7",$X$14:$X$113,0)),"")</f>
        <v/>
      </c>
      <c r="AF43" s="20">
        <f>IFERROR(INDEX($H$14:$H$113,MATCH($E43&amp;"#8",$X$14:$X$113,0)),"")</f>
        <v/>
      </c>
      <c r="AG43" s="20">
        <f>IFERROR(INDEX($H$14:$H$113,MATCH($E43&amp;"#9",$X$14:$X$113,0)),"")</f>
        <v/>
      </c>
      <c r="AH43" s="20">
        <f>IFERROR(INDEX($H$14:$H$113,MATCH($E43&amp;"#10",$X$14:$X$113,0)),"")</f>
        <v/>
      </c>
      <c r="AJ43" s="21">
        <f>$C43</f>
        <v/>
      </c>
      <c r="AK43" s="22">
        <f>IF(AND($H43&lt;&gt;"",$Y43&lt;&gt;"",$H43&lt;&gt;$Y43,IFERROR(VLOOKUP($H43,areaCercaPuntiClassificaSquadra,3,FALSE),-1)=IFERROR(VLOOKUP($Y43,areaCercaPuntiClassificaSquadra,3,FALSE),-2)),SUMIFS(Dati!$B$2:$B$451,Dati!$A$2:$A$451,$H43,Dati!$H$2:$H$451,$Y43)+SUMIFS(Dati!$I$2:$I$451,Dati!$H$2:$H$451,$H43,Dati!$A$2:$A$451,$Y43),"-")</f>
        <v/>
      </c>
      <c r="AL43" s="22">
        <f>IF(AND($H43&lt;&gt;"",$Z43&lt;&gt;"",$H43&lt;&gt;$Z43,IFERROR(VLOOKUP($H43,areaCercaPuntiClassificaSquadra,3,FALSE),-1)=IFERROR(VLOOKUP($Z43,areaCercaPuntiClassificaSquadra,3,FALSE),-2)),SUMIFS(Dati!$B$2:$B$451,Dati!$A$2:$A$451,$H43,Dati!$H$2:$H$451,$Z43)+SUMIFS(Dati!$I$2:$I$451,Dati!$H$2:$H$451,$H43,Dati!$A$2:$A$451,$Z43),"-")</f>
        <v/>
      </c>
      <c r="AM43" s="22">
        <f>IF(AND($H43&lt;&gt;"",$AA43&lt;&gt;"",$H43&lt;&gt;$AA43,IFERROR(VLOOKUP($H43,areaCercaPuntiClassificaSquadra,3,FALSE),-1)=IFERROR(VLOOKUP($AA43,areaCercaPuntiClassificaSquadra,3,FALSE),-2)),SUMIFS(Dati!$B$2:$B$451,Dati!$A$2:$A$451,$H43,Dati!$H$2:$H$451,$AA43)+SUMIFS(Dati!$I$2:$I$451,Dati!$H$2:$H$451,$H43,Dati!$A$2:$A$451,$AA43),"-")</f>
        <v/>
      </c>
      <c r="AN43" s="22">
        <f>IF(AND($H43&lt;&gt;"",$AB43&lt;&gt;"",$H43&lt;&gt;$AB43,IFERROR(VLOOKUP($H43,areaCercaPuntiClassificaSquadra,3,FALSE),-1)=IFERROR(VLOOKUP($AB43,areaCercaPuntiClassificaSquadra,3,FALSE),-2)),SUMIFS(Dati!$B$2:$B$451,Dati!$A$2:$A$451,$H43,Dati!$H$2:$H$451,$AB43)+SUMIFS(Dati!$I$2:$I$451,Dati!$H$2:$H$451,$H43,Dati!$A$2:$A$451,$AB43),"-")</f>
        <v/>
      </c>
      <c r="AO43" s="22">
        <f>IF(AND($H43&lt;&gt;"",$AC43&lt;&gt;"",$H43&lt;&gt;$AC43,IFERROR(VLOOKUP($H43,areaCercaPuntiClassificaSquadra,3,FALSE),-1)=IFERROR(VLOOKUP($AC43,areaCercaPuntiClassificaSquadra,3,FALSE),-2)),SUMIFS(Dati!$B$2:$B$451,Dati!$A$2:$A$451,$H43,Dati!$H$2:$H$451,$AC43)+SUMIFS(Dati!$I$2:$I$451,Dati!$H$2:$H$451,$H43,Dati!$A$2:$A$451,$AC43),"-")</f>
        <v/>
      </c>
      <c r="AP43" s="22">
        <f>IF(AND($H43&lt;&gt;"",$AD43&lt;&gt;"",$H43&lt;&gt;$AD43,IFERROR(VLOOKUP($H43,areaCercaPuntiClassificaSquadra,3,FALSE),-1)=IFERROR(VLOOKUP($AD43,areaCercaPuntiClassificaSquadra,3,FALSE),-2)),SUMIFS(Dati!$B$2:$B$451,Dati!$A$2:$A$451,$H43,Dati!$H$2:$H$451,$AD43)+SUMIFS(Dati!$I$2:$I$451,Dati!$H$2:$H$451,$H43,Dati!$A$2:$A$451,$AD43),"-")</f>
        <v/>
      </c>
      <c r="AQ43" s="22">
        <f>IF(AND($H43&lt;&gt;"",$AE43&lt;&gt;"",$H43&lt;&gt;$AE43,IFERROR(VLOOKUP($H43,areaCercaPuntiClassificaSquadra,3,FALSE),-1)=IFERROR(VLOOKUP($AE43,areaCercaPuntiClassificaSquadra,3,FALSE),-2)),SUMIFS(Dati!$B$2:$B$451,Dati!$A$2:$A$451,$H43,Dati!$H$2:$H$451,$AE43)+SUMIFS(Dati!$I$2:$I$451,Dati!$H$2:$H$451,$H43,Dati!$A$2:$A$451,$AE43),"-")</f>
        <v/>
      </c>
      <c r="AR43" s="22">
        <f>IF(AND($H43&lt;&gt;"",$AF43&lt;&gt;"",$H43&lt;&gt;$AF43,IFERROR(VLOOKUP($H43,areaCercaPuntiClassificaSquadra,3,FALSE),-1)=IFERROR(VLOOKUP($AF43,areaCercaPuntiClassificaSquadra,3,FALSE),-2)),SUMIFS(Dati!$B$2:$B$451,Dati!$A$2:$A$451,$H43,Dati!$H$2:$H$451,$AF43)+SUMIFS(Dati!$I$2:$I$451,Dati!$H$2:$H$451,$H43,Dati!$A$2:$A$451,$AF43),"-")</f>
        <v/>
      </c>
      <c r="AS43" s="22">
        <f>IF(AND($H43&lt;&gt;"",$AG43&lt;&gt;"",$H43&lt;&gt;$AG43,IFERROR(VLOOKUP($H43,areaCercaPuntiClassificaSquadra,3,FALSE),-1)=IFERROR(VLOOKUP($AG43,areaCercaPuntiClassificaSquadra,3,FALSE),-2)),SUMIFS(Dati!$B$2:$B$451,Dati!$A$2:$A$451,$H43,Dati!$H$2:$H$451,$AG43)+SUMIFS(Dati!$I$2:$I$451,Dati!$H$2:$H$451,$H43,Dati!$A$2:$A$451,$AG43),"-")</f>
        <v/>
      </c>
      <c r="AT43" s="22">
        <f>IF(AND($H43&lt;&gt;"",$AH43&lt;&gt;"",$H43&lt;&gt;$AH43,IFERROR(VLOOKUP($H43,areaCercaPuntiClassificaSquadra,3,FALSE),-1)=IFERROR(VLOOKUP($AH43,areaCercaPuntiClassificaSquadra,3,FALSE),-2)),SUMIFS(Dati!$B$2:$B$451,Dati!$A$2:$A$451,$H43,Dati!$H$2:$H$451,$AH43)+SUMIFS(Dati!$I$2:$I$451,Dati!$H$2:$H$451,$H43,Dati!$A$2:$A$451,$AH43),"-")</f>
        <v/>
      </c>
      <c r="AV43" s="21">
        <f>$C43</f>
        <v/>
      </c>
      <c r="AW43" s="22">
        <f>IF(AND($H43&lt;&gt;"",$Y43&lt;&gt;"",$H43&lt;&gt;$Y43,IFERROR(VLOOKUP($H43,areaCercaPuntiClassificaSquadra,3,FALSE),-1)=IFERROR(VLOOKUP($Y43,areaCercaPuntiClassificaSquadra,3,FALSE),-2)),SUMIFS(Dati!$D$2:$D$451,Dati!$A$2:$A$451,$H43,Dati!$H$2:$H$451,$Y43)+SUMIFS(Dati!$K$2:$K$451,Dati!$H$2:$H$451,$H43,Dati!$A$2:$A$451,$Y43)+SUMIFS(Dati!$C$2:$C$451,Dati!$A$2:$A$451,$H43,Dati!$H$2:$H$451,$Y43)+SUMIFS(Dati!$J$2:$J$451,Dati!$H$2:$H$451,$H43,Dati!$A$2:$A$451,$Y43),"-")</f>
        <v/>
      </c>
      <c r="AX43" s="22">
        <f>IF(AND($H43&lt;&gt;"",$Z43&lt;&gt;"",$H43&lt;&gt;$Z43,IFERROR(VLOOKUP($H43,areaCercaPuntiClassificaSquadra,3,FALSE),-1)=IFERROR(VLOOKUP($Z43,areaCercaPuntiClassificaSquadra,3,FALSE),-2)),SUMIFS(Dati!$D$2:$D$451,Dati!$A$2:$A$451,$H43,Dati!$H$2:$H$451,$Z43)+SUMIFS(Dati!$K$2:$K$451,Dati!$H$2:$H$451,$H43,Dati!$A$2:$A$451,$Z43)+SUMIFS(Dati!$C$2:$C$451,Dati!$A$2:$A$451,$H43,Dati!$H$2:$H$451,$Z43)+SUMIFS(Dati!$J$2:$J$451,Dati!$H$2:$H$451,$H43,Dati!$A$2:$A$451,$Z43),"-")</f>
        <v/>
      </c>
      <c r="AY43" s="22">
        <f>IF(AND($H43&lt;&gt;"",$AA43&lt;&gt;"",$H43&lt;&gt;$AA43,IFERROR(VLOOKUP($H43,areaCercaPuntiClassificaSquadra,3,FALSE),-1)=IFERROR(VLOOKUP($AA43,areaCercaPuntiClassificaSquadra,3,FALSE),-2)),SUMIFS(Dati!$D$2:$D$451,Dati!$A$2:$A$451,$H43,Dati!$H$2:$H$451,$AA43)+SUMIFS(Dati!$K$2:$K$451,Dati!$H$2:$H$451,$H43,Dati!$A$2:$A$451,$AA43)+SUMIFS(Dati!$C$2:$C$451,Dati!$A$2:$A$451,$H43,Dati!$H$2:$H$451,$AA43)+SUMIFS(Dati!$J$2:$J$451,Dati!$H$2:$H$451,$H43,Dati!$A$2:$A$451,$AA43),"-")</f>
        <v/>
      </c>
      <c r="AZ43" s="22">
        <f>IF(AND($H43&lt;&gt;"",$AB43&lt;&gt;"",$H43&lt;&gt;$AB43,IFERROR(VLOOKUP($H43,areaCercaPuntiClassificaSquadra,3,FALSE),-1)=IFERROR(VLOOKUP($AB43,areaCercaPuntiClassificaSquadra,3,FALSE),-2)),SUMIFS(Dati!$D$2:$D$451,Dati!$A$2:$A$451,$H43,Dati!$H$2:$H$451,$AB43)+SUMIFS(Dati!$K$2:$K$451,Dati!$H$2:$H$451,$H43,Dati!$A$2:$A$451,$AB43)+SUMIFS(Dati!$C$2:$C$451,Dati!$A$2:$A$451,$H43,Dati!$H$2:$H$451,$AB43)+SUMIFS(Dati!$J$2:$J$451,Dati!$H$2:$H$451,$H43,Dati!$A$2:$A$451,$AB43),"-")</f>
        <v/>
      </c>
      <c r="BA43" s="22">
        <f>IF(AND($H43&lt;&gt;"",$AC43&lt;&gt;"",$H43&lt;&gt;$AC43,IFERROR(VLOOKUP($H43,areaCercaPuntiClassificaSquadra,3,FALSE),-1)=IFERROR(VLOOKUP($AC43,areaCercaPuntiClassificaSquadra,3,FALSE),-2)),SUMIFS(Dati!$D$2:$D$451,Dati!$A$2:$A$451,$H43,Dati!$H$2:$H$451,$AC43)+SUMIFS(Dati!$K$2:$K$451,Dati!$H$2:$H$451,$H43,Dati!$A$2:$A$451,$AC43)+SUMIFS(Dati!$C$2:$C$451,Dati!$A$2:$A$451,$H43,Dati!$H$2:$H$451,$AC43)+SUMIFS(Dati!$J$2:$J$451,Dati!$H$2:$H$451,$H43,Dati!$A$2:$A$451,$AC43),"-")</f>
        <v/>
      </c>
      <c r="BB43" s="22">
        <f>IF(AND($H43&lt;&gt;"",$AD43&lt;&gt;"",$H43&lt;&gt;$AD43,IFERROR(VLOOKUP($H43,areaCercaPuntiClassificaSquadra,3,FALSE),-1)=IFERROR(VLOOKUP($AD43,areaCercaPuntiClassificaSquadra,3,FALSE),-2)),SUMIFS(Dati!$D$2:$D$451,Dati!$A$2:$A$451,$H43,Dati!$H$2:$H$451,$AD43)+SUMIFS(Dati!$K$2:$K$451,Dati!$H$2:$H$451,$H43,Dati!$A$2:$A$451,$AD43)+SUMIFS(Dati!$C$2:$C$451,Dati!$A$2:$A$451,$H43,Dati!$H$2:$H$451,$AD43)+SUMIFS(Dati!$J$2:$J$451,Dati!$H$2:$H$451,$H43,Dati!$A$2:$A$451,$AD43),"-")</f>
        <v/>
      </c>
      <c r="BC43" s="22">
        <f>IF(AND($H43&lt;&gt;"",$AE43&lt;&gt;"",$H43&lt;&gt;$AE43,IFERROR(VLOOKUP($H43,areaCercaPuntiClassificaSquadra,3,FALSE),-1)=IFERROR(VLOOKUP($AE43,areaCercaPuntiClassificaSquadra,3,FALSE),-2)),SUMIFS(Dati!$D$2:$D$451,Dati!$A$2:$A$451,$H43,Dati!$H$2:$H$451,$AE43)+SUMIFS(Dati!$K$2:$K$451,Dati!$H$2:$H$451,$H43,Dati!$A$2:$A$451,$AE43)+SUMIFS(Dati!$C$2:$C$451,Dati!$A$2:$A$451,$H43,Dati!$H$2:$H$451,$AE43)+SUMIFS(Dati!$J$2:$J$451,Dati!$H$2:$H$451,$H43,Dati!$A$2:$A$451,$AE43),"-")</f>
        <v/>
      </c>
      <c r="BD43" s="22">
        <f>IF(AND($H43&lt;&gt;"",$AF43&lt;&gt;"",$H43&lt;&gt;$AF43,IFERROR(VLOOKUP($H43,areaCercaPuntiClassificaSquadra,3,FALSE),-1)=IFERROR(VLOOKUP($AF43,areaCercaPuntiClassificaSquadra,3,FALSE),-2)),SUMIFS(Dati!$D$2:$D$451,Dati!$A$2:$A$451,$H43,Dati!$H$2:$H$451,$AF43)+SUMIFS(Dati!$K$2:$K$451,Dati!$H$2:$H$451,$H43,Dati!$A$2:$A$451,$AF43)+SUMIFS(Dati!$C$2:$C$451,Dati!$A$2:$A$451,$H43,Dati!$H$2:$H$451,$AF43)+SUMIFS(Dati!$J$2:$J$451,Dati!$H$2:$H$451,$H43,Dati!$A$2:$A$451,$AF43),"-")</f>
        <v/>
      </c>
      <c r="BE43" s="22">
        <f>IF(AND($H43&lt;&gt;"",$AG43&lt;&gt;"",$H43&lt;&gt;$AG43,IFERROR(VLOOKUP($H43,areaCercaPuntiClassificaSquadra,3,FALSE),-1)=IFERROR(VLOOKUP($AG43,areaCercaPuntiClassificaSquadra,3,FALSE),-2)),SUMIFS(Dati!$D$2:$D$451,Dati!$A$2:$A$451,$H43,Dati!$H$2:$H$451,$AG43)+SUMIFS(Dati!$K$2:$K$451,Dati!$H$2:$H$451,$H43,Dati!$A$2:$A$451,$AG43)+SUMIFS(Dati!$C$2:$C$451,Dati!$A$2:$A$451,$H43,Dati!$H$2:$H$451,$AG43)+SUMIFS(Dati!$J$2:$J$451,Dati!$H$2:$H$451,$H43,Dati!$A$2:$A$451,$AG43),"-")</f>
        <v/>
      </c>
      <c r="BF43" s="22">
        <f>IF(AND($H43&lt;&gt;"",$AH43&lt;&gt;"",$H43&lt;&gt;$AH43,IFERROR(VLOOKUP($H43,areaCercaPuntiClassificaSquadra,3,FALSE),-1)=IFERROR(VLOOKUP($AH43,areaCercaPuntiClassificaSquadra,3,FALSE),-2)),SUMIFS(Dati!$D$2:$D$451,Dati!$A$2:$A$451,$H43,Dati!$H$2:$H$451,$AH43)+SUMIFS(Dati!$K$2:$K$451,Dati!$H$2:$H$451,$H43,Dati!$A$2:$A$451,$AH43)+SUMIFS(Dati!$C$2:$C$451,Dati!$A$2:$A$451,$H43,Dati!$H$2:$H$451,$AH43)+SUMIFS(Dati!$J$2:$J$451,Dati!$H$2:$H$451,$H43,Dati!$A$2:$A$451,$AH43),"-")</f>
        <v/>
      </c>
      <c r="BH43" s="21">
        <f>$C43</f>
        <v/>
      </c>
      <c r="BI43" s="22">
        <f>IF(AND($H43&lt;&gt;"",$Y43&lt;&gt;"",$H43&lt;&gt;$Y43,IFERROR(VLOOKUP($H43,areaCercaPuntiClassificaSquadra,3,FALSE),-1)=IFERROR(VLOOKUP($Y43,areaCercaPuntiClassificaSquadra,3,FALSE),-2)),SUMIFS(Dati!$E$2:$E$451,Dati!$A$2:$A$451,$H43,Dati!$H$2:$H$451,$Y43)+SUMIFS(Dati!$L$2:$L$451,Dati!$H$2:$H$451,$H43,Dati!$A$2:$A$451,$Y43),"-")</f>
        <v/>
      </c>
      <c r="BJ43" s="22">
        <f>IF(AND($H43&lt;&gt;"",$Z43&lt;&gt;"",$H43&lt;&gt;$Z43,IFERROR(VLOOKUP($H43,areaCercaPuntiClassificaSquadra,3,FALSE),-1)=IFERROR(VLOOKUP($Z43,areaCercaPuntiClassificaSquadra,3,FALSE),-2)),SUMIFS(Dati!$E$2:$E$451,Dati!$A$2:$A$451,$H43,Dati!$H$2:$H$451,$Z43)+SUMIFS(Dati!$L$2:$L$451,Dati!$H$2:$H$451,$H43,Dati!$A$2:$A$451,$Z43),"-")</f>
        <v/>
      </c>
      <c r="BK43" s="22">
        <f>IF(AND($H43&lt;&gt;"",$AA43&lt;&gt;"",$H43&lt;&gt;$AA43,IFERROR(VLOOKUP($H43,areaCercaPuntiClassificaSquadra,3,FALSE),-1)=IFERROR(VLOOKUP($AA43,areaCercaPuntiClassificaSquadra,3,FALSE),-2)),SUMIFS(Dati!$E$2:$E$451,Dati!$A$2:$A$451,$H43,Dati!$H$2:$H$451,$AA43)+SUMIFS(Dati!$L$2:$L$451,Dati!$H$2:$H$451,$H43,Dati!$A$2:$A$451,$AA43),"-")</f>
        <v/>
      </c>
      <c r="BL43" s="22">
        <f>IF(AND($H43&lt;&gt;"",$AB43&lt;&gt;"",$H43&lt;&gt;$AB43,IFERROR(VLOOKUP($H43,areaCercaPuntiClassificaSquadra,3,FALSE),-1)=IFERROR(VLOOKUP($AB43,areaCercaPuntiClassificaSquadra,3,FALSE),-2)),SUMIFS(Dati!$E$2:$E$451,Dati!$A$2:$A$451,$H43,Dati!$H$2:$H$451,$AB43)+SUMIFS(Dati!$L$2:$L$451,Dati!$H$2:$H$451,$H43,Dati!$A$2:$A$451,$AB43),"-")</f>
        <v/>
      </c>
      <c r="BM43" s="22">
        <f>IF(AND($H43&lt;&gt;"",$AC43&lt;&gt;"",$H43&lt;&gt;$AC43,IFERROR(VLOOKUP($H43,areaCercaPuntiClassificaSquadra,3,FALSE),-1)=IFERROR(VLOOKUP($AC43,areaCercaPuntiClassificaSquadra,3,FALSE),-2)),SUMIFS(Dati!$E$2:$E$451,Dati!$A$2:$A$451,$H43,Dati!$H$2:$H$451,$AC43)+SUMIFS(Dati!$L$2:$L$451,Dati!$H$2:$H$451,$H43,Dati!$A$2:$A$451,$AC43),"-")</f>
        <v/>
      </c>
      <c r="BN43" s="22">
        <f>IF(AND($H43&lt;&gt;"",$AD43&lt;&gt;"",$H43&lt;&gt;$AD43,IFERROR(VLOOKUP($H43,areaCercaPuntiClassificaSquadra,3,FALSE),-1)=IFERROR(VLOOKUP($AD43,areaCercaPuntiClassificaSquadra,3,FALSE),-2)),SUMIFS(Dati!$E$2:$E$451,Dati!$A$2:$A$451,$H43,Dati!$H$2:$H$451,$AD43)+SUMIFS(Dati!$L$2:$L$451,Dati!$H$2:$H$451,$H43,Dati!$A$2:$A$451,$AD43),"-")</f>
        <v/>
      </c>
      <c r="BO43" s="22">
        <f>IF(AND($H43&lt;&gt;"",$AE43&lt;&gt;"",$H43&lt;&gt;$AE43,IFERROR(VLOOKUP($H43,areaCercaPuntiClassificaSquadra,3,FALSE),-1)=IFERROR(VLOOKUP($AE43,areaCercaPuntiClassificaSquadra,3,FALSE),-2)),SUMIFS(Dati!$E$2:$E$451,Dati!$A$2:$A$451,$H43,Dati!$H$2:$H$451,$AE43)+SUMIFS(Dati!$L$2:$L$451,Dati!$H$2:$H$451,$H43,Dati!$A$2:$A$451,$AE43),"-")</f>
        <v/>
      </c>
      <c r="BP43" s="22">
        <f>IF(AND($H43&lt;&gt;"",$AF43&lt;&gt;"",$H43&lt;&gt;$AF43,IFERROR(VLOOKUP($H43,areaCercaPuntiClassificaSquadra,3,FALSE),-1)=IFERROR(VLOOKUP($AF43,areaCercaPuntiClassificaSquadra,3,FALSE),-2)),SUMIFS(Dati!$E$2:$E$451,Dati!$A$2:$A$451,$H43,Dati!$H$2:$H$451,$AF43)+SUMIFS(Dati!$L$2:$L$451,Dati!$H$2:$H$451,$H43,Dati!$A$2:$A$451,$AF43),"-")</f>
        <v/>
      </c>
      <c r="BQ43" s="22">
        <f>IF(AND($H43&lt;&gt;"",$AG43&lt;&gt;"",$H43&lt;&gt;$AG43,IFERROR(VLOOKUP($H43,areaCercaPuntiClassificaSquadra,3,FALSE),-1)=IFERROR(VLOOKUP($AG43,areaCercaPuntiClassificaSquadra,3,FALSE),-2)),SUMIFS(Dati!$E$2:$E$451,Dati!$A$2:$A$451,$H43,Dati!$H$2:$H$451,$AG43)+SUMIFS(Dati!$L$2:$L$451,Dati!$H$2:$H$451,$H43,Dati!$A$2:$A$451,$AG43),"-")</f>
        <v/>
      </c>
      <c r="BR43" s="22">
        <f>IF(AND($H43&lt;&gt;"",$AH43&lt;&gt;"",$H43&lt;&gt;$AH43,IFERROR(VLOOKUP($H43,areaCercaPuntiClassificaSquadra,3,FALSE),-1)=IFERROR(VLOOKUP($AH43,areaCercaPuntiClassificaSquadra,3,FALSE),-2)),SUMIFS(Dati!$E$2:$E$451,Dati!$A$2:$A$451,$H43,Dati!$H$2:$H$451,$AH43)+SUMIFS(Dati!$L$2:$L$451,Dati!$H$2:$H$451,$H43,Dati!$A$2:$A$451,$AH43),"-")</f>
        <v/>
      </c>
      <c r="BT43" s="21">
        <f>$C43</f>
        <v/>
      </c>
      <c r="BU43" s="22">
        <f>IF(AND($H43&lt;&gt;"",$Y43&lt;&gt;"",$H43&lt;&gt;$Y43,IFERROR(VLOOKUP($H43,areaCercaPuntiClassificaSquadra,3,FALSE),-1)=IFERROR(VLOOKUP($Y43,areaCercaPuntiClassificaSquadra,3,FALSE),-2)),SUMIFS(Dati!$F$2:$F$451,Dati!$A$2:$A$451,$H43,Dati!$H$2:$H$451,$Y43)+SUMIFS(Dati!$M$2:$M$451,Dati!$H$2:$H$451,$H43,Dati!$A$2:$A$451,$Y43),"-")</f>
        <v/>
      </c>
      <c r="BV43" s="22">
        <f>IF(AND($H43&lt;&gt;"",$Z43&lt;&gt;"",$H43&lt;&gt;$Z43,IFERROR(VLOOKUP($H43,areaCercaPuntiClassificaSquadra,3,FALSE),-1)=IFERROR(VLOOKUP($Z43,areaCercaPuntiClassificaSquadra,3,FALSE),-2)),SUMIFS(Dati!$F$2:$F$451,Dati!$A$2:$A$451,$H43,Dati!$H$2:$H$451,$Z43)+SUMIFS(Dati!$M$2:$M$451,Dati!$H$2:$H$451,$H43,Dati!$A$2:$A$451,$Z43),"-")</f>
        <v/>
      </c>
      <c r="BW43" s="22">
        <f>IF(AND($H43&lt;&gt;"",$AA43&lt;&gt;"",$H43&lt;&gt;$AA43,IFERROR(VLOOKUP($H43,areaCercaPuntiClassificaSquadra,3,FALSE),-1)=IFERROR(VLOOKUP($AA43,areaCercaPuntiClassificaSquadra,3,FALSE),-2)),SUMIFS(Dati!$F$2:$F$451,Dati!$A$2:$A$451,$H43,Dati!$H$2:$H$451,$AA43)+SUMIFS(Dati!$M$2:$M$451,Dati!$H$2:$H$451,$H43,Dati!$A$2:$A$451,$AA43),"-")</f>
        <v/>
      </c>
      <c r="BX43" s="22">
        <f>IF(AND($H43&lt;&gt;"",$AB43&lt;&gt;"",$H43&lt;&gt;$AB43,IFERROR(VLOOKUP($H43,areaCercaPuntiClassificaSquadra,3,FALSE),-1)=IFERROR(VLOOKUP($AB43,areaCercaPuntiClassificaSquadra,3,FALSE),-2)),SUMIFS(Dati!$F$2:$F$451,Dati!$A$2:$A$451,$H43,Dati!$H$2:$H$451,$AB43)+SUMIFS(Dati!$M$2:$M$451,Dati!$H$2:$H$451,$H43,Dati!$A$2:$A$451,$AB43),"-")</f>
        <v/>
      </c>
      <c r="BY43" s="22">
        <f>IF(AND($H43&lt;&gt;"",$AC43&lt;&gt;"",$H43&lt;&gt;$AC43,IFERROR(VLOOKUP($H43,areaCercaPuntiClassificaSquadra,3,FALSE),-1)=IFERROR(VLOOKUP($AC43,areaCercaPuntiClassificaSquadra,3,FALSE),-2)),SUMIFS(Dati!$F$2:$F$451,Dati!$A$2:$A$451,$H43,Dati!$H$2:$H$451,$AC43)+SUMIFS(Dati!$M$2:$M$451,Dati!$H$2:$H$451,$H43,Dati!$A$2:$A$451,$AC43),"-")</f>
        <v/>
      </c>
      <c r="BZ43" s="22">
        <f>IF(AND($H43&lt;&gt;"",$AD43&lt;&gt;"",$H43&lt;&gt;$AD43,IFERROR(VLOOKUP($H43,areaCercaPuntiClassificaSquadra,3,FALSE),-1)=IFERROR(VLOOKUP($AD43,areaCercaPuntiClassificaSquadra,3,FALSE),-2)),SUMIFS(Dati!$F$2:$F$451,Dati!$A$2:$A$451,$H43,Dati!$H$2:$H$451,$AD43)+SUMIFS(Dati!$M$2:$M$451,Dati!$H$2:$H$451,$H43,Dati!$A$2:$A$451,$AD43),"-")</f>
        <v/>
      </c>
      <c r="CA43" s="22">
        <f>IF(AND($H43&lt;&gt;"",$AE43&lt;&gt;"",$H43&lt;&gt;$AE43,IFERROR(VLOOKUP($H43,areaCercaPuntiClassificaSquadra,3,FALSE),-1)=IFERROR(VLOOKUP($AE43,areaCercaPuntiClassificaSquadra,3,FALSE),-2)),SUMIFS(Dati!$F$2:$F$451,Dati!$A$2:$A$451,$H43,Dati!$H$2:$H$451,$AE43)+SUMIFS(Dati!$M$2:$M$451,Dati!$H$2:$H$451,$H43,Dati!$A$2:$A$451,$AE43),"-")</f>
        <v/>
      </c>
      <c r="CB43" s="22">
        <f>IF(AND($H43&lt;&gt;"",$AF43&lt;&gt;"",$H43&lt;&gt;$AF43,IFERROR(VLOOKUP($H43,areaCercaPuntiClassificaSquadra,3,FALSE),-1)=IFERROR(VLOOKUP($AF43,areaCercaPuntiClassificaSquadra,3,FALSE),-2)),SUMIFS(Dati!$F$2:$F$451,Dati!$A$2:$A$451,$H43,Dati!$H$2:$H$451,$AF43)+SUMIFS(Dati!$M$2:$M$451,Dati!$H$2:$H$451,$H43,Dati!$A$2:$A$451,$AF43),"-")</f>
        <v/>
      </c>
      <c r="CC43" s="22">
        <f>IF(AND($H43&lt;&gt;"",$AG43&lt;&gt;"",$H43&lt;&gt;$AG43,IFERROR(VLOOKUP($H43,areaCercaPuntiClassificaSquadra,3,FALSE),-1)=IFERROR(VLOOKUP($AG43,areaCercaPuntiClassificaSquadra,3,FALSE),-2)),SUMIFS(Dati!$F$2:$F$451,Dati!$A$2:$A$451,$H43,Dati!$H$2:$H$451,$AG43)+SUMIFS(Dati!$M$2:$M$451,Dati!$H$2:$H$451,$H43,Dati!$A$2:$A$451,$AG43),"-")</f>
        <v/>
      </c>
      <c r="CD43" s="22">
        <f>IF(AND($H43&lt;&gt;"",$AH43&lt;&gt;"",$H43&lt;&gt;$AH43,IFERROR(VLOOKUP($H43,areaCercaPuntiClassificaSquadra,3,FALSE),-1)=IFERROR(VLOOKUP($AH43,areaCercaPuntiClassificaSquadra,3,FALSE),-2)),SUMIFS(Dati!$F$2:$F$451,Dati!$A$2:$A$451,$H43,Dati!$H$2:$H$451,$AH43)+SUMIFS(Dati!$M$2:$M$451,Dati!$H$2:$H$451,$H43,Dati!$A$2:$A$451,$AH43),"-")</f>
        <v/>
      </c>
      <c r="CF43" s="22">
        <f>IF($C43="","",SUM(AK43:AT43))</f>
        <v/>
      </c>
    </row>
    <row r="44">
      <c r="B44" s="12" t="inlineStr">
        <is>
          <t>D01</t>
        </is>
      </c>
      <c r="C44" s="13" t="n"/>
      <c r="D44" s="14" t="n"/>
      <c r="E44" s="27" t="inlineStr">
        <is>
          <t>D</t>
        </is>
      </c>
      <c r="G44" s="28">
        <f>IF($C44="","",$E44&amp;(COUNTIFS(I$14:I$113,"&gt;"&amp;I44,E$14:E$113,"="&amp;E44,C$14:C$113,"&lt;&gt;")+COUNTIFS(I$14:I$113,"="&amp;I44,H$14:H$113,"&lt;="&amp;H44,E$14:E$113,"="&amp;E44,C$14:C$113,"&lt;&gt;")))</f>
        <v/>
      </c>
      <c r="H44" s="17">
        <f>IF($C44="","",IFERROR(LEFT($C44,FIND("-",$C44)-1),$C44))</f>
        <v/>
      </c>
      <c r="I44" s="12">
        <f>TEXT(1000000000+J44,"|0000000000|")&amp;TEXT(SUM(AK44:AT44),"0000000000|")&amp;IF(SUM(BU44:CD44)=0,"0000000000|",TEXT(ROUND(SUM(BI44:BR44)/SUM(BU44:CD44),4)*100000,"0000000000|"))&amp;IF(P44=0,"0000000000|",TEXT(ROUND(O44/P44,4)*100000,"0000000000|"))</f>
        <v/>
      </c>
      <c r="J44" s="28">
        <f>L44*constPuntiVittoria+M44*constPuntiSconfitta+N44*constPuntiForfait+IF(D44="",0,D44)</f>
        <v/>
      </c>
      <c r="K44" s="12">
        <f>SUM(L44:N44)</f>
        <v/>
      </c>
      <c r="L44" s="12">
        <f>IF($H44="",0,SUMIF(Dati!$A$2:$A$451,$H44,Dati!$B$2:$B$451)+SUMIF(Dati!$H$2:$H$451,$H44,Dati!$I$2:$I$451))</f>
        <v/>
      </c>
      <c r="M44" s="12">
        <f>IF($H44="",0,SUMIF(Dati!$A$2:$A$451,$H44,Dati!$D$2:$D$451)+SUMIF(Dati!$H$2:$H$451,$H44,Dati!$K$2:$K$451))</f>
        <v/>
      </c>
      <c r="N44" s="12">
        <f>IF($H44="",0,SUMIF(Dati!$A$2:$A$451,$H44,Dati!$C$2:$C$451)+SUMIF(Dati!$H$2:$H$451,$H44,Dati!$J$2:$J$451))</f>
        <v/>
      </c>
      <c r="O44" s="12">
        <f>IF($H44="",0,SUMIF(Dati!$A$2:$A$451,$H44,Dati!$E$2:$E$451)+SUMIF(Dati!$H$2:$H$451,$H44,Dati!$L$2:$L$451))</f>
        <v/>
      </c>
      <c r="P44" s="12">
        <f>IF($H44="",0,SUMIF(Dati!$A$2:$A$451,$H44,Dati!$F$2:$F$451)+SUMIF(Dati!$H$2:$H$451,$H44,Dati!$M$2:$M$451))</f>
        <v/>
      </c>
      <c r="Q44" s="12">
        <f>IF($H44="",0,SUMIF(Dati!$A$2:$A$451,$H44,Dati!$G$2:$G$451)+SUMIF(Dati!$H$2:$H$451,$H44,Dati!$N$2:$N$451))</f>
        <v/>
      </c>
      <c r="R44" s="12">
        <f>IF(K44=0,0,ROUND(O44/K44,2))</f>
        <v/>
      </c>
      <c r="S44" s="12">
        <f>IF(K44=0,0,ROUND(P44/K44,2))</f>
        <v/>
      </c>
      <c r="T44" s="12">
        <f>IF(K44=0,0,ROUND(Q44/K44,2))</f>
        <v/>
      </c>
      <c r="U44" s="12">
        <f>IF(COUNTIFS($E$14:$E$113,$E44,$J$14:$J$113,$J44,$C$14:$C$113,"&lt;&gt;")&lt;=1,"-",SUM(AK44:AT44)&amp;"-"&amp;SUM(AW44:BF44))</f>
        <v/>
      </c>
      <c r="V44" s="18">
        <f>IF(COUNTIFS($E$14:$E$113,$E44,$J$14:$J$113,$J44,$C$14:$C$113,"&lt;&gt;",$CF$14:$CF$113,$CF44)&lt;=1,"-",IF(SUM(BU44:CD44)=0,0,ROUND(SUM(BI44:BR44)/SUM(BU44:CD44),3)))</f>
        <v/>
      </c>
      <c r="W44" s="18">
        <f>IF(COUNTIFS($E$14:$E$113,$E44,$J$14:$J$113,$J44,$C$14:$C$113,"&lt;&gt;",$CF$14:$CF$113,$CF44,$V$14:$V$113,$V44)&lt;=1,"-",IF(P44=0,0,ROUND(O44/P44,3)))</f>
        <v/>
      </c>
      <c r="X44" s="19">
        <f>IF($C44="","",$E44&amp;"#"&amp;COUNTIFS($E$14:$E44,$E44,$C$14:$C44,"&lt;&gt;"))</f>
        <v/>
      </c>
      <c r="Y44" s="20">
        <f>IFERROR(INDEX($H$14:$H$113,MATCH($E44&amp;"#1",$X$14:$X$113,0)),"")</f>
        <v/>
      </c>
      <c r="Z44" s="20">
        <f>IFERROR(INDEX($H$14:$H$113,MATCH($E44&amp;"#2",$X$14:$X$113,0)),"")</f>
        <v/>
      </c>
      <c r="AA44" s="20">
        <f>IFERROR(INDEX($H$14:$H$113,MATCH($E44&amp;"#3",$X$14:$X$113,0)),"")</f>
        <v/>
      </c>
      <c r="AB44" s="20">
        <f>IFERROR(INDEX($H$14:$H$113,MATCH($E44&amp;"#4",$X$14:$X$113,0)),"")</f>
        <v/>
      </c>
      <c r="AC44" s="20">
        <f>IFERROR(INDEX($H$14:$H$113,MATCH($E44&amp;"#5",$X$14:$X$113,0)),"")</f>
        <v/>
      </c>
      <c r="AD44" s="20">
        <f>IFERROR(INDEX($H$14:$H$113,MATCH($E44&amp;"#6",$X$14:$X$113,0)),"")</f>
        <v/>
      </c>
      <c r="AE44" s="20">
        <f>IFERROR(INDEX($H$14:$H$113,MATCH($E44&amp;"#7",$X$14:$X$113,0)),"")</f>
        <v/>
      </c>
      <c r="AF44" s="20">
        <f>IFERROR(INDEX($H$14:$H$113,MATCH($E44&amp;"#8",$X$14:$X$113,0)),"")</f>
        <v/>
      </c>
      <c r="AG44" s="20">
        <f>IFERROR(INDEX($H$14:$H$113,MATCH($E44&amp;"#9",$X$14:$X$113,0)),"")</f>
        <v/>
      </c>
      <c r="AH44" s="20">
        <f>IFERROR(INDEX($H$14:$H$113,MATCH($E44&amp;"#10",$X$14:$X$113,0)),"")</f>
        <v/>
      </c>
      <c r="AJ44" s="21">
        <f>$C44</f>
        <v/>
      </c>
      <c r="AK44" s="22">
        <f>IF(AND($H44&lt;&gt;"",$Y44&lt;&gt;"",$H44&lt;&gt;$Y44,IFERROR(VLOOKUP($H44,areaCercaPuntiClassificaSquadra,3,FALSE),-1)=IFERROR(VLOOKUP($Y44,areaCercaPuntiClassificaSquadra,3,FALSE),-2)),SUMIFS(Dati!$B$2:$B$451,Dati!$A$2:$A$451,$H44,Dati!$H$2:$H$451,$Y44)+SUMIFS(Dati!$I$2:$I$451,Dati!$H$2:$H$451,$H44,Dati!$A$2:$A$451,$Y44),"-")</f>
        <v/>
      </c>
      <c r="AL44" s="22">
        <f>IF(AND($H44&lt;&gt;"",$Z44&lt;&gt;"",$H44&lt;&gt;$Z44,IFERROR(VLOOKUP($H44,areaCercaPuntiClassificaSquadra,3,FALSE),-1)=IFERROR(VLOOKUP($Z44,areaCercaPuntiClassificaSquadra,3,FALSE),-2)),SUMIFS(Dati!$B$2:$B$451,Dati!$A$2:$A$451,$H44,Dati!$H$2:$H$451,$Z44)+SUMIFS(Dati!$I$2:$I$451,Dati!$H$2:$H$451,$H44,Dati!$A$2:$A$451,$Z44),"-")</f>
        <v/>
      </c>
      <c r="AM44" s="22">
        <f>IF(AND($H44&lt;&gt;"",$AA44&lt;&gt;"",$H44&lt;&gt;$AA44,IFERROR(VLOOKUP($H44,areaCercaPuntiClassificaSquadra,3,FALSE),-1)=IFERROR(VLOOKUP($AA44,areaCercaPuntiClassificaSquadra,3,FALSE),-2)),SUMIFS(Dati!$B$2:$B$451,Dati!$A$2:$A$451,$H44,Dati!$H$2:$H$451,$AA44)+SUMIFS(Dati!$I$2:$I$451,Dati!$H$2:$H$451,$H44,Dati!$A$2:$A$451,$AA44),"-")</f>
        <v/>
      </c>
      <c r="AN44" s="22">
        <f>IF(AND($H44&lt;&gt;"",$AB44&lt;&gt;"",$H44&lt;&gt;$AB44,IFERROR(VLOOKUP($H44,areaCercaPuntiClassificaSquadra,3,FALSE),-1)=IFERROR(VLOOKUP($AB44,areaCercaPuntiClassificaSquadra,3,FALSE),-2)),SUMIFS(Dati!$B$2:$B$451,Dati!$A$2:$A$451,$H44,Dati!$H$2:$H$451,$AB44)+SUMIFS(Dati!$I$2:$I$451,Dati!$H$2:$H$451,$H44,Dati!$A$2:$A$451,$AB44),"-")</f>
        <v/>
      </c>
      <c r="AO44" s="22">
        <f>IF(AND($H44&lt;&gt;"",$AC44&lt;&gt;"",$H44&lt;&gt;$AC44,IFERROR(VLOOKUP($H44,areaCercaPuntiClassificaSquadra,3,FALSE),-1)=IFERROR(VLOOKUP($AC44,areaCercaPuntiClassificaSquadra,3,FALSE),-2)),SUMIFS(Dati!$B$2:$B$451,Dati!$A$2:$A$451,$H44,Dati!$H$2:$H$451,$AC44)+SUMIFS(Dati!$I$2:$I$451,Dati!$H$2:$H$451,$H44,Dati!$A$2:$A$451,$AC44),"-")</f>
        <v/>
      </c>
      <c r="AP44" s="22">
        <f>IF(AND($H44&lt;&gt;"",$AD44&lt;&gt;"",$H44&lt;&gt;$AD44,IFERROR(VLOOKUP($H44,areaCercaPuntiClassificaSquadra,3,FALSE),-1)=IFERROR(VLOOKUP($AD44,areaCercaPuntiClassificaSquadra,3,FALSE),-2)),SUMIFS(Dati!$B$2:$B$451,Dati!$A$2:$A$451,$H44,Dati!$H$2:$H$451,$AD44)+SUMIFS(Dati!$I$2:$I$451,Dati!$H$2:$H$451,$H44,Dati!$A$2:$A$451,$AD44),"-")</f>
        <v/>
      </c>
      <c r="AQ44" s="22">
        <f>IF(AND($H44&lt;&gt;"",$AE44&lt;&gt;"",$H44&lt;&gt;$AE44,IFERROR(VLOOKUP($H44,areaCercaPuntiClassificaSquadra,3,FALSE),-1)=IFERROR(VLOOKUP($AE44,areaCercaPuntiClassificaSquadra,3,FALSE),-2)),SUMIFS(Dati!$B$2:$B$451,Dati!$A$2:$A$451,$H44,Dati!$H$2:$H$451,$AE44)+SUMIFS(Dati!$I$2:$I$451,Dati!$H$2:$H$451,$H44,Dati!$A$2:$A$451,$AE44),"-")</f>
        <v/>
      </c>
      <c r="AR44" s="22">
        <f>IF(AND($H44&lt;&gt;"",$AF44&lt;&gt;"",$H44&lt;&gt;$AF44,IFERROR(VLOOKUP($H44,areaCercaPuntiClassificaSquadra,3,FALSE),-1)=IFERROR(VLOOKUP($AF44,areaCercaPuntiClassificaSquadra,3,FALSE),-2)),SUMIFS(Dati!$B$2:$B$451,Dati!$A$2:$A$451,$H44,Dati!$H$2:$H$451,$AF44)+SUMIFS(Dati!$I$2:$I$451,Dati!$H$2:$H$451,$H44,Dati!$A$2:$A$451,$AF44),"-")</f>
        <v/>
      </c>
      <c r="AS44" s="22">
        <f>IF(AND($H44&lt;&gt;"",$AG44&lt;&gt;"",$H44&lt;&gt;$AG44,IFERROR(VLOOKUP($H44,areaCercaPuntiClassificaSquadra,3,FALSE),-1)=IFERROR(VLOOKUP($AG44,areaCercaPuntiClassificaSquadra,3,FALSE),-2)),SUMIFS(Dati!$B$2:$B$451,Dati!$A$2:$A$451,$H44,Dati!$H$2:$H$451,$AG44)+SUMIFS(Dati!$I$2:$I$451,Dati!$H$2:$H$451,$H44,Dati!$A$2:$A$451,$AG44),"-")</f>
        <v/>
      </c>
      <c r="AT44" s="22">
        <f>IF(AND($H44&lt;&gt;"",$AH44&lt;&gt;"",$H44&lt;&gt;$AH44,IFERROR(VLOOKUP($H44,areaCercaPuntiClassificaSquadra,3,FALSE),-1)=IFERROR(VLOOKUP($AH44,areaCercaPuntiClassificaSquadra,3,FALSE),-2)),SUMIFS(Dati!$B$2:$B$451,Dati!$A$2:$A$451,$H44,Dati!$H$2:$H$451,$AH44)+SUMIFS(Dati!$I$2:$I$451,Dati!$H$2:$H$451,$H44,Dati!$A$2:$A$451,$AH44),"-")</f>
        <v/>
      </c>
      <c r="AV44" s="21">
        <f>$C44</f>
        <v/>
      </c>
      <c r="AW44" s="22">
        <f>IF(AND($H44&lt;&gt;"",$Y44&lt;&gt;"",$H44&lt;&gt;$Y44,IFERROR(VLOOKUP($H44,areaCercaPuntiClassificaSquadra,3,FALSE),-1)=IFERROR(VLOOKUP($Y44,areaCercaPuntiClassificaSquadra,3,FALSE),-2)),SUMIFS(Dati!$D$2:$D$451,Dati!$A$2:$A$451,$H44,Dati!$H$2:$H$451,$Y44)+SUMIFS(Dati!$K$2:$K$451,Dati!$H$2:$H$451,$H44,Dati!$A$2:$A$451,$Y44)+SUMIFS(Dati!$C$2:$C$451,Dati!$A$2:$A$451,$H44,Dati!$H$2:$H$451,$Y44)+SUMIFS(Dati!$J$2:$J$451,Dati!$H$2:$H$451,$H44,Dati!$A$2:$A$451,$Y44),"-")</f>
        <v/>
      </c>
      <c r="AX44" s="22">
        <f>IF(AND($H44&lt;&gt;"",$Z44&lt;&gt;"",$H44&lt;&gt;$Z44,IFERROR(VLOOKUP($H44,areaCercaPuntiClassificaSquadra,3,FALSE),-1)=IFERROR(VLOOKUP($Z44,areaCercaPuntiClassificaSquadra,3,FALSE),-2)),SUMIFS(Dati!$D$2:$D$451,Dati!$A$2:$A$451,$H44,Dati!$H$2:$H$451,$Z44)+SUMIFS(Dati!$K$2:$K$451,Dati!$H$2:$H$451,$H44,Dati!$A$2:$A$451,$Z44)+SUMIFS(Dati!$C$2:$C$451,Dati!$A$2:$A$451,$H44,Dati!$H$2:$H$451,$Z44)+SUMIFS(Dati!$J$2:$J$451,Dati!$H$2:$H$451,$H44,Dati!$A$2:$A$451,$Z44),"-")</f>
        <v/>
      </c>
      <c r="AY44" s="22">
        <f>IF(AND($H44&lt;&gt;"",$AA44&lt;&gt;"",$H44&lt;&gt;$AA44,IFERROR(VLOOKUP($H44,areaCercaPuntiClassificaSquadra,3,FALSE),-1)=IFERROR(VLOOKUP($AA44,areaCercaPuntiClassificaSquadra,3,FALSE),-2)),SUMIFS(Dati!$D$2:$D$451,Dati!$A$2:$A$451,$H44,Dati!$H$2:$H$451,$AA44)+SUMIFS(Dati!$K$2:$K$451,Dati!$H$2:$H$451,$H44,Dati!$A$2:$A$451,$AA44)+SUMIFS(Dati!$C$2:$C$451,Dati!$A$2:$A$451,$H44,Dati!$H$2:$H$451,$AA44)+SUMIFS(Dati!$J$2:$J$451,Dati!$H$2:$H$451,$H44,Dati!$A$2:$A$451,$AA44),"-")</f>
        <v/>
      </c>
      <c r="AZ44" s="22">
        <f>IF(AND($H44&lt;&gt;"",$AB44&lt;&gt;"",$H44&lt;&gt;$AB44,IFERROR(VLOOKUP($H44,areaCercaPuntiClassificaSquadra,3,FALSE),-1)=IFERROR(VLOOKUP($AB44,areaCercaPuntiClassificaSquadra,3,FALSE),-2)),SUMIFS(Dati!$D$2:$D$451,Dati!$A$2:$A$451,$H44,Dati!$H$2:$H$451,$AB44)+SUMIFS(Dati!$K$2:$K$451,Dati!$H$2:$H$451,$H44,Dati!$A$2:$A$451,$AB44)+SUMIFS(Dati!$C$2:$C$451,Dati!$A$2:$A$451,$H44,Dati!$H$2:$H$451,$AB44)+SUMIFS(Dati!$J$2:$J$451,Dati!$H$2:$H$451,$H44,Dati!$A$2:$A$451,$AB44),"-")</f>
        <v/>
      </c>
      <c r="BA44" s="22">
        <f>IF(AND($H44&lt;&gt;"",$AC44&lt;&gt;"",$H44&lt;&gt;$AC44,IFERROR(VLOOKUP($H44,areaCercaPuntiClassificaSquadra,3,FALSE),-1)=IFERROR(VLOOKUP($AC44,areaCercaPuntiClassificaSquadra,3,FALSE),-2)),SUMIFS(Dati!$D$2:$D$451,Dati!$A$2:$A$451,$H44,Dati!$H$2:$H$451,$AC44)+SUMIFS(Dati!$K$2:$K$451,Dati!$H$2:$H$451,$H44,Dati!$A$2:$A$451,$AC44)+SUMIFS(Dati!$C$2:$C$451,Dati!$A$2:$A$451,$H44,Dati!$H$2:$H$451,$AC44)+SUMIFS(Dati!$J$2:$J$451,Dati!$H$2:$H$451,$H44,Dati!$A$2:$A$451,$AC44),"-")</f>
        <v/>
      </c>
      <c r="BB44" s="22">
        <f>IF(AND($H44&lt;&gt;"",$AD44&lt;&gt;"",$H44&lt;&gt;$AD44,IFERROR(VLOOKUP($H44,areaCercaPuntiClassificaSquadra,3,FALSE),-1)=IFERROR(VLOOKUP($AD44,areaCercaPuntiClassificaSquadra,3,FALSE),-2)),SUMIFS(Dati!$D$2:$D$451,Dati!$A$2:$A$451,$H44,Dati!$H$2:$H$451,$AD44)+SUMIFS(Dati!$K$2:$K$451,Dati!$H$2:$H$451,$H44,Dati!$A$2:$A$451,$AD44)+SUMIFS(Dati!$C$2:$C$451,Dati!$A$2:$A$451,$H44,Dati!$H$2:$H$451,$AD44)+SUMIFS(Dati!$J$2:$J$451,Dati!$H$2:$H$451,$H44,Dati!$A$2:$A$451,$AD44),"-")</f>
        <v/>
      </c>
      <c r="BC44" s="22">
        <f>IF(AND($H44&lt;&gt;"",$AE44&lt;&gt;"",$H44&lt;&gt;$AE44,IFERROR(VLOOKUP($H44,areaCercaPuntiClassificaSquadra,3,FALSE),-1)=IFERROR(VLOOKUP($AE44,areaCercaPuntiClassificaSquadra,3,FALSE),-2)),SUMIFS(Dati!$D$2:$D$451,Dati!$A$2:$A$451,$H44,Dati!$H$2:$H$451,$AE44)+SUMIFS(Dati!$K$2:$K$451,Dati!$H$2:$H$451,$H44,Dati!$A$2:$A$451,$AE44)+SUMIFS(Dati!$C$2:$C$451,Dati!$A$2:$A$451,$H44,Dati!$H$2:$H$451,$AE44)+SUMIFS(Dati!$J$2:$J$451,Dati!$H$2:$H$451,$H44,Dati!$A$2:$A$451,$AE44),"-")</f>
        <v/>
      </c>
      <c r="BD44" s="22">
        <f>IF(AND($H44&lt;&gt;"",$AF44&lt;&gt;"",$H44&lt;&gt;$AF44,IFERROR(VLOOKUP($H44,areaCercaPuntiClassificaSquadra,3,FALSE),-1)=IFERROR(VLOOKUP($AF44,areaCercaPuntiClassificaSquadra,3,FALSE),-2)),SUMIFS(Dati!$D$2:$D$451,Dati!$A$2:$A$451,$H44,Dati!$H$2:$H$451,$AF44)+SUMIFS(Dati!$K$2:$K$451,Dati!$H$2:$H$451,$H44,Dati!$A$2:$A$451,$AF44)+SUMIFS(Dati!$C$2:$C$451,Dati!$A$2:$A$451,$H44,Dati!$H$2:$H$451,$AF44)+SUMIFS(Dati!$J$2:$J$451,Dati!$H$2:$H$451,$H44,Dati!$A$2:$A$451,$AF44),"-")</f>
        <v/>
      </c>
      <c r="BE44" s="22">
        <f>IF(AND($H44&lt;&gt;"",$AG44&lt;&gt;"",$H44&lt;&gt;$AG44,IFERROR(VLOOKUP($H44,areaCercaPuntiClassificaSquadra,3,FALSE),-1)=IFERROR(VLOOKUP($AG44,areaCercaPuntiClassificaSquadra,3,FALSE),-2)),SUMIFS(Dati!$D$2:$D$451,Dati!$A$2:$A$451,$H44,Dati!$H$2:$H$451,$AG44)+SUMIFS(Dati!$K$2:$K$451,Dati!$H$2:$H$451,$H44,Dati!$A$2:$A$451,$AG44)+SUMIFS(Dati!$C$2:$C$451,Dati!$A$2:$A$451,$H44,Dati!$H$2:$H$451,$AG44)+SUMIFS(Dati!$J$2:$J$451,Dati!$H$2:$H$451,$H44,Dati!$A$2:$A$451,$AG44),"-")</f>
        <v/>
      </c>
      <c r="BF44" s="22">
        <f>IF(AND($H44&lt;&gt;"",$AH44&lt;&gt;"",$H44&lt;&gt;$AH44,IFERROR(VLOOKUP($H44,areaCercaPuntiClassificaSquadra,3,FALSE),-1)=IFERROR(VLOOKUP($AH44,areaCercaPuntiClassificaSquadra,3,FALSE),-2)),SUMIFS(Dati!$D$2:$D$451,Dati!$A$2:$A$451,$H44,Dati!$H$2:$H$451,$AH44)+SUMIFS(Dati!$K$2:$K$451,Dati!$H$2:$H$451,$H44,Dati!$A$2:$A$451,$AH44)+SUMIFS(Dati!$C$2:$C$451,Dati!$A$2:$A$451,$H44,Dati!$H$2:$H$451,$AH44)+SUMIFS(Dati!$J$2:$J$451,Dati!$H$2:$H$451,$H44,Dati!$A$2:$A$451,$AH44),"-")</f>
        <v/>
      </c>
      <c r="BH44" s="21">
        <f>$C44</f>
        <v/>
      </c>
      <c r="BI44" s="22">
        <f>IF(AND($H44&lt;&gt;"",$Y44&lt;&gt;"",$H44&lt;&gt;$Y44,IFERROR(VLOOKUP($H44,areaCercaPuntiClassificaSquadra,3,FALSE),-1)=IFERROR(VLOOKUP($Y44,areaCercaPuntiClassificaSquadra,3,FALSE),-2)),SUMIFS(Dati!$E$2:$E$451,Dati!$A$2:$A$451,$H44,Dati!$H$2:$H$451,$Y44)+SUMIFS(Dati!$L$2:$L$451,Dati!$H$2:$H$451,$H44,Dati!$A$2:$A$451,$Y44),"-")</f>
        <v/>
      </c>
      <c r="BJ44" s="22">
        <f>IF(AND($H44&lt;&gt;"",$Z44&lt;&gt;"",$H44&lt;&gt;$Z44,IFERROR(VLOOKUP($H44,areaCercaPuntiClassificaSquadra,3,FALSE),-1)=IFERROR(VLOOKUP($Z44,areaCercaPuntiClassificaSquadra,3,FALSE),-2)),SUMIFS(Dati!$E$2:$E$451,Dati!$A$2:$A$451,$H44,Dati!$H$2:$H$451,$Z44)+SUMIFS(Dati!$L$2:$L$451,Dati!$H$2:$H$451,$H44,Dati!$A$2:$A$451,$Z44),"-")</f>
        <v/>
      </c>
      <c r="BK44" s="22">
        <f>IF(AND($H44&lt;&gt;"",$AA44&lt;&gt;"",$H44&lt;&gt;$AA44,IFERROR(VLOOKUP($H44,areaCercaPuntiClassificaSquadra,3,FALSE),-1)=IFERROR(VLOOKUP($AA44,areaCercaPuntiClassificaSquadra,3,FALSE),-2)),SUMIFS(Dati!$E$2:$E$451,Dati!$A$2:$A$451,$H44,Dati!$H$2:$H$451,$AA44)+SUMIFS(Dati!$L$2:$L$451,Dati!$H$2:$H$451,$H44,Dati!$A$2:$A$451,$AA44),"-")</f>
        <v/>
      </c>
      <c r="BL44" s="22">
        <f>IF(AND($H44&lt;&gt;"",$AB44&lt;&gt;"",$H44&lt;&gt;$AB44,IFERROR(VLOOKUP($H44,areaCercaPuntiClassificaSquadra,3,FALSE),-1)=IFERROR(VLOOKUP($AB44,areaCercaPuntiClassificaSquadra,3,FALSE),-2)),SUMIFS(Dati!$E$2:$E$451,Dati!$A$2:$A$451,$H44,Dati!$H$2:$H$451,$AB44)+SUMIFS(Dati!$L$2:$L$451,Dati!$H$2:$H$451,$H44,Dati!$A$2:$A$451,$AB44),"-")</f>
        <v/>
      </c>
      <c r="BM44" s="22">
        <f>IF(AND($H44&lt;&gt;"",$AC44&lt;&gt;"",$H44&lt;&gt;$AC44,IFERROR(VLOOKUP($H44,areaCercaPuntiClassificaSquadra,3,FALSE),-1)=IFERROR(VLOOKUP($AC44,areaCercaPuntiClassificaSquadra,3,FALSE),-2)),SUMIFS(Dati!$E$2:$E$451,Dati!$A$2:$A$451,$H44,Dati!$H$2:$H$451,$AC44)+SUMIFS(Dati!$L$2:$L$451,Dati!$H$2:$H$451,$H44,Dati!$A$2:$A$451,$AC44),"-")</f>
        <v/>
      </c>
      <c r="BN44" s="22">
        <f>IF(AND($H44&lt;&gt;"",$AD44&lt;&gt;"",$H44&lt;&gt;$AD44,IFERROR(VLOOKUP($H44,areaCercaPuntiClassificaSquadra,3,FALSE),-1)=IFERROR(VLOOKUP($AD44,areaCercaPuntiClassificaSquadra,3,FALSE),-2)),SUMIFS(Dati!$E$2:$E$451,Dati!$A$2:$A$451,$H44,Dati!$H$2:$H$451,$AD44)+SUMIFS(Dati!$L$2:$L$451,Dati!$H$2:$H$451,$H44,Dati!$A$2:$A$451,$AD44),"-")</f>
        <v/>
      </c>
      <c r="BO44" s="22">
        <f>IF(AND($H44&lt;&gt;"",$AE44&lt;&gt;"",$H44&lt;&gt;$AE44,IFERROR(VLOOKUP($H44,areaCercaPuntiClassificaSquadra,3,FALSE),-1)=IFERROR(VLOOKUP($AE44,areaCercaPuntiClassificaSquadra,3,FALSE),-2)),SUMIFS(Dati!$E$2:$E$451,Dati!$A$2:$A$451,$H44,Dati!$H$2:$H$451,$AE44)+SUMIFS(Dati!$L$2:$L$451,Dati!$H$2:$H$451,$H44,Dati!$A$2:$A$451,$AE44),"-")</f>
        <v/>
      </c>
      <c r="BP44" s="22">
        <f>IF(AND($H44&lt;&gt;"",$AF44&lt;&gt;"",$H44&lt;&gt;$AF44,IFERROR(VLOOKUP($H44,areaCercaPuntiClassificaSquadra,3,FALSE),-1)=IFERROR(VLOOKUP($AF44,areaCercaPuntiClassificaSquadra,3,FALSE),-2)),SUMIFS(Dati!$E$2:$E$451,Dati!$A$2:$A$451,$H44,Dati!$H$2:$H$451,$AF44)+SUMIFS(Dati!$L$2:$L$451,Dati!$H$2:$H$451,$H44,Dati!$A$2:$A$451,$AF44),"-")</f>
        <v/>
      </c>
      <c r="BQ44" s="22">
        <f>IF(AND($H44&lt;&gt;"",$AG44&lt;&gt;"",$H44&lt;&gt;$AG44,IFERROR(VLOOKUP($H44,areaCercaPuntiClassificaSquadra,3,FALSE),-1)=IFERROR(VLOOKUP($AG44,areaCercaPuntiClassificaSquadra,3,FALSE),-2)),SUMIFS(Dati!$E$2:$E$451,Dati!$A$2:$A$451,$H44,Dati!$H$2:$H$451,$AG44)+SUMIFS(Dati!$L$2:$L$451,Dati!$H$2:$H$451,$H44,Dati!$A$2:$A$451,$AG44),"-")</f>
        <v/>
      </c>
      <c r="BR44" s="22">
        <f>IF(AND($H44&lt;&gt;"",$AH44&lt;&gt;"",$H44&lt;&gt;$AH44,IFERROR(VLOOKUP($H44,areaCercaPuntiClassificaSquadra,3,FALSE),-1)=IFERROR(VLOOKUP($AH44,areaCercaPuntiClassificaSquadra,3,FALSE),-2)),SUMIFS(Dati!$E$2:$E$451,Dati!$A$2:$A$451,$H44,Dati!$H$2:$H$451,$AH44)+SUMIFS(Dati!$L$2:$L$451,Dati!$H$2:$H$451,$H44,Dati!$A$2:$A$451,$AH44),"-")</f>
        <v/>
      </c>
      <c r="BT44" s="21">
        <f>$C44</f>
        <v/>
      </c>
      <c r="BU44" s="22">
        <f>IF(AND($H44&lt;&gt;"",$Y44&lt;&gt;"",$H44&lt;&gt;$Y44,IFERROR(VLOOKUP($H44,areaCercaPuntiClassificaSquadra,3,FALSE),-1)=IFERROR(VLOOKUP($Y44,areaCercaPuntiClassificaSquadra,3,FALSE),-2)),SUMIFS(Dati!$F$2:$F$451,Dati!$A$2:$A$451,$H44,Dati!$H$2:$H$451,$Y44)+SUMIFS(Dati!$M$2:$M$451,Dati!$H$2:$H$451,$H44,Dati!$A$2:$A$451,$Y44),"-")</f>
        <v/>
      </c>
      <c r="BV44" s="22">
        <f>IF(AND($H44&lt;&gt;"",$Z44&lt;&gt;"",$H44&lt;&gt;$Z44,IFERROR(VLOOKUP($H44,areaCercaPuntiClassificaSquadra,3,FALSE),-1)=IFERROR(VLOOKUP($Z44,areaCercaPuntiClassificaSquadra,3,FALSE),-2)),SUMIFS(Dati!$F$2:$F$451,Dati!$A$2:$A$451,$H44,Dati!$H$2:$H$451,$Z44)+SUMIFS(Dati!$M$2:$M$451,Dati!$H$2:$H$451,$H44,Dati!$A$2:$A$451,$Z44),"-")</f>
        <v/>
      </c>
      <c r="BW44" s="22">
        <f>IF(AND($H44&lt;&gt;"",$AA44&lt;&gt;"",$H44&lt;&gt;$AA44,IFERROR(VLOOKUP($H44,areaCercaPuntiClassificaSquadra,3,FALSE),-1)=IFERROR(VLOOKUP($AA44,areaCercaPuntiClassificaSquadra,3,FALSE),-2)),SUMIFS(Dati!$F$2:$F$451,Dati!$A$2:$A$451,$H44,Dati!$H$2:$H$451,$AA44)+SUMIFS(Dati!$M$2:$M$451,Dati!$H$2:$H$451,$H44,Dati!$A$2:$A$451,$AA44),"-")</f>
        <v/>
      </c>
      <c r="BX44" s="22">
        <f>IF(AND($H44&lt;&gt;"",$AB44&lt;&gt;"",$H44&lt;&gt;$AB44,IFERROR(VLOOKUP($H44,areaCercaPuntiClassificaSquadra,3,FALSE),-1)=IFERROR(VLOOKUP($AB44,areaCercaPuntiClassificaSquadra,3,FALSE),-2)),SUMIFS(Dati!$F$2:$F$451,Dati!$A$2:$A$451,$H44,Dati!$H$2:$H$451,$AB44)+SUMIFS(Dati!$M$2:$M$451,Dati!$H$2:$H$451,$H44,Dati!$A$2:$A$451,$AB44),"-")</f>
        <v/>
      </c>
      <c r="BY44" s="22">
        <f>IF(AND($H44&lt;&gt;"",$AC44&lt;&gt;"",$H44&lt;&gt;$AC44,IFERROR(VLOOKUP($H44,areaCercaPuntiClassificaSquadra,3,FALSE),-1)=IFERROR(VLOOKUP($AC44,areaCercaPuntiClassificaSquadra,3,FALSE),-2)),SUMIFS(Dati!$F$2:$F$451,Dati!$A$2:$A$451,$H44,Dati!$H$2:$H$451,$AC44)+SUMIFS(Dati!$M$2:$M$451,Dati!$H$2:$H$451,$H44,Dati!$A$2:$A$451,$AC44),"-")</f>
        <v/>
      </c>
      <c r="BZ44" s="22">
        <f>IF(AND($H44&lt;&gt;"",$AD44&lt;&gt;"",$H44&lt;&gt;$AD44,IFERROR(VLOOKUP($H44,areaCercaPuntiClassificaSquadra,3,FALSE),-1)=IFERROR(VLOOKUP($AD44,areaCercaPuntiClassificaSquadra,3,FALSE),-2)),SUMIFS(Dati!$F$2:$F$451,Dati!$A$2:$A$451,$H44,Dati!$H$2:$H$451,$AD44)+SUMIFS(Dati!$M$2:$M$451,Dati!$H$2:$H$451,$H44,Dati!$A$2:$A$451,$AD44),"-")</f>
        <v/>
      </c>
      <c r="CA44" s="22">
        <f>IF(AND($H44&lt;&gt;"",$AE44&lt;&gt;"",$H44&lt;&gt;$AE44,IFERROR(VLOOKUP($H44,areaCercaPuntiClassificaSquadra,3,FALSE),-1)=IFERROR(VLOOKUP($AE44,areaCercaPuntiClassificaSquadra,3,FALSE),-2)),SUMIFS(Dati!$F$2:$F$451,Dati!$A$2:$A$451,$H44,Dati!$H$2:$H$451,$AE44)+SUMIFS(Dati!$M$2:$M$451,Dati!$H$2:$H$451,$H44,Dati!$A$2:$A$451,$AE44),"-")</f>
        <v/>
      </c>
      <c r="CB44" s="22">
        <f>IF(AND($H44&lt;&gt;"",$AF44&lt;&gt;"",$H44&lt;&gt;$AF44,IFERROR(VLOOKUP($H44,areaCercaPuntiClassificaSquadra,3,FALSE),-1)=IFERROR(VLOOKUP($AF44,areaCercaPuntiClassificaSquadra,3,FALSE),-2)),SUMIFS(Dati!$F$2:$F$451,Dati!$A$2:$A$451,$H44,Dati!$H$2:$H$451,$AF44)+SUMIFS(Dati!$M$2:$M$451,Dati!$H$2:$H$451,$H44,Dati!$A$2:$A$451,$AF44),"-")</f>
        <v/>
      </c>
      <c r="CC44" s="22">
        <f>IF(AND($H44&lt;&gt;"",$AG44&lt;&gt;"",$H44&lt;&gt;$AG44,IFERROR(VLOOKUP($H44,areaCercaPuntiClassificaSquadra,3,FALSE),-1)=IFERROR(VLOOKUP($AG44,areaCercaPuntiClassificaSquadra,3,FALSE),-2)),SUMIFS(Dati!$F$2:$F$451,Dati!$A$2:$A$451,$H44,Dati!$H$2:$H$451,$AG44)+SUMIFS(Dati!$M$2:$M$451,Dati!$H$2:$H$451,$H44,Dati!$A$2:$A$451,$AG44),"-")</f>
        <v/>
      </c>
      <c r="CD44" s="22">
        <f>IF(AND($H44&lt;&gt;"",$AH44&lt;&gt;"",$H44&lt;&gt;$AH44,IFERROR(VLOOKUP($H44,areaCercaPuntiClassificaSquadra,3,FALSE),-1)=IFERROR(VLOOKUP($AH44,areaCercaPuntiClassificaSquadra,3,FALSE),-2)),SUMIFS(Dati!$F$2:$F$451,Dati!$A$2:$A$451,$H44,Dati!$H$2:$H$451,$AH44)+SUMIFS(Dati!$M$2:$M$451,Dati!$H$2:$H$451,$H44,Dati!$A$2:$A$451,$AH44),"-")</f>
        <v/>
      </c>
      <c r="CF44" s="22">
        <f>IF($C44="","",SUM(AK44:AT44))</f>
        <v/>
      </c>
    </row>
    <row r="45">
      <c r="B45" s="12" t="inlineStr">
        <is>
          <t>D02</t>
        </is>
      </c>
      <c r="C45" s="13" t="n"/>
      <c r="D45" s="14" t="n"/>
      <c r="E45" s="27" t="inlineStr">
        <is>
          <t>D</t>
        </is>
      </c>
      <c r="G45" s="28">
        <f>IF($C45="","",$E45&amp;(COUNTIFS(I$14:I$113,"&gt;"&amp;I45,E$14:E$113,"="&amp;E45,C$14:C$113,"&lt;&gt;")+COUNTIFS(I$14:I$113,"="&amp;I45,H$14:H$113,"&lt;="&amp;H45,E$14:E$113,"="&amp;E45,C$14:C$113,"&lt;&gt;")))</f>
        <v/>
      </c>
      <c r="H45" s="17">
        <f>IF($C45="","",IFERROR(LEFT($C45,FIND("-",$C45)-1),$C45))</f>
        <v/>
      </c>
      <c r="I45" s="12">
        <f>TEXT(1000000000+J45,"|0000000000|")&amp;TEXT(SUM(AK45:AT45),"0000000000|")&amp;IF(SUM(BU45:CD45)=0,"0000000000|",TEXT(ROUND(SUM(BI45:BR45)/SUM(BU45:CD45),4)*100000,"0000000000|"))&amp;IF(P45=0,"0000000000|",TEXT(ROUND(O45/P45,4)*100000,"0000000000|"))</f>
        <v/>
      </c>
      <c r="J45" s="28">
        <f>L45*constPuntiVittoria+M45*constPuntiSconfitta+N45*constPuntiForfait+IF(D45="",0,D45)</f>
        <v/>
      </c>
      <c r="K45" s="12">
        <f>SUM(L45:N45)</f>
        <v/>
      </c>
      <c r="L45" s="12">
        <f>IF($H45="",0,SUMIF(Dati!$A$2:$A$451,$H45,Dati!$B$2:$B$451)+SUMIF(Dati!$H$2:$H$451,$H45,Dati!$I$2:$I$451))</f>
        <v/>
      </c>
      <c r="M45" s="12">
        <f>IF($H45="",0,SUMIF(Dati!$A$2:$A$451,$H45,Dati!$D$2:$D$451)+SUMIF(Dati!$H$2:$H$451,$H45,Dati!$K$2:$K$451))</f>
        <v/>
      </c>
      <c r="N45" s="12">
        <f>IF($H45="",0,SUMIF(Dati!$A$2:$A$451,$H45,Dati!$C$2:$C$451)+SUMIF(Dati!$H$2:$H$451,$H45,Dati!$J$2:$J$451))</f>
        <v/>
      </c>
      <c r="O45" s="12">
        <f>IF($H45="",0,SUMIF(Dati!$A$2:$A$451,$H45,Dati!$E$2:$E$451)+SUMIF(Dati!$H$2:$H$451,$H45,Dati!$L$2:$L$451))</f>
        <v/>
      </c>
      <c r="P45" s="12">
        <f>IF($H45="",0,SUMIF(Dati!$A$2:$A$451,$H45,Dati!$F$2:$F$451)+SUMIF(Dati!$H$2:$H$451,$H45,Dati!$M$2:$M$451))</f>
        <v/>
      </c>
      <c r="Q45" s="12">
        <f>IF($H45="",0,SUMIF(Dati!$A$2:$A$451,$H45,Dati!$G$2:$G$451)+SUMIF(Dati!$H$2:$H$451,$H45,Dati!$N$2:$N$451))</f>
        <v/>
      </c>
      <c r="R45" s="12">
        <f>IF(K45=0,0,ROUND(O45/K45,2))</f>
        <v/>
      </c>
      <c r="S45" s="12">
        <f>IF(K45=0,0,ROUND(P45/K45,2))</f>
        <v/>
      </c>
      <c r="T45" s="12">
        <f>IF(K45=0,0,ROUND(Q45/K45,2))</f>
        <v/>
      </c>
      <c r="U45" s="12">
        <f>IF(COUNTIFS($E$14:$E$113,$E45,$J$14:$J$113,$J45,$C$14:$C$113,"&lt;&gt;")&lt;=1,"-",SUM(AK45:AT45)&amp;"-"&amp;SUM(AW45:BF45))</f>
        <v/>
      </c>
      <c r="V45" s="18">
        <f>IF(COUNTIFS($E$14:$E$113,$E45,$J$14:$J$113,$J45,$C$14:$C$113,"&lt;&gt;",$CF$14:$CF$113,$CF45)&lt;=1,"-",IF(SUM(BU45:CD45)=0,0,ROUND(SUM(BI45:BR45)/SUM(BU45:CD45),3)))</f>
        <v/>
      </c>
      <c r="W45" s="18">
        <f>IF(COUNTIFS($E$14:$E$113,$E45,$J$14:$J$113,$J45,$C$14:$C$113,"&lt;&gt;",$CF$14:$CF$113,$CF45,$V$14:$V$113,$V45)&lt;=1,"-",IF(P45=0,0,ROUND(O45/P45,3)))</f>
        <v/>
      </c>
      <c r="X45" s="19">
        <f>IF($C45="","",$E45&amp;"#"&amp;COUNTIFS($E$14:$E45,$E45,$C$14:$C45,"&lt;&gt;"))</f>
        <v/>
      </c>
      <c r="Y45" s="20">
        <f>IFERROR(INDEX($H$14:$H$113,MATCH($E45&amp;"#1",$X$14:$X$113,0)),"")</f>
        <v/>
      </c>
      <c r="Z45" s="20">
        <f>IFERROR(INDEX($H$14:$H$113,MATCH($E45&amp;"#2",$X$14:$X$113,0)),"")</f>
        <v/>
      </c>
      <c r="AA45" s="20">
        <f>IFERROR(INDEX($H$14:$H$113,MATCH($E45&amp;"#3",$X$14:$X$113,0)),"")</f>
        <v/>
      </c>
      <c r="AB45" s="20">
        <f>IFERROR(INDEX($H$14:$H$113,MATCH($E45&amp;"#4",$X$14:$X$113,0)),"")</f>
        <v/>
      </c>
      <c r="AC45" s="20">
        <f>IFERROR(INDEX($H$14:$H$113,MATCH($E45&amp;"#5",$X$14:$X$113,0)),"")</f>
        <v/>
      </c>
      <c r="AD45" s="20">
        <f>IFERROR(INDEX($H$14:$H$113,MATCH($E45&amp;"#6",$X$14:$X$113,0)),"")</f>
        <v/>
      </c>
      <c r="AE45" s="20">
        <f>IFERROR(INDEX($H$14:$H$113,MATCH($E45&amp;"#7",$X$14:$X$113,0)),"")</f>
        <v/>
      </c>
      <c r="AF45" s="20">
        <f>IFERROR(INDEX($H$14:$H$113,MATCH($E45&amp;"#8",$X$14:$X$113,0)),"")</f>
        <v/>
      </c>
      <c r="AG45" s="20">
        <f>IFERROR(INDEX($H$14:$H$113,MATCH($E45&amp;"#9",$X$14:$X$113,0)),"")</f>
        <v/>
      </c>
      <c r="AH45" s="20">
        <f>IFERROR(INDEX($H$14:$H$113,MATCH($E45&amp;"#10",$X$14:$X$113,0)),"")</f>
        <v/>
      </c>
      <c r="AJ45" s="21">
        <f>$C45</f>
        <v/>
      </c>
      <c r="AK45" s="22">
        <f>IF(AND($H45&lt;&gt;"",$Y45&lt;&gt;"",$H45&lt;&gt;$Y45,IFERROR(VLOOKUP($H45,areaCercaPuntiClassificaSquadra,3,FALSE),-1)=IFERROR(VLOOKUP($Y45,areaCercaPuntiClassificaSquadra,3,FALSE),-2)),SUMIFS(Dati!$B$2:$B$451,Dati!$A$2:$A$451,$H45,Dati!$H$2:$H$451,$Y45)+SUMIFS(Dati!$I$2:$I$451,Dati!$H$2:$H$451,$H45,Dati!$A$2:$A$451,$Y45),"-")</f>
        <v/>
      </c>
      <c r="AL45" s="22">
        <f>IF(AND($H45&lt;&gt;"",$Z45&lt;&gt;"",$H45&lt;&gt;$Z45,IFERROR(VLOOKUP($H45,areaCercaPuntiClassificaSquadra,3,FALSE),-1)=IFERROR(VLOOKUP($Z45,areaCercaPuntiClassificaSquadra,3,FALSE),-2)),SUMIFS(Dati!$B$2:$B$451,Dati!$A$2:$A$451,$H45,Dati!$H$2:$H$451,$Z45)+SUMIFS(Dati!$I$2:$I$451,Dati!$H$2:$H$451,$H45,Dati!$A$2:$A$451,$Z45),"-")</f>
        <v/>
      </c>
      <c r="AM45" s="22">
        <f>IF(AND($H45&lt;&gt;"",$AA45&lt;&gt;"",$H45&lt;&gt;$AA45,IFERROR(VLOOKUP($H45,areaCercaPuntiClassificaSquadra,3,FALSE),-1)=IFERROR(VLOOKUP($AA45,areaCercaPuntiClassificaSquadra,3,FALSE),-2)),SUMIFS(Dati!$B$2:$B$451,Dati!$A$2:$A$451,$H45,Dati!$H$2:$H$451,$AA45)+SUMIFS(Dati!$I$2:$I$451,Dati!$H$2:$H$451,$H45,Dati!$A$2:$A$451,$AA45),"-")</f>
        <v/>
      </c>
      <c r="AN45" s="22">
        <f>IF(AND($H45&lt;&gt;"",$AB45&lt;&gt;"",$H45&lt;&gt;$AB45,IFERROR(VLOOKUP($H45,areaCercaPuntiClassificaSquadra,3,FALSE),-1)=IFERROR(VLOOKUP($AB45,areaCercaPuntiClassificaSquadra,3,FALSE),-2)),SUMIFS(Dati!$B$2:$B$451,Dati!$A$2:$A$451,$H45,Dati!$H$2:$H$451,$AB45)+SUMIFS(Dati!$I$2:$I$451,Dati!$H$2:$H$451,$H45,Dati!$A$2:$A$451,$AB45),"-")</f>
        <v/>
      </c>
      <c r="AO45" s="22">
        <f>IF(AND($H45&lt;&gt;"",$AC45&lt;&gt;"",$H45&lt;&gt;$AC45,IFERROR(VLOOKUP($H45,areaCercaPuntiClassificaSquadra,3,FALSE),-1)=IFERROR(VLOOKUP($AC45,areaCercaPuntiClassificaSquadra,3,FALSE),-2)),SUMIFS(Dati!$B$2:$B$451,Dati!$A$2:$A$451,$H45,Dati!$H$2:$H$451,$AC45)+SUMIFS(Dati!$I$2:$I$451,Dati!$H$2:$H$451,$H45,Dati!$A$2:$A$451,$AC45),"-")</f>
        <v/>
      </c>
      <c r="AP45" s="22">
        <f>IF(AND($H45&lt;&gt;"",$AD45&lt;&gt;"",$H45&lt;&gt;$AD45,IFERROR(VLOOKUP($H45,areaCercaPuntiClassificaSquadra,3,FALSE),-1)=IFERROR(VLOOKUP($AD45,areaCercaPuntiClassificaSquadra,3,FALSE),-2)),SUMIFS(Dati!$B$2:$B$451,Dati!$A$2:$A$451,$H45,Dati!$H$2:$H$451,$AD45)+SUMIFS(Dati!$I$2:$I$451,Dati!$H$2:$H$451,$H45,Dati!$A$2:$A$451,$AD45),"-")</f>
        <v/>
      </c>
      <c r="AQ45" s="22">
        <f>IF(AND($H45&lt;&gt;"",$AE45&lt;&gt;"",$H45&lt;&gt;$AE45,IFERROR(VLOOKUP($H45,areaCercaPuntiClassificaSquadra,3,FALSE),-1)=IFERROR(VLOOKUP($AE45,areaCercaPuntiClassificaSquadra,3,FALSE),-2)),SUMIFS(Dati!$B$2:$B$451,Dati!$A$2:$A$451,$H45,Dati!$H$2:$H$451,$AE45)+SUMIFS(Dati!$I$2:$I$451,Dati!$H$2:$H$451,$H45,Dati!$A$2:$A$451,$AE45),"-")</f>
        <v/>
      </c>
      <c r="AR45" s="22">
        <f>IF(AND($H45&lt;&gt;"",$AF45&lt;&gt;"",$H45&lt;&gt;$AF45,IFERROR(VLOOKUP($H45,areaCercaPuntiClassificaSquadra,3,FALSE),-1)=IFERROR(VLOOKUP($AF45,areaCercaPuntiClassificaSquadra,3,FALSE),-2)),SUMIFS(Dati!$B$2:$B$451,Dati!$A$2:$A$451,$H45,Dati!$H$2:$H$451,$AF45)+SUMIFS(Dati!$I$2:$I$451,Dati!$H$2:$H$451,$H45,Dati!$A$2:$A$451,$AF45),"-")</f>
        <v/>
      </c>
      <c r="AS45" s="22">
        <f>IF(AND($H45&lt;&gt;"",$AG45&lt;&gt;"",$H45&lt;&gt;$AG45,IFERROR(VLOOKUP($H45,areaCercaPuntiClassificaSquadra,3,FALSE),-1)=IFERROR(VLOOKUP($AG45,areaCercaPuntiClassificaSquadra,3,FALSE),-2)),SUMIFS(Dati!$B$2:$B$451,Dati!$A$2:$A$451,$H45,Dati!$H$2:$H$451,$AG45)+SUMIFS(Dati!$I$2:$I$451,Dati!$H$2:$H$451,$H45,Dati!$A$2:$A$451,$AG45),"-")</f>
        <v/>
      </c>
      <c r="AT45" s="22">
        <f>IF(AND($H45&lt;&gt;"",$AH45&lt;&gt;"",$H45&lt;&gt;$AH45,IFERROR(VLOOKUP($H45,areaCercaPuntiClassificaSquadra,3,FALSE),-1)=IFERROR(VLOOKUP($AH45,areaCercaPuntiClassificaSquadra,3,FALSE),-2)),SUMIFS(Dati!$B$2:$B$451,Dati!$A$2:$A$451,$H45,Dati!$H$2:$H$451,$AH45)+SUMIFS(Dati!$I$2:$I$451,Dati!$H$2:$H$451,$H45,Dati!$A$2:$A$451,$AH45),"-")</f>
        <v/>
      </c>
      <c r="AV45" s="21">
        <f>$C45</f>
        <v/>
      </c>
      <c r="AW45" s="22">
        <f>IF(AND($H45&lt;&gt;"",$Y45&lt;&gt;"",$H45&lt;&gt;$Y45,IFERROR(VLOOKUP($H45,areaCercaPuntiClassificaSquadra,3,FALSE),-1)=IFERROR(VLOOKUP($Y45,areaCercaPuntiClassificaSquadra,3,FALSE),-2)),SUMIFS(Dati!$D$2:$D$451,Dati!$A$2:$A$451,$H45,Dati!$H$2:$H$451,$Y45)+SUMIFS(Dati!$K$2:$K$451,Dati!$H$2:$H$451,$H45,Dati!$A$2:$A$451,$Y45)+SUMIFS(Dati!$C$2:$C$451,Dati!$A$2:$A$451,$H45,Dati!$H$2:$H$451,$Y45)+SUMIFS(Dati!$J$2:$J$451,Dati!$H$2:$H$451,$H45,Dati!$A$2:$A$451,$Y45),"-")</f>
        <v/>
      </c>
      <c r="AX45" s="22">
        <f>IF(AND($H45&lt;&gt;"",$Z45&lt;&gt;"",$H45&lt;&gt;$Z45,IFERROR(VLOOKUP($H45,areaCercaPuntiClassificaSquadra,3,FALSE),-1)=IFERROR(VLOOKUP($Z45,areaCercaPuntiClassificaSquadra,3,FALSE),-2)),SUMIFS(Dati!$D$2:$D$451,Dati!$A$2:$A$451,$H45,Dati!$H$2:$H$451,$Z45)+SUMIFS(Dati!$K$2:$K$451,Dati!$H$2:$H$451,$H45,Dati!$A$2:$A$451,$Z45)+SUMIFS(Dati!$C$2:$C$451,Dati!$A$2:$A$451,$H45,Dati!$H$2:$H$451,$Z45)+SUMIFS(Dati!$J$2:$J$451,Dati!$H$2:$H$451,$H45,Dati!$A$2:$A$451,$Z45),"-")</f>
        <v/>
      </c>
      <c r="AY45" s="22">
        <f>IF(AND($H45&lt;&gt;"",$AA45&lt;&gt;"",$H45&lt;&gt;$AA45,IFERROR(VLOOKUP($H45,areaCercaPuntiClassificaSquadra,3,FALSE),-1)=IFERROR(VLOOKUP($AA45,areaCercaPuntiClassificaSquadra,3,FALSE),-2)),SUMIFS(Dati!$D$2:$D$451,Dati!$A$2:$A$451,$H45,Dati!$H$2:$H$451,$AA45)+SUMIFS(Dati!$K$2:$K$451,Dati!$H$2:$H$451,$H45,Dati!$A$2:$A$451,$AA45)+SUMIFS(Dati!$C$2:$C$451,Dati!$A$2:$A$451,$H45,Dati!$H$2:$H$451,$AA45)+SUMIFS(Dati!$J$2:$J$451,Dati!$H$2:$H$451,$H45,Dati!$A$2:$A$451,$AA45),"-")</f>
        <v/>
      </c>
      <c r="AZ45" s="22">
        <f>IF(AND($H45&lt;&gt;"",$AB45&lt;&gt;"",$H45&lt;&gt;$AB45,IFERROR(VLOOKUP($H45,areaCercaPuntiClassificaSquadra,3,FALSE),-1)=IFERROR(VLOOKUP($AB45,areaCercaPuntiClassificaSquadra,3,FALSE),-2)),SUMIFS(Dati!$D$2:$D$451,Dati!$A$2:$A$451,$H45,Dati!$H$2:$H$451,$AB45)+SUMIFS(Dati!$K$2:$K$451,Dati!$H$2:$H$451,$H45,Dati!$A$2:$A$451,$AB45)+SUMIFS(Dati!$C$2:$C$451,Dati!$A$2:$A$451,$H45,Dati!$H$2:$H$451,$AB45)+SUMIFS(Dati!$J$2:$J$451,Dati!$H$2:$H$451,$H45,Dati!$A$2:$A$451,$AB45),"-")</f>
        <v/>
      </c>
      <c r="BA45" s="22">
        <f>IF(AND($H45&lt;&gt;"",$AC45&lt;&gt;"",$H45&lt;&gt;$AC45,IFERROR(VLOOKUP($H45,areaCercaPuntiClassificaSquadra,3,FALSE),-1)=IFERROR(VLOOKUP($AC45,areaCercaPuntiClassificaSquadra,3,FALSE),-2)),SUMIFS(Dati!$D$2:$D$451,Dati!$A$2:$A$451,$H45,Dati!$H$2:$H$451,$AC45)+SUMIFS(Dati!$K$2:$K$451,Dati!$H$2:$H$451,$H45,Dati!$A$2:$A$451,$AC45)+SUMIFS(Dati!$C$2:$C$451,Dati!$A$2:$A$451,$H45,Dati!$H$2:$H$451,$AC45)+SUMIFS(Dati!$J$2:$J$451,Dati!$H$2:$H$451,$H45,Dati!$A$2:$A$451,$AC45),"-")</f>
        <v/>
      </c>
      <c r="BB45" s="22">
        <f>IF(AND($H45&lt;&gt;"",$AD45&lt;&gt;"",$H45&lt;&gt;$AD45,IFERROR(VLOOKUP($H45,areaCercaPuntiClassificaSquadra,3,FALSE),-1)=IFERROR(VLOOKUP($AD45,areaCercaPuntiClassificaSquadra,3,FALSE),-2)),SUMIFS(Dati!$D$2:$D$451,Dati!$A$2:$A$451,$H45,Dati!$H$2:$H$451,$AD45)+SUMIFS(Dati!$K$2:$K$451,Dati!$H$2:$H$451,$H45,Dati!$A$2:$A$451,$AD45)+SUMIFS(Dati!$C$2:$C$451,Dati!$A$2:$A$451,$H45,Dati!$H$2:$H$451,$AD45)+SUMIFS(Dati!$J$2:$J$451,Dati!$H$2:$H$451,$H45,Dati!$A$2:$A$451,$AD45),"-")</f>
        <v/>
      </c>
      <c r="BC45" s="22">
        <f>IF(AND($H45&lt;&gt;"",$AE45&lt;&gt;"",$H45&lt;&gt;$AE45,IFERROR(VLOOKUP($H45,areaCercaPuntiClassificaSquadra,3,FALSE),-1)=IFERROR(VLOOKUP($AE45,areaCercaPuntiClassificaSquadra,3,FALSE),-2)),SUMIFS(Dati!$D$2:$D$451,Dati!$A$2:$A$451,$H45,Dati!$H$2:$H$451,$AE45)+SUMIFS(Dati!$K$2:$K$451,Dati!$H$2:$H$451,$H45,Dati!$A$2:$A$451,$AE45)+SUMIFS(Dati!$C$2:$C$451,Dati!$A$2:$A$451,$H45,Dati!$H$2:$H$451,$AE45)+SUMIFS(Dati!$J$2:$J$451,Dati!$H$2:$H$451,$H45,Dati!$A$2:$A$451,$AE45),"-")</f>
        <v/>
      </c>
      <c r="BD45" s="22">
        <f>IF(AND($H45&lt;&gt;"",$AF45&lt;&gt;"",$H45&lt;&gt;$AF45,IFERROR(VLOOKUP($H45,areaCercaPuntiClassificaSquadra,3,FALSE),-1)=IFERROR(VLOOKUP($AF45,areaCercaPuntiClassificaSquadra,3,FALSE),-2)),SUMIFS(Dati!$D$2:$D$451,Dati!$A$2:$A$451,$H45,Dati!$H$2:$H$451,$AF45)+SUMIFS(Dati!$K$2:$K$451,Dati!$H$2:$H$451,$H45,Dati!$A$2:$A$451,$AF45)+SUMIFS(Dati!$C$2:$C$451,Dati!$A$2:$A$451,$H45,Dati!$H$2:$H$451,$AF45)+SUMIFS(Dati!$J$2:$J$451,Dati!$H$2:$H$451,$H45,Dati!$A$2:$A$451,$AF45),"-")</f>
        <v/>
      </c>
      <c r="BE45" s="22">
        <f>IF(AND($H45&lt;&gt;"",$AG45&lt;&gt;"",$H45&lt;&gt;$AG45,IFERROR(VLOOKUP($H45,areaCercaPuntiClassificaSquadra,3,FALSE),-1)=IFERROR(VLOOKUP($AG45,areaCercaPuntiClassificaSquadra,3,FALSE),-2)),SUMIFS(Dati!$D$2:$D$451,Dati!$A$2:$A$451,$H45,Dati!$H$2:$H$451,$AG45)+SUMIFS(Dati!$K$2:$K$451,Dati!$H$2:$H$451,$H45,Dati!$A$2:$A$451,$AG45)+SUMIFS(Dati!$C$2:$C$451,Dati!$A$2:$A$451,$H45,Dati!$H$2:$H$451,$AG45)+SUMIFS(Dati!$J$2:$J$451,Dati!$H$2:$H$451,$H45,Dati!$A$2:$A$451,$AG45),"-")</f>
        <v/>
      </c>
      <c r="BF45" s="22">
        <f>IF(AND($H45&lt;&gt;"",$AH45&lt;&gt;"",$H45&lt;&gt;$AH45,IFERROR(VLOOKUP($H45,areaCercaPuntiClassificaSquadra,3,FALSE),-1)=IFERROR(VLOOKUP($AH45,areaCercaPuntiClassificaSquadra,3,FALSE),-2)),SUMIFS(Dati!$D$2:$D$451,Dati!$A$2:$A$451,$H45,Dati!$H$2:$H$451,$AH45)+SUMIFS(Dati!$K$2:$K$451,Dati!$H$2:$H$451,$H45,Dati!$A$2:$A$451,$AH45)+SUMIFS(Dati!$C$2:$C$451,Dati!$A$2:$A$451,$H45,Dati!$H$2:$H$451,$AH45)+SUMIFS(Dati!$J$2:$J$451,Dati!$H$2:$H$451,$H45,Dati!$A$2:$A$451,$AH45),"-")</f>
        <v/>
      </c>
      <c r="BH45" s="21">
        <f>$C45</f>
        <v/>
      </c>
      <c r="BI45" s="22">
        <f>IF(AND($H45&lt;&gt;"",$Y45&lt;&gt;"",$H45&lt;&gt;$Y45,IFERROR(VLOOKUP($H45,areaCercaPuntiClassificaSquadra,3,FALSE),-1)=IFERROR(VLOOKUP($Y45,areaCercaPuntiClassificaSquadra,3,FALSE),-2)),SUMIFS(Dati!$E$2:$E$451,Dati!$A$2:$A$451,$H45,Dati!$H$2:$H$451,$Y45)+SUMIFS(Dati!$L$2:$L$451,Dati!$H$2:$H$451,$H45,Dati!$A$2:$A$451,$Y45),"-")</f>
        <v/>
      </c>
      <c r="BJ45" s="22">
        <f>IF(AND($H45&lt;&gt;"",$Z45&lt;&gt;"",$H45&lt;&gt;$Z45,IFERROR(VLOOKUP($H45,areaCercaPuntiClassificaSquadra,3,FALSE),-1)=IFERROR(VLOOKUP($Z45,areaCercaPuntiClassificaSquadra,3,FALSE),-2)),SUMIFS(Dati!$E$2:$E$451,Dati!$A$2:$A$451,$H45,Dati!$H$2:$H$451,$Z45)+SUMIFS(Dati!$L$2:$L$451,Dati!$H$2:$H$451,$H45,Dati!$A$2:$A$451,$Z45),"-")</f>
        <v/>
      </c>
      <c r="BK45" s="22">
        <f>IF(AND($H45&lt;&gt;"",$AA45&lt;&gt;"",$H45&lt;&gt;$AA45,IFERROR(VLOOKUP($H45,areaCercaPuntiClassificaSquadra,3,FALSE),-1)=IFERROR(VLOOKUP($AA45,areaCercaPuntiClassificaSquadra,3,FALSE),-2)),SUMIFS(Dati!$E$2:$E$451,Dati!$A$2:$A$451,$H45,Dati!$H$2:$H$451,$AA45)+SUMIFS(Dati!$L$2:$L$451,Dati!$H$2:$H$451,$H45,Dati!$A$2:$A$451,$AA45),"-")</f>
        <v/>
      </c>
      <c r="BL45" s="22">
        <f>IF(AND($H45&lt;&gt;"",$AB45&lt;&gt;"",$H45&lt;&gt;$AB45,IFERROR(VLOOKUP($H45,areaCercaPuntiClassificaSquadra,3,FALSE),-1)=IFERROR(VLOOKUP($AB45,areaCercaPuntiClassificaSquadra,3,FALSE),-2)),SUMIFS(Dati!$E$2:$E$451,Dati!$A$2:$A$451,$H45,Dati!$H$2:$H$451,$AB45)+SUMIFS(Dati!$L$2:$L$451,Dati!$H$2:$H$451,$H45,Dati!$A$2:$A$451,$AB45),"-")</f>
        <v/>
      </c>
      <c r="BM45" s="22">
        <f>IF(AND($H45&lt;&gt;"",$AC45&lt;&gt;"",$H45&lt;&gt;$AC45,IFERROR(VLOOKUP($H45,areaCercaPuntiClassificaSquadra,3,FALSE),-1)=IFERROR(VLOOKUP($AC45,areaCercaPuntiClassificaSquadra,3,FALSE),-2)),SUMIFS(Dati!$E$2:$E$451,Dati!$A$2:$A$451,$H45,Dati!$H$2:$H$451,$AC45)+SUMIFS(Dati!$L$2:$L$451,Dati!$H$2:$H$451,$H45,Dati!$A$2:$A$451,$AC45),"-")</f>
        <v/>
      </c>
      <c r="BN45" s="22">
        <f>IF(AND($H45&lt;&gt;"",$AD45&lt;&gt;"",$H45&lt;&gt;$AD45,IFERROR(VLOOKUP($H45,areaCercaPuntiClassificaSquadra,3,FALSE),-1)=IFERROR(VLOOKUP($AD45,areaCercaPuntiClassificaSquadra,3,FALSE),-2)),SUMIFS(Dati!$E$2:$E$451,Dati!$A$2:$A$451,$H45,Dati!$H$2:$H$451,$AD45)+SUMIFS(Dati!$L$2:$L$451,Dati!$H$2:$H$451,$H45,Dati!$A$2:$A$451,$AD45),"-")</f>
        <v/>
      </c>
      <c r="BO45" s="22">
        <f>IF(AND($H45&lt;&gt;"",$AE45&lt;&gt;"",$H45&lt;&gt;$AE45,IFERROR(VLOOKUP($H45,areaCercaPuntiClassificaSquadra,3,FALSE),-1)=IFERROR(VLOOKUP($AE45,areaCercaPuntiClassificaSquadra,3,FALSE),-2)),SUMIFS(Dati!$E$2:$E$451,Dati!$A$2:$A$451,$H45,Dati!$H$2:$H$451,$AE45)+SUMIFS(Dati!$L$2:$L$451,Dati!$H$2:$H$451,$H45,Dati!$A$2:$A$451,$AE45),"-")</f>
        <v/>
      </c>
      <c r="BP45" s="22">
        <f>IF(AND($H45&lt;&gt;"",$AF45&lt;&gt;"",$H45&lt;&gt;$AF45,IFERROR(VLOOKUP($H45,areaCercaPuntiClassificaSquadra,3,FALSE),-1)=IFERROR(VLOOKUP($AF45,areaCercaPuntiClassificaSquadra,3,FALSE),-2)),SUMIFS(Dati!$E$2:$E$451,Dati!$A$2:$A$451,$H45,Dati!$H$2:$H$451,$AF45)+SUMIFS(Dati!$L$2:$L$451,Dati!$H$2:$H$451,$H45,Dati!$A$2:$A$451,$AF45),"-")</f>
        <v/>
      </c>
      <c r="BQ45" s="22">
        <f>IF(AND($H45&lt;&gt;"",$AG45&lt;&gt;"",$H45&lt;&gt;$AG45,IFERROR(VLOOKUP($H45,areaCercaPuntiClassificaSquadra,3,FALSE),-1)=IFERROR(VLOOKUP($AG45,areaCercaPuntiClassificaSquadra,3,FALSE),-2)),SUMIFS(Dati!$E$2:$E$451,Dati!$A$2:$A$451,$H45,Dati!$H$2:$H$451,$AG45)+SUMIFS(Dati!$L$2:$L$451,Dati!$H$2:$H$451,$H45,Dati!$A$2:$A$451,$AG45),"-")</f>
        <v/>
      </c>
      <c r="BR45" s="22">
        <f>IF(AND($H45&lt;&gt;"",$AH45&lt;&gt;"",$H45&lt;&gt;$AH45,IFERROR(VLOOKUP($H45,areaCercaPuntiClassificaSquadra,3,FALSE),-1)=IFERROR(VLOOKUP($AH45,areaCercaPuntiClassificaSquadra,3,FALSE),-2)),SUMIFS(Dati!$E$2:$E$451,Dati!$A$2:$A$451,$H45,Dati!$H$2:$H$451,$AH45)+SUMIFS(Dati!$L$2:$L$451,Dati!$H$2:$H$451,$H45,Dati!$A$2:$A$451,$AH45),"-")</f>
        <v/>
      </c>
      <c r="BT45" s="21">
        <f>$C45</f>
        <v/>
      </c>
      <c r="BU45" s="22">
        <f>IF(AND($H45&lt;&gt;"",$Y45&lt;&gt;"",$H45&lt;&gt;$Y45,IFERROR(VLOOKUP($H45,areaCercaPuntiClassificaSquadra,3,FALSE),-1)=IFERROR(VLOOKUP($Y45,areaCercaPuntiClassificaSquadra,3,FALSE),-2)),SUMIFS(Dati!$F$2:$F$451,Dati!$A$2:$A$451,$H45,Dati!$H$2:$H$451,$Y45)+SUMIFS(Dati!$M$2:$M$451,Dati!$H$2:$H$451,$H45,Dati!$A$2:$A$451,$Y45),"-")</f>
        <v/>
      </c>
      <c r="BV45" s="22">
        <f>IF(AND($H45&lt;&gt;"",$Z45&lt;&gt;"",$H45&lt;&gt;$Z45,IFERROR(VLOOKUP($H45,areaCercaPuntiClassificaSquadra,3,FALSE),-1)=IFERROR(VLOOKUP($Z45,areaCercaPuntiClassificaSquadra,3,FALSE),-2)),SUMIFS(Dati!$F$2:$F$451,Dati!$A$2:$A$451,$H45,Dati!$H$2:$H$451,$Z45)+SUMIFS(Dati!$M$2:$M$451,Dati!$H$2:$H$451,$H45,Dati!$A$2:$A$451,$Z45),"-")</f>
        <v/>
      </c>
      <c r="BW45" s="22">
        <f>IF(AND($H45&lt;&gt;"",$AA45&lt;&gt;"",$H45&lt;&gt;$AA45,IFERROR(VLOOKUP($H45,areaCercaPuntiClassificaSquadra,3,FALSE),-1)=IFERROR(VLOOKUP($AA45,areaCercaPuntiClassificaSquadra,3,FALSE),-2)),SUMIFS(Dati!$F$2:$F$451,Dati!$A$2:$A$451,$H45,Dati!$H$2:$H$451,$AA45)+SUMIFS(Dati!$M$2:$M$451,Dati!$H$2:$H$451,$H45,Dati!$A$2:$A$451,$AA45),"-")</f>
        <v/>
      </c>
      <c r="BX45" s="22">
        <f>IF(AND($H45&lt;&gt;"",$AB45&lt;&gt;"",$H45&lt;&gt;$AB45,IFERROR(VLOOKUP($H45,areaCercaPuntiClassificaSquadra,3,FALSE),-1)=IFERROR(VLOOKUP($AB45,areaCercaPuntiClassificaSquadra,3,FALSE),-2)),SUMIFS(Dati!$F$2:$F$451,Dati!$A$2:$A$451,$H45,Dati!$H$2:$H$451,$AB45)+SUMIFS(Dati!$M$2:$M$451,Dati!$H$2:$H$451,$H45,Dati!$A$2:$A$451,$AB45),"-")</f>
        <v/>
      </c>
      <c r="BY45" s="22">
        <f>IF(AND($H45&lt;&gt;"",$AC45&lt;&gt;"",$H45&lt;&gt;$AC45,IFERROR(VLOOKUP($H45,areaCercaPuntiClassificaSquadra,3,FALSE),-1)=IFERROR(VLOOKUP($AC45,areaCercaPuntiClassificaSquadra,3,FALSE),-2)),SUMIFS(Dati!$F$2:$F$451,Dati!$A$2:$A$451,$H45,Dati!$H$2:$H$451,$AC45)+SUMIFS(Dati!$M$2:$M$451,Dati!$H$2:$H$451,$H45,Dati!$A$2:$A$451,$AC45),"-")</f>
        <v/>
      </c>
      <c r="BZ45" s="22">
        <f>IF(AND($H45&lt;&gt;"",$AD45&lt;&gt;"",$H45&lt;&gt;$AD45,IFERROR(VLOOKUP($H45,areaCercaPuntiClassificaSquadra,3,FALSE),-1)=IFERROR(VLOOKUP($AD45,areaCercaPuntiClassificaSquadra,3,FALSE),-2)),SUMIFS(Dati!$F$2:$F$451,Dati!$A$2:$A$451,$H45,Dati!$H$2:$H$451,$AD45)+SUMIFS(Dati!$M$2:$M$451,Dati!$H$2:$H$451,$H45,Dati!$A$2:$A$451,$AD45),"-")</f>
        <v/>
      </c>
      <c r="CA45" s="22">
        <f>IF(AND($H45&lt;&gt;"",$AE45&lt;&gt;"",$H45&lt;&gt;$AE45,IFERROR(VLOOKUP($H45,areaCercaPuntiClassificaSquadra,3,FALSE),-1)=IFERROR(VLOOKUP($AE45,areaCercaPuntiClassificaSquadra,3,FALSE),-2)),SUMIFS(Dati!$F$2:$F$451,Dati!$A$2:$A$451,$H45,Dati!$H$2:$H$451,$AE45)+SUMIFS(Dati!$M$2:$M$451,Dati!$H$2:$H$451,$H45,Dati!$A$2:$A$451,$AE45),"-")</f>
        <v/>
      </c>
      <c r="CB45" s="22">
        <f>IF(AND($H45&lt;&gt;"",$AF45&lt;&gt;"",$H45&lt;&gt;$AF45,IFERROR(VLOOKUP($H45,areaCercaPuntiClassificaSquadra,3,FALSE),-1)=IFERROR(VLOOKUP($AF45,areaCercaPuntiClassificaSquadra,3,FALSE),-2)),SUMIFS(Dati!$F$2:$F$451,Dati!$A$2:$A$451,$H45,Dati!$H$2:$H$451,$AF45)+SUMIFS(Dati!$M$2:$M$451,Dati!$H$2:$H$451,$H45,Dati!$A$2:$A$451,$AF45),"-")</f>
        <v/>
      </c>
      <c r="CC45" s="22">
        <f>IF(AND($H45&lt;&gt;"",$AG45&lt;&gt;"",$H45&lt;&gt;$AG45,IFERROR(VLOOKUP($H45,areaCercaPuntiClassificaSquadra,3,FALSE),-1)=IFERROR(VLOOKUP($AG45,areaCercaPuntiClassificaSquadra,3,FALSE),-2)),SUMIFS(Dati!$F$2:$F$451,Dati!$A$2:$A$451,$H45,Dati!$H$2:$H$451,$AG45)+SUMIFS(Dati!$M$2:$M$451,Dati!$H$2:$H$451,$H45,Dati!$A$2:$A$451,$AG45),"-")</f>
        <v/>
      </c>
      <c r="CD45" s="22">
        <f>IF(AND($H45&lt;&gt;"",$AH45&lt;&gt;"",$H45&lt;&gt;$AH45,IFERROR(VLOOKUP($H45,areaCercaPuntiClassificaSquadra,3,FALSE),-1)=IFERROR(VLOOKUP($AH45,areaCercaPuntiClassificaSquadra,3,FALSE),-2)),SUMIFS(Dati!$F$2:$F$451,Dati!$A$2:$A$451,$H45,Dati!$H$2:$H$451,$AH45)+SUMIFS(Dati!$M$2:$M$451,Dati!$H$2:$H$451,$H45,Dati!$A$2:$A$451,$AH45),"-")</f>
        <v/>
      </c>
      <c r="CF45" s="22">
        <f>IF($C45="","",SUM(AK45:AT45))</f>
        <v/>
      </c>
    </row>
    <row r="46">
      <c r="B46" s="12" t="inlineStr">
        <is>
          <t>D03</t>
        </is>
      </c>
      <c r="C46" s="13" t="n"/>
      <c r="D46" s="14" t="n"/>
      <c r="E46" s="27" t="inlineStr">
        <is>
          <t>D</t>
        </is>
      </c>
      <c r="G46" s="28">
        <f>IF($C46="","",$E46&amp;(COUNTIFS(I$14:I$113,"&gt;"&amp;I46,E$14:E$113,"="&amp;E46,C$14:C$113,"&lt;&gt;")+COUNTIFS(I$14:I$113,"="&amp;I46,H$14:H$113,"&lt;="&amp;H46,E$14:E$113,"="&amp;E46,C$14:C$113,"&lt;&gt;")))</f>
        <v/>
      </c>
      <c r="H46" s="17">
        <f>IF($C46="","",IFERROR(LEFT($C46,FIND("-",$C46)-1),$C46))</f>
        <v/>
      </c>
      <c r="I46" s="12">
        <f>TEXT(1000000000+J46,"|0000000000|")&amp;TEXT(SUM(AK46:AT46),"0000000000|")&amp;IF(SUM(BU46:CD46)=0,"0000000000|",TEXT(ROUND(SUM(BI46:BR46)/SUM(BU46:CD46),4)*100000,"0000000000|"))&amp;IF(P46=0,"0000000000|",TEXT(ROUND(O46/P46,4)*100000,"0000000000|"))</f>
        <v/>
      </c>
      <c r="J46" s="28">
        <f>L46*constPuntiVittoria+M46*constPuntiSconfitta+N46*constPuntiForfait+IF(D46="",0,D46)</f>
        <v/>
      </c>
      <c r="K46" s="12">
        <f>SUM(L46:N46)</f>
        <v/>
      </c>
      <c r="L46" s="12">
        <f>IF($H46="",0,SUMIF(Dati!$A$2:$A$451,$H46,Dati!$B$2:$B$451)+SUMIF(Dati!$H$2:$H$451,$H46,Dati!$I$2:$I$451))</f>
        <v/>
      </c>
      <c r="M46" s="12">
        <f>IF($H46="",0,SUMIF(Dati!$A$2:$A$451,$H46,Dati!$D$2:$D$451)+SUMIF(Dati!$H$2:$H$451,$H46,Dati!$K$2:$K$451))</f>
        <v/>
      </c>
      <c r="N46" s="12">
        <f>IF($H46="",0,SUMIF(Dati!$A$2:$A$451,$H46,Dati!$C$2:$C$451)+SUMIF(Dati!$H$2:$H$451,$H46,Dati!$J$2:$J$451))</f>
        <v/>
      </c>
      <c r="O46" s="12">
        <f>IF($H46="",0,SUMIF(Dati!$A$2:$A$451,$H46,Dati!$E$2:$E$451)+SUMIF(Dati!$H$2:$H$451,$H46,Dati!$L$2:$L$451))</f>
        <v/>
      </c>
      <c r="P46" s="12">
        <f>IF($H46="",0,SUMIF(Dati!$A$2:$A$451,$H46,Dati!$F$2:$F$451)+SUMIF(Dati!$H$2:$H$451,$H46,Dati!$M$2:$M$451))</f>
        <v/>
      </c>
      <c r="Q46" s="12">
        <f>IF($H46="",0,SUMIF(Dati!$A$2:$A$451,$H46,Dati!$G$2:$G$451)+SUMIF(Dati!$H$2:$H$451,$H46,Dati!$N$2:$N$451))</f>
        <v/>
      </c>
      <c r="R46" s="12">
        <f>IF(K46=0,0,ROUND(O46/K46,2))</f>
        <v/>
      </c>
      <c r="S46" s="12">
        <f>IF(K46=0,0,ROUND(P46/K46,2))</f>
        <v/>
      </c>
      <c r="T46" s="12">
        <f>IF(K46=0,0,ROUND(Q46/K46,2))</f>
        <v/>
      </c>
      <c r="U46" s="12">
        <f>IF(COUNTIFS($E$14:$E$113,$E46,$J$14:$J$113,$J46,$C$14:$C$113,"&lt;&gt;")&lt;=1,"-",SUM(AK46:AT46)&amp;"-"&amp;SUM(AW46:BF46))</f>
        <v/>
      </c>
      <c r="V46" s="18">
        <f>IF(COUNTIFS($E$14:$E$113,$E46,$J$14:$J$113,$J46,$C$14:$C$113,"&lt;&gt;",$CF$14:$CF$113,$CF46)&lt;=1,"-",IF(SUM(BU46:CD46)=0,0,ROUND(SUM(BI46:BR46)/SUM(BU46:CD46),3)))</f>
        <v/>
      </c>
      <c r="W46" s="18">
        <f>IF(COUNTIFS($E$14:$E$113,$E46,$J$14:$J$113,$J46,$C$14:$C$113,"&lt;&gt;",$CF$14:$CF$113,$CF46,$V$14:$V$113,$V46)&lt;=1,"-",IF(P46=0,0,ROUND(O46/P46,3)))</f>
        <v/>
      </c>
      <c r="X46" s="19">
        <f>IF($C46="","",$E46&amp;"#"&amp;COUNTIFS($E$14:$E46,$E46,$C$14:$C46,"&lt;&gt;"))</f>
        <v/>
      </c>
      <c r="Y46" s="20">
        <f>IFERROR(INDEX($H$14:$H$113,MATCH($E46&amp;"#1",$X$14:$X$113,0)),"")</f>
        <v/>
      </c>
      <c r="Z46" s="20">
        <f>IFERROR(INDEX($H$14:$H$113,MATCH($E46&amp;"#2",$X$14:$X$113,0)),"")</f>
        <v/>
      </c>
      <c r="AA46" s="20">
        <f>IFERROR(INDEX($H$14:$H$113,MATCH($E46&amp;"#3",$X$14:$X$113,0)),"")</f>
        <v/>
      </c>
      <c r="AB46" s="20">
        <f>IFERROR(INDEX($H$14:$H$113,MATCH($E46&amp;"#4",$X$14:$X$113,0)),"")</f>
        <v/>
      </c>
      <c r="AC46" s="20">
        <f>IFERROR(INDEX($H$14:$H$113,MATCH($E46&amp;"#5",$X$14:$X$113,0)),"")</f>
        <v/>
      </c>
      <c r="AD46" s="20">
        <f>IFERROR(INDEX($H$14:$H$113,MATCH($E46&amp;"#6",$X$14:$X$113,0)),"")</f>
        <v/>
      </c>
      <c r="AE46" s="20">
        <f>IFERROR(INDEX($H$14:$H$113,MATCH($E46&amp;"#7",$X$14:$X$113,0)),"")</f>
        <v/>
      </c>
      <c r="AF46" s="20">
        <f>IFERROR(INDEX($H$14:$H$113,MATCH($E46&amp;"#8",$X$14:$X$113,0)),"")</f>
        <v/>
      </c>
      <c r="AG46" s="20">
        <f>IFERROR(INDEX($H$14:$H$113,MATCH($E46&amp;"#9",$X$14:$X$113,0)),"")</f>
        <v/>
      </c>
      <c r="AH46" s="20">
        <f>IFERROR(INDEX($H$14:$H$113,MATCH($E46&amp;"#10",$X$14:$X$113,0)),"")</f>
        <v/>
      </c>
      <c r="AJ46" s="21">
        <f>$C46</f>
        <v/>
      </c>
      <c r="AK46" s="22">
        <f>IF(AND($H46&lt;&gt;"",$Y46&lt;&gt;"",$H46&lt;&gt;$Y46,IFERROR(VLOOKUP($H46,areaCercaPuntiClassificaSquadra,3,FALSE),-1)=IFERROR(VLOOKUP($Y46,areaCercaPuntiClassificaSquadra,3,FALSE),-2)),SUMIFS(Dati!$B$2:$B$451,Dati!$A$2:$A$451,$H46,Dati!$H$2:$H$451,$Y46)+SUMIFS(Dati!$I$2:$I$451,Dati!$H$2:$H$451,$H46,Dati!$A$2:$A$451,$Y46),"-")</f>
        <v/>
      </c>
      <c r="AL46" s="22">
        <f>IF(AND($H46&lt;&gt;"",$Z46&lt;&gt;"",$H46&lt;&gt;$Z46,IFERROR(VLOOKUP($H46,areaCercaPuntiClassificaSquadra,3,FALSE),-1)=IFERROR(VLOOKUP($Z46,areaCercaPuntiClassificaSquadra,3,FALSE),-2)),SUMIFS(Dati!$B$2:$B$451,Dati!$A$2:$A$451,$H46,Dati!$H$2:$H$451,$Z46)+SUMIFS(Dati!$I$2:$I$451,Dati!$H$2:$H$451,$H46,Dati!$A$2:$A$451,$Z46),"-")</f>
        <v/>
      </c>
      <c r="AM46" s="22">
        <f>IF(AND($H46&lt;&gt;"",$AA46&lt;&gt;"",$H46&lt;&gt;$AA46,IFERROR(VLOOKUP($H46,areaCercaPuntiClassificaSquadra,3,FALSE),-1)=IFERROR(VLOOKUP($AA46,areaCercaPuntiClassificaSquadra,3,FALSE),-2)),SUMIFS(Dati!$B$2:$B$451,Dati!$A$2:$A$451,$H46,Dati!$H$2:$H$451,$AA46)+SUMIFS(Dati!$I$2:$I$451,Dati!$H$2:$H$451,$H46,Dati!$A$2:$A$451,$AA46),"-")</f>
        <v/>
      </c>
      <c r="AN46" s="22">
        <f>IF(AND($H46&lt;&gt;"",$AB46&lt;&gt;"",$H46&lt;&gt;$AB46,IFERROR(VLOOKUP($H46,areaCercaPuntiClassificaSquadra,3,FALSE),-1)=IFERROR(VLOOKUP($AB46,areaCercaPuntiClassificaSquadra,3,FALSE),-2)),SUMIFS(Dati!$B$2:$B$451,Dati!$A$2:$A$451,$H46,Dati!$H$2:$H$451,$AB46)+SUMIFS(Dati!$I$2:$I$451,Dati!$H$2:$H$451,$H46,Dati!$A$2:$A$451,$AB46),"-")</f>
        <v/>
      </c>
      <c r="AO46" s="22">
        <f>IF(AND($H46&lt;&gt;"",$AC46&lt;&gt;"",$H46&lt;&gt;$AC46,IFERROR(VLOOKUP($H46,areaCercaPuntiClassificaSquadra,3,FALSE),-1)=IFERROR(VLOOKUP($AC46,areaCercaPuntiClassificaSquadra,3,FALSE),-2)),SUMIFS(Dati!$B$2:$B$451,Dati!$A$2:$A$451,$H46,Dati!$H$2:$H$451,$AC46)+SUMIFS(Dati!$I$2:$I$451,Dati!$H$2:$H$451,$H46,Dati!$A$2:$A$451,$AC46),"-")</f>
        <v/>
      </c>
      <c r="AP46" s="22">
        <f>IF(AND($H46&lt;&gt;"",$AD46&lt;&gt;"",$H46&lt;&gt;$AD46,IFERROR(VLOOKUP($H46,areaCercaPuntiClassificaSquadra,3,FALSE),-1)=IFERROR(VLOOKUP($AD46,areaCercaPuntiClassificaSquadra,3,FALSE),-2)),SUMIFS(Dati!$B$2:$B$451,Dati!$A$2:$A$451,$H46,Dati!$H$2:$H$451,$AD46)+SUMIFS(Dati!$I$2:$I$451,Dati!$H$2:$H$451,$H46,Dati!$A$2:$A$451,$AD46),"-")</f>
        <v/>
      </c>
      <c r="AQ46" s="22">
        <f>IF(AND($H46&lt;&gt;"",$AE46&lt;&gt;"",$H46&lt;&gt;$AE46,IFERROR(VLOOKUP($H46,areaCercaPuntiClassificaSquadra,3,FALSE),-1)=IFERROR(VLOOKUP($AE46,areaCercaPuntiClassificaSquadra,3,FALSE),-2)),SUMIFS(Dati!$B$2:$B$451,Dati!$A$2:$A$451,$H46,Dati!$H$2:$H$451,$AE46)+SUMIFS(Dati!$I$2:$I$451,Dati!$H$2:$H$451,$H46,Dati!$A$2:$A$451,$AE46),"-")</f>
        <v/>
      </c>
      <c r="AR46" s="22">
        <f>IF(AND($H46&lt;&gt;"",$AF46&lt;&gt;"",$H46&lt;&gt;$AF46,IFERROR(VLOOKUP($H46,areaCercaPuntiClassificaSquadra,3,FALSE),-1)=IFERROR(VLOOKUP($AF46,areaCercaPuntiClassificaSquadra,3,FALSE),-2)),SUMIFS(Dati!$B$2:$B$451,Dati!$A$2:$A$451,$H46,Dati!$H$2:$H$451,$AF46)+SUMIFS(Dati!$I$2:$I$451,Dati!$H$2:$H$451,$H46,Dati!$A$2:$A$451,$AF46),"-")</f>
        <v/>
      </c>
      <c r="AS46" s="22">
        <f>IF(AND($H46&lt;&gt;"",$AG46&lt;&gt;"",$H46&lt;&gt;$AG46,IFERROR(VLOOKUP($H46,areaCercaPuntiClassificaSquadra,3,FALSE),-1)=IFERROR(VLOOKUP($AG46,areaCercaPuntiClassificaSquadra,3,FALSE),-2)),SUMIFS(Dati!$B$2:$B$451,Dati!$A$2:$A$451,$H46,Dati!$H$2:$H$451,$AG46)+SUMIFS(Dati!$I$2:$I$451,Dati!$H$2:$H$451,$H46,Dati!$A$2:$A$451,$AG46),"-")</f>
        <v/>
      </c>
      <c r="AT46" s="22">
        <f>IF(AND($H46&lt;&gt;"",$AH46&lt;&gt;"",$H46&lt;&gt;$AH46,IFERROR(VLOOKUP($H46,areaCercaPuntiClassificaSquadra,3,FALSE),-1)=IFERROR(VLOOKUP($AH46,areaCercaPuntiClassificaSquadra,3,FALSE),-2)),SUMIFS(Dati!$B$2:$B$451,Dati!$A$2:$A$451,$H46,Dati!$H$2:$H$451,$AH46)+SUMIFS(Dati!$I$2:$I$451,Dati!$H$2:$H$451,$H46,Dati!$A$2:$A$451,$AH46),"-")</f>
        <v/>
      </c>
      <c r="AV46" s="21">
        <f>$C46</f>
        <v/>
      </c>
      <c r="AW46" s="22">
        <f>IF(AND($H46&lt;&gt;"",$Y46&lt;&gt;"",$H46&lt;&gt;$Y46,IFERROR(VLOOKUP($H46,areaCercaPuntiClassificaSquadra,3,FALSE),-1)=IFERROR(VLOOKUP($Y46,areaCercaPuntiClassificaSquadra,3,FALSE),-2)),SUMIFS(Dati!$D$2:$D$451,Dati!$A$2:$A$451,$H46,Dati!$H$2:$H$451,$Y46)+SUMIFS(Dati!$K$2:$K$451,Dati!$H$2:$H$451,$H46,Dati!$A$2:$A$451,$Y46)+SUMIFS(Dati!$C$2:$C$451,Dati!$A$2:$A$451,$H46,Dati!$H$2:$H$451,$Y46)+SUMIFS(Dati!$J$2:$J$451,Dati!$H$2:$H$451,$H46,Dati!$A$2:$A$451,$Y46),"-")</f>
        <v/>
      </c>
      <c r="AX46" s="22">
        <f>IF(AND($H46&lt;&gt;"",$Z46&lt;&gt;"",$H46&lt;&gt;$Z46,IFERROR(VLOOKUP($H46,areaCercaPuntiClassificaSquadra,3,FALSE),-1)=IFERROR(VLOOKUP($Z46,areaCercaPuntiClassificaSquadra,3,FALSE),-2)),SUMIFS(Dati!$D$2:$D$451,Dati!$A$2:$A$451,$H46,Dati!$H$2:$H$451,$Z46)+SUMIFS(Dati!$K$2:$K$451,Dati!$H$2:$H$451,$H46,Dati!$A$2:$A$451,$Z46)+SUMIFS(Dati!$C$2:$C$451,Dati!$A$2:$A$451,$H46,Dati!$H$2:$H$451,$Z46)+SUMIFS(Dati!$J$2:$J$451,Dati!$H$2:$H$451,$H46,Dati!$A$2:$A$451,$Z46),"-")</f>
        <v/>
      </c>
      <c r="AY46" s="22">
        <f>IF(AND($H46&lt;&gt;"",$AA46&lt;&gt;"",$H46&lt;&gt;$AA46,IFERROR(VLOOKUP($H46,areaCercaPuntiClassificaSquadra,3,FALSE),-1)=IFERROR(VLOOKUP($AA46,areaCercaPuntiClassificaSquadra,3,FALSE),-2)),SUMIFS(Dati!$D$2:$D$451,Dati!$A$2:$A$451,$H46,Dati!$H$2:$H$451,$AA46)+SUMIFS(Dati!$K$2:$K$451,Dati!$H$2:$H$451,$H46,Dati!$A$2:$A$451,$AA46)+SUMIFS(Dati!$C$2:$C$451,Dati!$A$2:$A$451,$H46,Dati!$H$2:$H$451,$AA46)+SUMIFS(Dati!$J$2:$J$451,Dati!$H$2:$H$451,$H46,Dati!$A$2:$A$451,$AA46),"-")</f>
        <v/>
      </c>
      <c r="AZ46" s="22">
        <f>IF(AND($H46&lt;&gt;"",$AB46&lt;&gt;"",$H46&lt;&gt;$AB46,IFERROR(VLOOKUP($H46,areaCercaPuntiClassificaSquadra,3,FALSE),-1)=IFERROR(VLOOKUP($AB46,areaCercaPuntiClassificaSquadra,3,FALSE),-2)),SUMIFS(Dati!$D$2:$D$451,Dati!$A$2:$A$451,$H46,Dati!$H$2:$H$451,$AB46)+SUMIFS(Dati!$K$2:$K$451,Dati!$H$2:$H$451,$H46,Dati!$A$2:$A$451,$AB46)+SUMIFS(Dati!$C$2:$C$451,Dati!$A$2:$A$451,$H46,Dati!$H$2:$H$451,$AB46)+SUMIFS(Dati!$J$2:$J$451,Dati!$H$2:$H$451,$H46,Dati!$A$2:$A$451,$AB46),"-")</f>
        <v/>
      </c>
      <c r="BA46" s="22">
        <f>IF(AND($H46&lt;&gt;"",$AC46&lt;&gt;"",$H46&lt;&gt;$AC46,IFERROR(VLOOKUP($H46,areaCercaPuntiClassificaSquadra,3,FALSE),-1)=IFERROR(VLOOKUP($AC46,areaCercaPuntiClassificaSquadra,3,FALSE),-2)),SUMIFS(Dati!$D$2:$D$451,Dati!$A$2:$A$451,$H46,Dati!$H$2:$H$451,$AC46)+SUMIFS(Dati!$K$2:$K$451,Dati!$H$2:$H$451,$H46,Dati!$A$2:$A$451,$AC46)+SUMIFS(Dati!$C$2:$C$451,Dati!$A$2:$A$451,$H46,Dati!$H$2:$H$451,$AC46)+SUMIFS(Dati!$J$2:$J$451,Dati!$H$2:$H$451,$H46,Dati!$A$2:$A$451,$AC46),"-")</f>
        <v/>
      </c>
      <c r="BB46" s="22">
        <f>IF(AND($H46&lt;&gt;"",$AD46&lt;&gt;"",$H46&lt;&gt;$AD46,IFERROR(VLOOKUP($H46,areaCercaPuntiClassificaSquadra,3,FALSE),-1)=IFERROR(VLOOKUP($AD46,areaCercaPuntiClassificaSquadra,3,FALSE),-2)),SUMIFS(Dati!$D$2:$D$451,Dati!$A$2:$A$451,$H46,Dati!$H$2:$H$451,$AD46)+SUMIFS(Dati!$K$2:$K$451,Dati!$H$2:$H$451,$H46,Dati!$A$2:$A$451,$AD46)+SUMIFS(Dati!$C$2:$C$451,Dati!$A$2:$A$451,$H46,Dati!$H$2:$H$451,$AD46)+SUMIFS(Dati!$J$2:$J$451,Dati!$H$2:$H$451,$H46,Dati!$A$2:$A$451,$AD46),"-")</f>
        <v/>
      </c>
      <c r="BC46" s="22">
        <f>IF(AND($H46&lt;&gt;"",$AE46&lt;&gt;"",$H46&lt;&gt;$AE46,IFERROR(VLOOKUP($H46,areaCercaPuntiClassificaSquadra,3,FALSE),-1)=IFERROR(VLOOKUP($AE46,areaCercaPuntiClassificaSquadra,3,FALSE),-2)),SUMIFS(Dati!$D$2:$D$451,Dati!$A$2:$A$451,$H46,Dati!$H$2:$H$451,$AE46)+SUMIFS(Dati!$K$2:$K$451,Dati!$H$2:$H$451,$H46,Dati!$A$2:$A$451,$AE46)+SUMIFS(Dati!$C$2:$C$451,Dati!$A$2:$A$451,$H46,Dati!$H$2:$H$451,$AE46)+SUMIFS(Dati!$J$2:$J$451,Dati!$H$2:$H$451,$H46,Dati!$A$2:$A$451,$AE46),"-")</f>
        <v/>
      </c>
      <c r="BD46" s="22">
        <f>IF(AND($H46&lt;&gt;"",$AF46&lt;&gt;"",$H46&lt;&gt;$AF46,IFERROR(VLOOKUP($H46,areaCercaPuntiClassificaSquadra,3,FALSE),-1)=IFERROR(VLOOKUP($AF46,areaCercaPuntiClassificaSquadra,3,FALSE),-2)),SUMIFS(Dati!$D$2:$D$451,Dati!$A$2:$A$451,$H46,Dati!$H$2:$H$451,$AF46)+SUMIFS(Dati!$K$2:$K$451,Dati!$H$2:$H$451,$H46,Dati!$A$2:$A$451,$AF46)+SUMIFS(Dati!$C$2:$C$451,Dati!$A$2:$A$451,$H46,Dati!$H$2:$H$451,$AF46)+SUMIFS(Dati!$J$2:$J$451,Dati!$H$2:$H$451,$H46,Dati!$A$2:$A$451,$AF46),"-")</f>
        <v/>
      </c>
      <c r="BE46" s="22">
        <f>IF(AND($H46&lt;&gt;"",$AG46&lt;&gt;"",$H46&lt;&gt;$AG46,IFERROR(VLOOKUP($H46,areaCercaPuntiClassificaSquadra,3,FALSE),-1)=IFERROR(VLOOKUP($AG46,areaCercaPuntiClassificaSquadra,3,FALSE),-2)),SUMIFS(Dati!$D$2:$D$451,Dati!$A$2:$A$451,$H46,Dati!$H$2:$H$451,$AG46)+SUMIFS(Dati!$K$2:$K$451,Dati!$H$2:$H$451,$H46,Dati!$A$2:$A$451,$AG46)+SUMIFS(Dati!$C$2:$C$451,Dati!$A$2:$A$451,$H46,Dati!$H$2:$H$451,$AG46)+SUMIFS(Dati!$J$2:$J$451,Dati!$H$2:$H$451,$H46,Dati!$A$2:$A$451,$AG46),"-")</f>
        <v/>
      </c>
      <c r="BF46" s="22">
        <f>IF(AND($H46&lt;&gt;"",$AH46&lt;&gt;"",$H46&lt;&gt;$AH46,IFERROR(VLOOKUP($H46,areaCercaPuntiClassificaSquadra,3,FALSE),-1)=IFERROR(VLOOKUP($AH46,areaCercaPuntiClassificaSquadra,3,FALSE),-2)),SUMIFS(Dati!$D$2:$D$451,Dati!$A$2:$A$451,$H46,Dati!$H$2:$H$451,$AH46)+SUMIFS(Dati!$K$2:$K$451,Dati!$H$2:$H$451,$H46,Dati!$A$2:$A$451,$AH46)+SUMIFS(Dati!$C$2:$C$451,Dati!$A$2:$A$451,$H46,Dati!$H$2:$H$451,$AH46)+SUMIFS(Dati!$J$2:$J$451,Dati!$H$2:$H$451,$H46,Dati!$A$2:$A$451,$AH46),"-")</f>
        <v/>
      </c>
      <c r="BH46" s="21">
        <f>$C46</f>
        <v/>
      </c>
      <c r="BI46" s="22">
        <f>IF(AND($H46&lt;&gt;"",$Y46&lt;&gt;"",$H46&lt;&gt;$Y46,IFERROR(VLOOKUP($H46,areaCercaPuntiClassificaSquadra,3,FALSE),-1)=IFERROR(VLOOKUP($Y46,areaCercaPuntiClassificaSquadra,3,FALSE),-2)),SUMIFS(Dati!$E$2:$E$451,Dati!$A$2:$A$451,$H46,Dati!$H$2:$H$451,$Y46)+SUMIFS(Dati!$L$2:$L$451,Dati!$H$2:$H$451,$H46,Dati!$A$2:$A$451,$Y46),"-")</f>
        <v/>
      </c>
      <c r="BJ46" s="22">
        <f>IF(AND($H46&lt;&gt;"",$Z46&lt;&gt;"",$H46&lt;&gt;$Z46,IFERROR(VLOOKUP($H46,areaCercaPuntiClassificaSquadra,3,FALSE),-1)=IFERROR(VLOOKUP($Z46,areaCercaPuntiClassificaSquadra,3,FALSE),-2)),SUMIFS(Dati!$E$2:$E$451,Dati!$A$2:$A$451,$H46,Dati!$H$2:$H$451,$Z46)+SUMIFS(Dati!$L$2:$L$451,Dati!$H$2:$H$451,$H46,Dati!$A$2:$A$451,$Z46),"-")</f>
        <v/>
      </c>
      <c r="BK46" s="22">
        <f>IF(AND($H46&lt;&gt;"",$AA46&lt;&gt;"",$H46&lt;&gt;$AA46,IFERROR(VLOOKUP($H46,areaCercaPuntiClassificaSquadra,3,FALSE),-1)=IFERROR(VLOOKUP($AA46,areaCercaPuntiClassificaSquadra,3,FALSE),-2)),SUMIFS(Dati!$E$2:$E$451,Dati!$A$2:$A$451,$H46,Dati!$H$2:$H$451,$AA46)+SUMIFS(Dati!$L$2:$L$451,Dati!$H$2:$H$451,$H46,Dati!$A$2:$A$451,$AA46),"-")</f>
        <v/>
      </c>
      <c r="BL46" s="22">
        <f>IF(AND($H46&lt;&gt;"",$AB46&lt;&gt;"",$H46&lt;&gt;$AB46,IFERROR(VLOOKUP($H46,areaCercaPuntiClassificaSquadra,3,FALSE),-1)=IFERROR(VLOOKUP($AB46,areaCercaPuntiClassificaSquadra,3,FALSE),-2)),SUMIFS(Dati!$E$2:$E$451,Dati!$A$2:$A$451,$H46,Dati!$H$2:$H$451,$AB46)+SUMIFS(Dati!$L$2:$L$451,Dati!$H$2:$H$451,$H46,Dati!$A$2:$A$451,$AB46),"-")</f>
        <v/>
      </c>
      <c r="BM46" s="22">
        <f>IF(AND($H46&lt;&gt;"",$AC46&lt;&gt;"",$H46&lt;&gt;$AC46,IFERROR(VLOOKUP($H46,areaCercaPuntiClassificaSquadra,3,FALSE),-1)=IFERROR(VLOOKUP($AC46,areaCercaPuntiClassificaSquadra,3,FALSE),-2)),SUMIFS(Dati!$E$2:$E$451,Dati!$A$2:$A$451,$H46,Dati!$H$2:$H$451,$AC46)+SUMIFS(Dati!$L$2:$L$451,Dati!$H$2:$H$451,$H46,Dati!$A$2:$A$451,$AC46),"-")</f>
        <v/>
      </c>
      <c r="BN46" s="22">
        <f>IF(AND($H46&lt;&gt;"",$AD46&lt;&gt;"",$H46&lt;&gt;$AD46,IFERROR(VLOOKUP($H46,areaCercaPuntiClassificaSquadra,3,FALSE),-1)=IFERROR(VLOOKUP($AD46,areaCercaPuntiClassificaSquadra,3,FALSE),-2)),SUMIFS(Dati!$E$2:$E$451,Dati!$A$2:$A$451,$H46,Dati!$H$2:$H$451,$AD46)+SUMIFS(Dati!$L$2:$L$451,Dati!$H$2:$H$451,$H46,Dati!$A$2:$A$451,$AD46),"-")</f>
        <v/>
      </c>
      <c r="BO46" s="22">
        <f>IF(AND($H46&lt;&gt;"",$AE46&lt;&gt;"",$H46&lt;&gt;$AE46,IFERROR(VLOOKUP($H46,areaCercaPuntiClassificaSquadra,3,FALSE),-1)=IFERROR(VLOOKUP($AE46,areaCercaPuntiClassificaSquadra,3,FALSE),-2)),SUMIFS(Dati!$E$2:$E$451,Dati!$A$2:$A$451,$H46,Dati!$H$2:$H$451,$AE46)+SUMIFS(Dati!$L$2:$L$451,Dati!$H$2:$H$451,$H46,Dati!$A$2:$A$451,$AE46),"-")</f>
        <v/>
      </c>
      <c r="BP46" s="22">
        <f>IF(AND($H46&lt;&gt;"",$AF46&lt;&gt;"",$H46&lt;&gt;$AF46,IFERROR(VLOOKUP($H46,areaCercaPuntiClassificaSquadra,3,FALSE),-1)=IFERROR(VLOOKUP($AF46,areaCercaPuntiClassificaSquadra,3,FALSE),-2)),SUMIFS(Dati!$E$2:$E$451,Dati!$A$2:$A$451,$H46,Dati!$H$2:$H$451,$AF46)+SUMIFS(Dati!$L$2:$L$451,Dati!$H$2:$H$451,$H46,Dati!$A$2:$A$451,$AF46),"-")</f>
        <v/>
      </c>
      <c r="BQ46" s="22">
        <f>IF(AND($H46&lt;&gt;"",$AG46&lt;&gt;"",$H46&lt;&gt;$AG46,IFERROR(VLOOKUP($H46,areaCercaPuntiClassificaSquadra,3,FALSE),-1)=IFERROR(VLOOKUP($AG46,areaCercaPuntiClassificaSquadra,3,FALSE),-2)),SUMIFS(Dati!$E$2:$E$451,Dati!$A$2:$A$451,$H46,Dati!$H$2:$H$451,$AG46)+SUMIFS(Dati!$L$2:$L$451,Dati!$H$2:$H$451,$H46,Dati!$A$2:$A$451,$AG46),"-")</f>
        <v/>
      </c>
      <c r="BR46" s="22">
        <f>IF(AND($H46&lt;&gt;"",$AH46&lt;&gt;"",$H46&lt;&gt;$AH46,IFERROR(VLOOKUP($H46,areaCercaPuntiClassificaSquadra,3,FALSE),-1)=IFERROR(VLOOKUP($AH46,areaCercaPuntiClassificaSquadra,3,FALSE),-2)),SUMIFS(Dati!$E$2:$E$451,Dati!$A$2:$A$451,$H46,Dati!$H$2:$H$451,$AH46)+SUMIFS(Dati!$L$2:$L$451,Dati!$H$2:$H$451,$H46,Dati!$A$2:$A$451,$AH46),"-")</f>
        <v/>
      </c>
      <c r="BT46" s="21">
        <f>$C46</f>
        <v/>
      </c>
      <c r="BU46" s="22">
        <f>IF(AND($H46&lt;&gt;"",$Y46&lt;&gt;"",$H46&lt;&gt;$Y46,IFERROR(VLOOKUP($H46,areaCercaPuntiClassificaSquadra,3,FALSE),-1)=IFERROR(VLOOKUP($Y46,areaCercaPuntiClassificaSquadra,3,FALSE),-2)),SUMIFS(Dati!$F$2:$F$451,Dati!$A$2:$A$451,$H46,Dati!$H$2:$H$451,$Y46)+SUMIFS(Dati!$M$2:$M$451,Dati!$H$2:$H$451,$H46,Dati!$A$2:$A$451,$Y46),"-")</f>
        <v/>
      </c>
      <c r="BV46" s="22">
        <f>IF(AND($H46&lt;&gt;"",$Z46&lt;&gt;"",$H46&lt;&gt;$Z46,IFERROR(VLOOKUP($H46,areaCercaPuntiClassificaSquadra,3,FALSE),-1)=IFERROR(VLOOKUP($Z46,areaCercaPuntiClassificaSquadra,3,FALSE),-2)),SUMIFS(Dati!$F$2:$F$451,Dati!$A$2:$A$451,$H46,Dati!$H$2:$H$451,$Z46)+SUMIFS(Dati!$M$2:$M$451,Dati!$H$2:$H$451,$H46,Dati!$A$2:$A$451,$Z46),"-")</f>
        <v/>
      </c>
      <c r="BW46" s="22">
        <f>IF(AND($H46&lt;&gt;"",$AA46&lt;&gt;"",$H46&lt;&gt;$AA46,IFERROR(VLOOKUP($H46,areaCercaPuntiClassificaSquadra,3,FALSE),-1)=IFERROR(VLOOKUP($AA46,areaCercaPuntiClassificaSquadra,3,FALSE),-2)),SUMIFS(Dati!$F$2:$F$451,Dati!$A$2:$A$451,$H46,Dati!$H$2:$H$451,$AA46)+SUMIFS(Dati!$M$2:$M$451,Dati!$H$2:$H$451,$H46,Dati!$A$2:$A$451,$AA46),"-")</f>
        <v/>
      </c>
      <c r="BX46" s="22">
        <f>IF(AND($H46&lt;&gt;"",$AB46&lt;&gt;"",$H46&lt;&gt;$AB46,IFERROR(VLOOKUP($H46,areaCercaPuntiClassificaSquadra,3,FALSE),-1)=IFERROR(VLOOKUP($AB46,areaCercaPuntiClassificaSquadra,3,FALSE),-2)),SUMIFS(Dati!$F$2:$F$451,Dati!$A$2:$A$451,$H46,Dati!$H$2:$H$451,$AB46)+SUMIFS(Dati!$M$2:$M$451,Dati!$H$2:$H$451,$H46,Dati!$A$2:$A$451,$AB46),"-")</f>
        <v/>
      </c>
      <c r="BY46" s="22">
        <f>IF(AND($H46&lt;&gt;"",$AC46&lt;&gt;"",$H46&lt;&gt;$AC46,IFERROR(VLOOKUP($H46,areaCercaPuntiClassificaSquadra,3,FALSE),-1)=IFERROR(VLOOKUP($AC46,areaCercaPuntiClassificaSquadra,3,FALSE),-2)),SUMIFS(Dati!$F$2:$F$451,Dati!$A$2:$A$451,$H46,Dati!$H$2:$H$451,$AC46)+SUMIFS(Dati!$M$2:$M$451,Dati!$H$2:$H$451,$H46,Dati!$A$2:$A$451,$AC46),"-")</f>
        <v/>
      </c>
      <c r="BZ46" s="22">
        <f>IF(AND($H46&lt;&gt;"",$AD46&lt;&gt;"",$H46&lt;&gt;$AD46,IFERROR(VLOOKUP($H46,areaCercaPuntiClassificaSquadra,3,FALSE),-1)=IFERROR(VLOOKUP($AD46,areaCercaPuntiClassificaSquadra,3,FALSE),-2)),SUMIFS(Dati!$F$2:$F$451,Dati!$A$2:$A$451,$H46,Dati!$H$2:$H$451,$AD46)+SUMIFS(Dati!$M$2:$M$451,Dati!$H$2:$H$451,$H46,Dati!$A$2:$A$451,$AD46),"-")</f>
        <v/>
      </c>
      <c r="CA46" s="22">
        <f>IF(AND($H46&lt;&gt;"",$AE46&lt;&gt;"",$H46&lt;&gt;$AE46,IFERROR(VLOOKUP($H46,areaCercaPuntiClassificaSquadra,3,FALSE),-1)=IFERROR(VLOOKUP($AE46,areaCercaPuntiClassificaSquadra,3,FALSE),-2)),SUMIFS(Dati!$F$2:$F$451,Dati!$A$2:$A$451,$H46,Dati!$H$2:$H$451,$AE46)+SUMIFS(Dati!$M$2:$M$451,Dati!$H$2:$H$451,$H46,Dati!$A$2:$A$451,$AE46),"-")</f>
        <v/>
      </c>
      <c r="CB46" s="22">
        <f>IF(AND($H46&lt;&gt;"",$AF46&lt;&gt;"",$H46&lt;&gt;$AF46,IFERROR(VLOOKUP($H46,areaCercaPuntiClassificaSquadra,3,FALSE),-1)=IFERROR(VLOOKUP($AF46,areaCercaPuntiClassificaSquadra,3,FALSE),-2)),SUMIFS(Dati!$F$2:$F$451,Dati!$A$2:$A$451,$H46,Dati!$H$2:$H$451,$AF46)+SUMIFS(Dati!$M$2:$M$451,Dati!$H$2:$H$451,$H46,Dati!$A$2:$A$451,$AF46),"-")</f>
        <v/>
      </c>
      <c r="CC46" s="22">
        <f>IF(AND($H46&lt;&gt;"",$AG46&lt;&gt;"",$H46&lt;&gt;$AG46,IFERROR(VLOOKUP($H46,areaCercaPuntiClassificaSquadra,3,FALSE),-1)=IFERROR(VLOOKUP($AG46,areaCercaPuntiClassificaSquadra,3,FALSE),-2)),SUMIFS(Dati!$F$2:$F$451,Dati!$A$2:$A$451,$H46,Dati!$H$2:$H$451,$AG46)+SUMIFS(Dati!$M$2:$M$451,Dati!$H$2:$H$451,$H46,Dati!$A$2:$A$451,$AG46),"-")</f>
        <v/>
      </c>
      <c r="CD46" s="22">
        <f>IF(AND($H46&lt;&gt;"",$AH46&lt;&gt;"",$H46&lt;&gt;$AH46,IFERROR(VLOOKUP($H46,areaCercaPuntiClassificaSquadra,3,FALSE),-1)=IFERROR(VLOOKUP($AH46,areaCercaPuntiClassificaSquadra,3,FALSE),-2)),SUMIFS(Dati!$F$2:$F$451,Dati!$A$2:$A$451,$H46,Dati!$H$2:$H$451,$AH46)+SUMIFS(Dati!$M$2:$M$451,Dati!$H$2:$H$451,$H46,Dati!$A$2:$A$451,$AH46),"-")</f>
        <v/>
      </c>
      <c r="CF46" s="22">
        <f>IF($C46="","",SUM(AK46:AT46))</f>
        <v/>
      </c>
    </row>
    <row r="47">
      <c r="B47" s="12" t="inlineStr">
        <is>
          <t>D04</t>
        </is>
      </c>
      <c r="C47" s="13" t="n"/>
      <c r="D47" s="14" t="n"/>
      <c r="E47" s="27" t="inlineStr">
        <is>
          <t>D</t>
        </is>
      </c>
      <c r="G47" s="28">
        <f>IF($C47="","",$E47&amp;(COUNTIFS(I$14:I$113,"&gt;"&amp;I47,E$14:E$113,"="&amp;E47,C$14:C$113,"&lt;&gt;")+COUNTIFS(I$14:I$113,"="&amp;I47,H$14:H$113,"&lt;="&amp;H47,E$14:E$113,"="&amp;E47,C$14:C$113,"&lt;&gt;")))</f>
        <v/>
      </c>
      <c r="H47" s="17">
        <f>IF($C47="","",IFERROR(LEFT($C47,FIND("-",$C47)-1),$C47))</f>
        <v/>
      </c>
      <c r="I47" s="12">
        <f>TEXT(1000000000+J47,"|0000000000|")&amp;TEXT(SUM(AK47:AT47),"0000000000|")&amp;IF(SUM(BU47:CD47)=0,"0000000000|",TEXT(ROUND(SUM(BI47:BR47)/SUM(BU47:CD47),4)*100000,"0000000000|"))&amp;IF(P47=0,"0000000000|",TEXT(ROUND(O47/P47,4)*100000,"0000000000|"))</f>
        <v/>
      </c>
      <c r="J47" s="28">
        <f>L47*constPuntiVittoria+M47*constPuntiSconfitta+N47*constPuntiForfait+IF(D47="",0,D47)</f>
        <v/>
      </c>
      <c r="K47" s="12">
        <f>SUM(L47:N47)</f>
        <v/>
      </c>
      <c r="L47" s="12">
        <f>IF($H47="",0,SUMIF(Dati!$A$2:$A$451,$H47,Dati!$B$2:$B$451)+SUMIF(Dati!$H$2:$H$451,$H47,Dati!$I$2:$I$451))</f>
        <v/>
      </c>
      <c r="M47" s="12">
        <f>IF($H47="",0,SUMIF(Dati!$A$2:$A$451,$H47,Dati!$D$2:$D$451)+SUMIF(Dati!$H$2:$H$451,$H47,Dati!$K$2:$K$451))</f>
        <v/>
      </c>
      <c r="N47" s="12">
        <f>IF($H47="",0,SUMIF(Dati!$A$2:$A$451,$H47,Dati!$C$2:$C$451)+SUMIF(Dati!$H$2:$H$451,$H47,Dati!$J$2:$J$451))</f>
        <v/>
      </c>
      <c r="O47" s="12">
        <f>IF($H47="",0,SUMIF(Dati!$A$2:$A$451,$H47,Dati!$E$2:$E$451)+SUMIF(Dati!$H$2:$H$451,$H47,Dati!$L$2:$L$451))</f>
        <v/>
      </c>
      <c r="P47" s="12">
        <f>IF($H47="",0,SUMIF(Dati!$A$2:$A$451,$H47,Dati!$F$2:$F$451)+SUMIF(Dati!$H$2:$H$451,$H47,Dati!$M$2:$M$451))</f>
        <v/>
      </c>
      <c r="Q47" s="12">
        <f>IF($H47="",0,SUMIF(Dati!$A$2:$A$451,$H47,Dati!$G$2:$G$451)+SUMIF(Dati!$H$2:$H$451,$H47,Dati!$N$2:$N$451))</f>
        <v/>
      </c>
      <c r="R47" s="12">
        <f>IF(K47=0,0,ROUND(O47/K47,2))</f>
        <v/>
      </c>
      <c r="S47" s="12">
        <f>IF(K47=0,0,ROUND(P47/K47,2))</f>
        <v/>
      </c>
      <c r="T47" s="12">
        <f>IF(K47=0,0,ROUND(Q47/K47,2))</f>
        <v/>
      </c>
      <c r="U47" s="12">
        <f>IF(COUNTIFS($E$14:$E$113,$E47,$J$14:$J$113,$J47,$C$14:$C$113,"&lt;&gt;")&lt;=1,"-",SUM(AK47:AT47)&amp;"-"&amp;SUM(AW47:BF47))</f>
        <v/>
      </c>
      <c r="V47" s="18">
        <f>IF(COUNTIFS($E$14:$E$113,$E47,$J$14:$J$113,$J47,$C$14:$C$113,"&lt;&gt;",$CF$14:$CF$113,$CF47)&lt;=1,"-",IF(SUM(BU47:CD47)=0,0,ROUND(SUM(BI47:BR47)/SUM(BU47:CD47),3)))</f>
        <v/>
      </c>
      <c r="W47" s="18">
        <f>IF(COUNTIFS($E$14:$E$113,$E47,$J$14:$J$113,$J47,$C$14:$C$113,"&lt;&gt;",$CF$14:$CF$113,$CF47,$V$14:$V$113,$V47)&lt;=1,"-",IF(P47=0,0,ROUND(O47/P47,3)))</f>
        <v/>
      </c>
      <c r="X47" s="19">
        <f>IF($C47="","",$E47&amp;"#"&amp;COUNTIFS($E$14:$E47,$E47,$C$14:$C47,"&lt;&gt;"))</f>
        <v/>
      </c>
      <c r="Y47" s="20">
        <f>IFERROR(INDEX($H$14:$H$113,MATCH($E47&amp;"#1",$X$14:$X$113,0)),"")</f>
        <v/>
      </c>
      <c r="Z47" s="20">
        <f>IFERROR(INDEX($H$14:$H$113,MATCH($E47&amp;"#2",$X$14:$X$113,0)),"")</f>
        <v/>
      </c>
      <c r="AA47" s="20">
        <f>IFERROR(INDEX($H$14:$H$113,MATCH($E47&amp;"#3",$X$14:$X$113,0)),"")</f>
        <v/>
      </c>
      <c r="AB47" s="20">
        <f>IFERROR(INDEX($H$14:$H$113,MATCH($E47&amp;"#4",$X$14:$X$113,0)),"")</f>
        <v/>
      </c>
      <c r="AC47" s="20">
        <f>IFERROR(INDEX($H$14:$H$113,MATCH($E47&amp;"#5",$X$14:$X$113,0)),"")</f>
        <v/>
      </c>
      <c r="AD47" s="20">
        <f>IFERROR(INDEX($H$14:$H$113,MATCH($E47&amp;"#6",$X$14:$X$113,0)),"")</f>
        <v/>
      </c>
      <c r="AE47" s="20">
        <f>IFERROR(INDEX($H$14:$H$113,MATCH($E47&amp;"#7",$X$14:$X$113,0)),"")</f>
        <v/>
      </c>
      <c r="AF47" s="20">
        <f>IFERROR(INDEX($H$14:$H$113,MATCH($E47&amp;"#8",$X$14:$X$113,0)),"")</f>
        <v/>
      </c>
      <c r="AG47" s="20">
        <f>IFERROR(INDEX($H$14:$H$113,MATCH($E47&amp;"#9",$X$14:$X$113,0)),"")</f>
        <v/>
      </c>
      <c r="AH47" s="20">
        <f>IFERROR(INDEX($H$14:$H$113,MATCH($E47&amp;"#10",$X$14:$X$113,0)),"")</f>
        <v/>
      </c>
      <c r="AJ47" s="21">
        <f>$C47</f>
        <v/>
      </c>
      <c r="AK47" s="22">
        <f>IF(AND($H47&lt;&gt;"",$Y47&lt;&gt;"",$H47&lt;&gt;$Y47,IFERROR(VLOOKUP($H47,areaCercaPuntiClassificaSquadra,3,FALSE),-1)=IFERROR(VLOOKUP($Y47,areaCercaPuntiClassificaSquadra,3,FALSE),-2)),SUMIFS(Dati!$B$2:$B$451,Dati!$A$2:$A$451,$H47,Dati!$H$2:$H$451,$Y47)+SUMIFS(Dati!$I$2:$I$451,Dati!$H$2:$H$451,$H47,Dati!$A$2:$A$451,$Y47),"-")</f>
        <v/>
      </c>
      <c r="AL47" s="22">
        <f>IF(AND($H47&lt;&gt;"",$Z47&lt;&gt;"",$H47&lt;&gt;$Z47,IFERROR(VLOOKUP($H47,areaCercaPuntiClassificaSquadra,3,FALSE),-1)=IFERROR(VLOOKUP($Z47,areaCercaPuntiClassificaSquadra,3,FALSE),-2)),SUMIFS(Dati!$B$2:$B$451,Dati!$A$2:$A$451,$H47,Dati!$H$2:$H$451,$Z47)+SUMIFS(Dati!$I$2:$I$451,Dati!$H$2:$H$451,$H47,Dati!$A$2:$A$451,$Z47),"-")</f>
        <v/>
      </c>
      <c r="AM47" s="22">
        <f>IF(AND($H47&lt;&gt;"",$AA47&lt;&gt;"",$H47&lt;&gt;$AA47,IFERROR(VLOOKUP($H47,areaCercaPuntiClassificaSquadra,3,FALSE),-1)=IFERROR(VLOOKUP($AA47,areaCercaPuntiClassificaSquadra,3,FALSE),-2)),SUMIFS(Dati!$B$2:$B$451,Dati!$A$2:$A$451,$H47,Dati!$H$2:$H$451,$AA47)+SUMIFS(Dati!$I$2:$I$451,Dati!$H$2:$H$451,$H47,Dati!$A$2:$A$451,$AA47),"-")</f>
        <v/>
      </c>
      <c r="AN47" s="22">
        <f>IF(AND($H47&lt;&gt;"",$AB47&lt;&gt;"",$H47&lt;&gt;$AB47,IFERROR(VLOOKUP($H47,areaCercaPuntiClassificaSquadra,3,FALSE),-1)=IFERROR(VLOOKUP($AB47,areaCercaPuntiClassificaSquadra,3,FALSE),-2)),SUMIFS(Dati!$B$2:$B$451,Dati!$A$2:$A$451,$H47,Dati!$H$2:$H$451,$AB47)+SUMIFS(Dati!$I$2:$I$451,Dati!$H$2:$H$451,$H47,Dati!$A$2:$A$451,$AB47),"-")</f>
        <v/>
      </c>
      <c r="AO47" s="22">
        <f>IF(AND($H47&lt;&gt;"",$AC47&lt;&gt;"",$H47&lt;&gt;$AC47,IFERROR(VLOOKUP($H47,areaCercaPuntiClassificaSquadra,3,FALSE),-1)=IFERROR(VLOOKUP($AC47,areaCercaPuntiClassificaSquadra,3,FALSE),-2)),SUMIFS(Dati!$B$2:$B$451,Dati!$A$2:$A$451,$H47,Dati!$H$2:$H$451,$AC47)+SUMIFS(Dati!$I$2:$I$451,Dati!$H$2:$H$451,$H47,Dati!$A$2:$A$451,$AC47),"-")</f>
        <v/>
      </c>
      <c r="AP47" s="22">
        <f>IF(AND($H47&lt;&gt;"",$AD47&lt;&gt;"",$H47&lt;&gt;$AD47,IFERROR(VLOOKUP($H47,areaCercaPuntiClassificaSquadra,3,FALSE),-1)=IFERROR(VLOOKUP($AD47,areaCercaPuntiClassificaSquadra,3,FALSE),-2)),SUMIFS(Dati!$B$2:$B$451,Dati!$A$2:$A$451,$H47,Dati!$H$2:$H$451,$AD47)+SUMIFS(Dati!$I$2:$I$451,Dati!$H$2:$H$451,$H47,Dati!$A$2:$A$451,$AD47),"-")</f>
        <v/>
      </c>
      <c r="AQ47" s="22">
        <f>IF(AND($H47&lt;&gt;"",$AE47&lt;&gt;"",$H47&lt;&gt;$AE47,IFERROR(VLOOKUP($H47,areaCercaPuntiClassificaSquadra,3,FALSE),-1)=IFERROR(VLOOKUP($AE47,areaCercaPuntiClassificaSquadra,3,FALSE),-2)),SUMIFS(Dati!$B$2:$B$451,Dati!$A$2:$A$451,$H47,Dati!$H$2:$H$451,$AE47)+SUMIFS(Dati!$I$2:$I$451,Dati!$H$2:$H$451,$H47,Dati!$A$2:$A$451,$AE47),"-")</f>
        <v/>
      </c>
      <c r="AR47" s="22">
        <f>IF(AND($H47&lt;&gt;"",$AF47&lt;&gt;"",$H47&lt;&gt;$AF47,IFERROR(VLOOKUP($H47,areaCercaPuntiClassificaSquadra,3,FALSE),-1)=IFERROR(VLOOKUP($AF47,areaCercaPuntiClassificaSquadra,3,FALSE),-2)),SUMIFS(Dati!$B$2:$B$451,Dati!$A$2:$A$451,$H47,Dati!$H$2:$H$451,$AF47)+SUMIFS(Dati!$I$2:$I$451,Dati!$H$2:$H$451,$H47,Dati!$A$2:$A$451,$AF47),"-")</f>
        <v/>
      </c>
      <c r="AS47" s="22">
        <f>IF(AND($H47&lt;&gt;"",$AG47&lt;&gt;"",$H47&lt;&gt;$AG47,IFERROR(VLOOKUP($H47,areaCercaPuntiClassificaSquadra,3,FALSE),-1)=IFERROR(VLOOKUP($AG47,areaCercaPuntiClassificaSquadra,3,FALSE),-2)),SUMIFS(Dati!$B$2:$B$451,Dati!$A$2:$A$451,$H47,Dati!$H$2:$H$451,$AG47)+SUMIFS(Dati!$I$2:$I$451,Dati!$H$2:$H$451,$H47,Dati!$A$2:$A$451,$AG47),"-")</f>
        <v/>
      </c>
      <c r="AT47" s="22">
        <f>IF(AND($H47&lt;&gt;"",$AH47&lt;&gt;"",$H47&lt;&gt;$AH47,IFERROR(VLOOKUP($H47,areaCercaPuntiClassificaSquadra,3,FALSE),-1)=IFERROR(VLOOKUP($AH47,areaCercaPuntiClassificaSquadra,3,FALSE),-2)),SUMIFS(Dati!$B$2:$B$451,Dati!$A$2:$A$451,$H47,Dati!$H$2:$H$451,$AH47)+SUMIFS(Dati!$I$2:$I$451,Dati!$H$2:$H$451,$H47,Dati!$A$2:$A$451,$AH47),"-")</f>
        <v/>
      </c>
      <c r="AV47" s="21">
        <f>$C47</f>
        <v/>
      </c>
      <c r="AW47" s="22">
        <f>IF(AND($H47&lt;&gt;"",$Y47&lt;&gt;"",$H47&lt;&gt;$Y47,IFERROR(VLOOKUP($H47,areaCercaPuntiClassificaSquadra,3,FALSE),-1)=IFERROR(VLOOKUP($Y47,areaCercaPuntiClassificaSquadra,3,FALSE),-2)),SUMIFS(Dati!$D$2:$D$451,Dati!$A$2:$A$451,$H47,Dati!$H$2:$H$451,$Y47)+SUMIFS(Dati!$K$2:$K$451,Dati!$H$2:$H$451,$H47,Dati!$A$2:$A$451,$Y47)+SUMIFS(Dati!$C$2:$C$451,Dati!$A$2:$A$451,$H47,Dati!$H$2:$H$451,$Y47)+SUMIFS(Dati!$J$2:$J$451,Dati!$H$2:$H$451,$H47,Dati!$A$2:$A$451,$Y47),"-")</f>
        <v/>
      </c>
      <c r="AX47" s="22">
        <f>IF(AND($H47&lt;&gt;"",$Z47&lt;&gt;"",$H47&lt;&gt;$Z47,IFERROR(VLOOKUP($H47,areaCercaPuntiClassificaSquadra,3,FALSE),-1)=IFERROR(VLOOKUP($Z47,areaCercaPuntiClassificaSquadra,3,FALSE),-2)),SUMIFS(Dati!$D$2:$D$451,Dati!$A$2:$A$451,$H47,Dati!$H$2:$H$451,$Z47)+SUMIFS(Dati!$K$2:$K$451,Dati!$H$2:$H$451,$H47,Dati!$A$2:$A$451,$Z47)+SUMIFS(Dati!$C$2:$C$451,Dati!$A$2:$A$451,$H47,Dati!$H$2:$H$451,$Z47)+SUMIFS(Dati!$J$2:$J$451,Dati!$H$2:$H$451,$H47,Dati!$A$2:$A$451,$Z47),"-")</f>
        <v/>
      </c>
      <c r="AY47" s="22">
        <f>IF(AND($H47&lt;&gt;"",$AA47&lt;&gt;"",$H47&lt;&gt;$AA47,IFERROR(VLOOKUP($H47,areaCercaPuntiClassificaSquadra,3,FALSE),-1)=IFERROR(VLOOKUP($AA47,areaCercaPuntiClassificaSquadra,3,FALSE),-2)),SUMIFS(Dati!$D$2:$D$451,Dati!$A$2:$A$451,$H47,Dati!$H$2:$H$451,$AA47)+SUMIFS(Dati!$K$2:$K$451,Dati!$H$2:$H$451,$H47,Dati!$A$2:$A$451,$AA47)+SUMIFS(Dati!$C$2:$C$451,Dati!$A$2:$A$451,$H47,Dati!$H$2:$H$451,$AA47)+SUMIFS(Dati!$J$2:$J$451,Dati!$H$2:$H$451,$H47,Dati!$A$2:$A$451,$AA47),"-")</f>
        <v/>
      </c>
      <c r="AZ47" s="22">
        <f>IF(AND($H47&lt;&gt;"",$AB47&lt;&gt;"",$H47&lt;&gt;$AB47,IFERROR(VLOOKUP($H47,areaCercaPuntiClassificaSquadra,3,FALSE),-1)=IFERROR(VLOOKUP($AB47,areaCercaPuntiClassificaSquadra,3,FALSE),-2)),SUMIFS(Dati!$D$2:$D$451,Dati!$A$2:$A$451,$H47,Dati!$H$2:$H$451,$AB47)+SUMIFS(Dati!$K$2:$K$451,Dati!$H$2:$H$451,$H47,Dati!$A$2:$A$451,$AB47)+SUMIFS(Dati!$C$2:$C$451,Dati!$A$2:$A$451,$H47,Dati!$H$2:$H$451,$AB47)+SUMIFS(Dati!$J$2:$J$451,Dati!$H$2:$H$451,$H47,Dati!$A$2:$A$451,$AB47),"-")</f>
        <v/>
      </c>
      <c r="BA47" s="22">
        <f>IF(AND($H47&lt;&gt;"",$AC47&lt;&gt;"",$H47&lt;&gt;$AC47,IFERROR(VLOOKUP($H47,areaCercaPuntiClassificaSquadra,3,FALSE),-1)=IFERROR(VLOOKUP($AC47,areaCercaPuntiClassificaSquadra,3,FALSE),-2)),SUMIFS(Dati!$D$2:$D$451,Dati!$A$2:$A$451,$H47,Dati!$H$2:$H$451,$AC47)+SUMIFS(Dati!$K$2:$K$451,Dati!$H$2:$H$451,$H47,Dati!$A$2:$A$451,$AC47)+SUMIFS(Dati!$C$2:$C$451,Dati!$A$2:$A$451,$H47,Dati!$H$2:$H$451,$AC47)+SUMIFS(Dati!$J$2:$J$451,Dati!$H$2:$H$451,$H47,Dati!$A$2:$A$451,$AC47),"-")</f>
        <v/>
      </c>
      <c r="BB47" s="22">
        <f>IF(AND($H47&lt;&gt;"",$AD47&lt;&gt;"",$H47&lt;&gt;$AD47,IFERROR(VLOOKUP($H47,areaCercaPuntiClassificaSquadra,3,FALSE),-1)=IFERROR(VLOOKUP($AD47,areaCercaPuntiClassificaSquadra,3,FALSE),-2)),SUMIFS(Dati!$D$2:$D$451,Dati!$A$2:$A$451,$H47,Dati!$H$2:$H$451,$AD47)+SUMIFS(Dati!$K$2:$K$451,Dati!$H$2:$H$451,$H47,Dati!$A$2:$A$451,$AD47)+SUMIFS(Dati!$C$2:$C$451,Dati!$A$2:$A$451,$H47,Dati!$H$2:$H$451,$AD47)+SUMIFS(Dati!$J$2:$J$451,Dati!$H$2:$H$451,$H47,Dati!$A$2:$A$451,$AD47),"-")</f>
        <v/>
      </c>
      <c r="BC47" s="22">
        <f>IF(AND($H47&lt;&gt;"",$AE47&lt;&gt;"",$H47&lt;&gt;$AE47,IFERROR(VLOOKUP($H47,areaCercaPuntiClassificaSquadra,3,FALSE),-1)=IFERROR(VLOOKUP($AE47,areaCercaPuntiClassificaSquadra,3,FALSE),-2)),SUMIFS(Dati!$D$2:$D$451,Dati!$A$2:$A$451,$H47,Dati!$H$2:$H$451,$AE47)+SUMIFS(Dati!$K$2:$K$451,Dati!$H$2:$H$451,$H47,Dati!$A$2:$A$451,$AE47)+SUMIFS(Dati!$C$2:$C$451,Dati!$A$2:$A$451,$H47,Dati!$H$2:$H$451,$AE47)+SUMIFS(Dati!$J$2:$J$451,Dati!$H$2:$H$451,$H47,Dati!$A$2:$A$451,$AE47),"-")</f>
        <v/>
      </c>
      <c r="BD47" s="22">
        <f>IF(AND($H47&lt;&gt;"",$AF47&lt;&gt;"",$H47&lt;&gt;$AF47,IFERROR(VLOOKUP($H47,areaCercaPuntiClassificaSquadra,3,FALSE),-1)=IFERROR(VLOOKUP($AF47,areaCercaPuntiClassificaSquadra,3,FALSE),-2)),SUMIFS(Dati!$D$2:$D$451,Dati!$A$2:$A$451,$H47,Dati!$H$2:$H$451,$AF47)+SUMIFS(Dati!$K$2:$K$451,Dati!$H$2:$H$451,$H47,Dati!$A$2:$A$451,$AF47)+SUMIFS(Dati!$C$2:$C$451,Dati!$A$2:$A$451,$H47,Dati!$H$2:$H$451,$AF47)+SUMIFS(Dati!$J$2:$J$451,Dati!$H$2:$H$451,$H47,Dati!$A$2:$A$451,$AF47),"-")</f>
        <v/>
      </c>
      <c r="BE47" s="22">
        <f>IF(AND($H47&lt;&gt;"",$AG47&lt;&gt;"",$H47&lt;&gt;$AG47,IFERROR(VLOOKUP($H47,areaCercaPuntiClassificaSquadra,3,FALSE),-1)=IFERROR(VLOOKUP($AG47,areaCercaPuntiClassificaSquadra,3,FALSE),-2)),SUMIFS(Dati!$D$2:$D$451,Dati!$A$2:$A$451,$H47,Dati!$H$2:$H$451,$AG47)+SUMIFS(Dati!$K$2:$K$451,Dati!$H$2:$H$451,$H47,Dati!$A$2:$A$451,$AG47)+SUMIFS(Dati!$C$2:$C$451,Dati!$A$2:$A$451,$H47,Dati!$H$2:$H$451,$AG47)+SUMIFS(Dati!$J$2:$J$451,Dati!$H$2:$H$451,$H47,Dati!$A$2:$A$451,$AG47),"-")</f>
        <v/>
      </c>
      <c r="BF47" s="22">
        <f>IF(AND($H47&lt;&gt;"",$AH47&lt;&gt;"",$H47&lt;&gt;$AH47,IFERROR(VLOOKUP($H47,areaCercaPuntiClassificaSquadra,3,FALSE),-1)=IFERROR(VLOOKUP($AH47,areaCercaPuntiClassificaSquadra,3,FALSE),-2)),SUMIFS(Dati!$D$2:$D$451,Dati!$A$2:$A$451,$H47,Dati!$H$2:$H$451,$AH47)+SUMIFS(Dati!$K$2:$K$451,Dati!$H$2:$H$451,$H47,Dati!$A$2:$A$451,$AH47)+SUMIFS(Dati!$C$2:$C$451,Dati!$A$2:$A$451,$H47,Dati!$H$2:$H$451,$AH47)+SUMIFS(Dati!$J$2:$J$451,Dati!$H$2:$H$451,$H47,Dati!$A$2:$A$451,$AH47),"-")</f>
        <v/>
      </c>
      <c r="BH47" s="21">
        <f>$C47</f>
        <v/>
      </c>
      <c r="BI47" s="22">
        <f>IF(AND($H47&lt;&gt;"",$Y47&lt;&gt;"",$H47&lt;&gt;$Y47,IFERROR(VLOOKUP($H47,areaCercaPuntiClassificaSquadra,3,FALSE),-1)=IFERROR(VLOOKUP($Y47,areaCercaPuntiClassificaSquadra,3,FALSE),-2)),SUMIFS(Dati!$E$2:$E$451,Dati!$A$2:$A$451,$H47,Dati!$H$2:$H$451,$Y47)+SUMIFS(Dati!$L$2:$L$451,Dati!$H$2:$H$451,$H47,Dati!$A$2:$A$451,$Y47),"-")</f>
        <v/>
      </c>
      <c r="BJ47" s="22">
        <f>IF(AND($H47&lt;&gt;"",$Z47&lt;&gt;"",$H47&lt;&gt;$Z47,IFERROR(VLOOKUP($H47,areaCercaPuntiClassificaSquadra,3,FALSE),-1)=IFERROR(VLOOKUP($Z47,areaCercaPuntiClassificaSquadra,3,FALSE),-2)),SUMIFS(Dati!$E$2:$E$451,Dati!$A$2:$A$451,$H47,Dati!$H$2:$H$451,$Z47)+SUMIFS(Dati!$L$2:$L$451,Dati!$H$2:$H$451,$H47,Dati!$A$2:$A$451,$Z47),"-")</f>
        <v/>
      </c>
      <c r="BK47" s="22">
        <f>IF(AND($H47&lt;&gt;"",$AA47&lt;&gt;"",$H47&lt;&gt;$AA47,IFERROR(VLOOKUP($H47,areaCercaPuntiClassificaSquadra,3,FALSE),-1)=IFERROR(VLOOKUP($AA47,areaCercaPuntiClassificaSquadra,3,FALSE),-2)),SUMIFS(Dati!$E$2:$E$451,Dati!$A$2:$A$451,$H47,Dati!$H$2:$H$451,$AA47)+SUMIFS(Dati!$L$2:$L$451,Dati!$H$2:$H$451,$H47,Dati!$A$2:$A$451,$AA47),"-")</f>
        <v/>
      </c>
      <c r="BL47" s="22">
        <f>IF(AND($H47&lt;&gt;"",$AB47&lt;&gt;"",$H47&lt;&gt;$AB47,IFERROR(VLOOKUP($H47,areaCercaPuntiClassificaSquadra,3,FALSE),-1)=IFERROR(VLOOKUP($AB47,areaCercaPuntiClassificaSquadra,3,FALSE),-2)),SUMIFS(Dati!$E$2:$E$451,Dati!$A$2:$A$451,$H47,Dati!$H$2:$H$451,$AB47)+SUMIFS(Dati!$L$2:$L$451,Dati!$H$2:$H$451,$H47,Dati!$A$2:$A$451,$AB47),"-")</f>
        <v/>
      </c>
      <c r="BM47" s="22">
        <f>IF(AND($H47&lt;&gt;"",$AC47&lt;&gt;"",$H47&lt;&gt;$AC47,IFERROR(VLOOKUP($H47,areaCercaPuntiClassificaSquadra,3,FALSE),-1)=IFERROR(VLOOKUP($AC47,areaCercaPuntiClassificaSquadra,3,FALSE),-2)),SUMIFS(Dati!$E$2:$E$451,Dati!$A$2:$A$451,$H47,Dati!$H$2:$H$451,$AC47)+SUMIFS(Dati!$L$2:$L$451,Dati!$H$2:$H$451,$H47,Dati!$A$2:$A$451,$AC47),"-")</f>
        <v/>
      </c>
      <c r="BN47" s="22">
        <f>IF(AND($H47&lt;&gt;"",$AD47&lt;&gt;"",$H47&lt;&gt;$AD47,IFERROR(VLOOKUP($H47,areaCercaPuntiClassificaSquadra,3,FALSE),-1)=IFERROR(VLOOKUP($AD47,areaCercaPuntiClassificaSquadra,3,FALSE),-2)),SUMIFS(Dati!$E$2:$E$451,Dati!$A$2:$A$451,$H47,Dati!$H$2:$H$451,$AD47)+SUMIFS(Dati!$L$2:$L$451,Dati!$H$2:$H$451,$H47,Dati!$A$2:$A$451,$AD47),"-")</f>
        <v/>
      </c>
      <c r="BO47" s="22">
        <f>IF(AND($H47&lt;&gt;"",$AE47&lt;&gt;"",$H47&lt;&gt;$AE47,IFERROR(VLOOKUP($H47,areaCercaPuntiClassificaSquadra,3,FALSE),-1)=IFERROR(VLOOKUP($AE47,areaCercaPuntiClassificaSquadra,3,FALSE),-2)),SUMIFS(Dati!$E$2:$E$451,Dati!$A$2:$A$451,$H47,Dati!$H$2:$H$451,$AE47)+SUMIFS(Dati!$L$2:$L$451,Dati!$H$2:$H$451,$H47,Dati!$A$2:$A$451,$AE47),"-")</f>
        <v/>
      </c>
      <c r="BP47" s="22">
        <f>IF(AND($H47&lt;&gt;"",$AF47&lt;&gt;"",$H47&lt;&gt;$AF47,IFERROR(VLOOKUP($H47,areaCercaPuntiClassificaSquadra,3,FALSE),-1)=IFERROR(VLOOKUP($AF47,areaCercaPuntiClassificaSquadra,3,FALSE),-2)),SUMIFS(Dati!$E$2:$E$451,Dati!$A$2:$A$451,$H47,Dati!$H$2:$H$451,$AF47)+SUMIFS(Dati!$L$2:$L$451,Dati!$H$2:$H$451,$H47,Dati!$A$2:$A$451,$AF47),"-")</f>
        <v/>
      </c>
      <c r="BQ47" s="22">
        <f>IF(AND($H47&lt;&gt;"",$AG47&lt;&gt;"",$H47&lt;&gt;$AG47,IFERROR(VLOOKUP($H47,areaCercaPuntiClassificaSquadra,3,FALSE),-1)=IFERROR(VLOOKUP($AG47,areaCercaPuntiClassificaSquadra,3,FALSE),-2)),SUMIFS(Dati!$E$2:$E$451,Dati!$A$2:$A$451,$H47,Dati!$H$2:$H$451,$AG47)+SUMIFS(Dati!$L$2:$L$451,Dati!$H$2:$H$451,$H47,Dati!$A$2:$A$451,$AG47),"-")</f>
        <v/>
      </c>
      <c r="BR47" s="22">
        <f>IF(AND($H47&lt;&gt;"",$AH47&lt;&gt;"",$H47&lt;&gt;$AH47,IFERROR(VLOOKUP($H47,areaCercaPuntiClassificaSquadra,3,FALSE),-1)=IFERROR(VLOOKUP($AH47,areaCercaPuntiClassificaSquadra,3,FALSE),-2)),SUMIFS(Dati!$E$2:$E$451,Dati!$A$2:$A$451,$H47,Dati!$H$2:$H$451,$AH47)+SUMIFS(Dati!$L$2:$L$451,Dati!$H$2:$H$451,$H47,Dati!$A$2:$A$451,$AH47),"-")</f>
        <v/>
      </c>
      <c r="BT47" s="21">
        <f>$C47</f>
        <v/>
      </c>
      <c r="BU47" s="22">
        <f>IF(AND($H47&lt;&gt;"",$Y47&lt;&gt;"",$H47&lt;&gt;$Y47,IFERROR(VLOOKUP($H47,areaCercaPuntiClassificaSquadra,3,FALSE),-1)=IFERROR(VLOOKUP($Y47,areaCercaPuntiClassificaSquadra,3,FALSE),-2)),SUMIFS(Dati!$F$2:$F$451,Dati!$A$2:$A$451,$H47,Dati!$H$2:$H$451,$Y47)+SUMIFS(Dati!$M$2:$M$451,Dati!$H$2:$H$451,$H47,Dati!$A$2:$A$451,$Y47),"-")</f>
        <v/>
      </c>
      <c r="BV47" s="22">
        <f>IF(AND($H47&lt;&gt;"",$Z47&lt;&gt;"",$H47&lt;&gt;$Z47,IFERROR(VLOOKUP($H47,areaCercaPuntiClassificaSquadra,3,FALSE),-1)=IFERROR(VLOOKUP($Z47,areaCercaPuntiClassificaSquadra,3,FALSE),-2)),SUMIFS(Dati!$F$2:$F$451,Dati!$A$2:$A$451,$H47,Dati!$H$2:$H$451,$Z47)+SUMIFS(Dati!$M$2:$M$451,Dati!$H$2:$H$451,$H47,Dati!$A$2:$A$451,$Z47),"-")</f>
        <v/>
      </c>
      <c r="BW47" s="22">
        <f>IF(AND($H47&lt;&gt;"",$AA47&lt;&gt;"",$H47&lt;&gt;$AA47,IFERROR(VLOOKUP($H47,areaCercaPuntiClassificaSquadra,3,FALSE),-1)=IFERROR(VLOOKUP($AA47,areaCercaPuntiClassificaSquadra,3,FALSE),-2)),SUMIFS(Dati!$F$2:$F$451,Dati!$A$2:$A$451,$H47,Dati!$H$2:$H$451,$AA47)+SUMIFS(Dati!$M$2:$M$451,Dati!$H$2:$H$451,$H47,Dati!$A$2:$A$451,$AA47),"-")</f>
        <v/>
      </c>
      <c r="BX47" s="22">
        <f>IF(AND($H47&lt;&gt;"",$AB47&lt;&gt;"",$H47&lt;&gt;$AB47,IFERROR(VLOOKUP($H47,areaCercaPuntiClassificaSquadra,3,FALSE),-1)=IFERROR(VLOOKUP($AB47,areaCercaPuntiClassificaSquadra,3,FALSE),-2)),SUMIFS(Dati!$F$2:$F$451,Dati!$A$2:$A$451,$H47,Dati!$H$2:$H$451,$AB47)+SUMIFS(Dati!$M$2:$M$451,Dati!$H$2:$H$451,$H47,Dati!$A$2:$A$451,$AB47),"-")</f>
        <v/>
      </c>
      <c r="BY47" s="22">
        <f>IF(AND($H47&lt;&gt;"",$AC47&lt;&gt;"",$H47&lt;&gt;$AC47,IFERROR(VLOOKUP($H47,areaCercaPuntiClassificaSquadra,3,FALSE),-1)=IFERROR(VLOOKUP($AC47,areaCercaPuntiClassificaSquadra,3,FALSE),-2)),SUMIFS(Dati!$F$2:$F$451,Dati!$A$2:$A$451,$H47,Dati!$H$2:$H$451,$AC47)+SUMIFS(Dati!$M$2:$M$451,Dati!$H$2:$H$451,$H47,Dati!$A$2:$A$451,$AC47),"-")</f>
        <v/>
      </c>
      <c r="BZ47" s="22">
        <f>IF(AND($H47&lt;&gt;"",$AD47&lt;&gt;"",$H47&lt;&gt;$AD47,IFERROR(VLOOKUP($H47,areaCercaPuntiClassificaSquadra,3,FALSE),-1)=IFERROR(VLOOKUP($AD47,areaCercaPuntiClassificaSquadra,3,FALSE),-2)),SUMIFS(Dati!$F$2:$F$451,Dati!$A$2:$A$451,$H47,Dati!$H$2:$H$451,$AD47)+SUMIFS(Dati!$M$2:$M$451,Dati!$H$2:$H$451,$H47,Dati!$A$2:$A$451,$AD47),"-")</f>
        <v/>
      </c>
      <c r="CA47" s="22">
        <f>IF(AND($H47&lt;&gt;"",$AE47&lt;&gt;"",$H47&lt;&gt;$AE47,IFERROR(VLOOKUP($H47,areaCercaPuntiClassificaSquadra,3,FALSE),-1)=IFERROR(VLOOKUP($AE47,areaCercaPuntiClassificaSquadra,3,FALSE),-2)),SUMIFS(Dati!$F$2:$F$451,Dati!$A$2:$A$451,$H47,Dati!$H$2:$H$451,$AE47)+SUMIFS(Dati!$M$2:$M$451,Dati!$H$2:$H$451,$H47,Dati!$A$2:$A$451,$AE47),"-")</f>
        <v/>
      </c>
      <c r="CB47" s="22">
        <f>IF(AND($H47&lt;&gt;"",$AF47&lt;&gt;"",$H47&lt;&gt;$AF47,IFERROR(VLOOKUP($H47,areaCercaPuntiClassificaSquadra,3,FALSE),-1)=IFERROR(VLOOKUP($AF47,areaCercaPuntiClassificaSquadra,3,FALSE),-2)),SUMIFS(Dati!$F$2:$F$451,Dati!$A$2:$A$451,$H47,Dati!$H$2:$H$451,$AF47)+SUMIFS(Dati!$M$2:$M$451,Dati!$H$2:$H$451,$H47,Dati!$A$2:$A$451,$AF47),"-")</f>
        <v/>
      </c>
      <c r="CC47" s="22">
        <f>IF(AND($H47&lt;&gt;"",$AG47&lt;&gt;"",$H47&lt;&gt;$AG47,IFERROR(VLOOKUP($H47,areaCercaPuntiClassificaSquadra,3,FALSE),-1)=IFERROR(VLOOKUP($AG47,areaCercaPuntiClassificaSquadra,3,FALSE),-2)),SUMIFS(Dati!$F$2:$F$451,Dati!$A$2:$A$451,$H47,Dati!$H$2:$H$451,$AG47)+SUMIFS(Dati!$M$2:$M$451,Dati!$H$2:$H$451,$H47,Dati!$A$2:$A$451,$AG47),"-")</f>
        <v/>
      </c>
      <c r="CD47" s="22">
        <f>IF(AND($H47&lt;&gt;"",$AH47&lt;&gt;"",$H47&lt;&gt;$AH47,IFERROR(VLOOKUP($H47,areaCercaPuntiClassificaSquadra,3,FALSE),-1)=IFERROR(VLOOKUP($AH47,areaCercaPuntiClassificaSquadra,3,FALSE),-2)),SUMIFS(Dati!$F$2:$F$451,Dati!$A$2:$A$451,$H47,Dati!$H$2:$H$451,$AH47)+SUMIFS(Dati!$M$2:$M$451,Dati!$H$2:$H$451,$H47,Dati!$A$2:$A$451,$AH47),"-")</f>
        <v/>
      </c>
      <c r="CF47" s="22">
        <f>IF($C47="","",SUM(AK47:AT47))</f>
        <v/>
      </c>
    </row>
    <row r="48">
      <c r="B48" s="12" t="inlineStr">
        <is>
          <t>D05</t>
        </is>
      </c>
      <c r="C48" s="13" t="n"/>
      <c r="D48" s="14" t="n"/>
      <c r="E48" s="27" t="inlineStr">
        <is>
          <t>D</t>
        </is>
      </c>
      <c r="G48" s="28">
        <f>IF($C48="","",$E48&amp;(COUNTIFS(I$14:I$113,"&gt;"&amp;I48,E$14:E$113,"="&amp;E48,C$14:C$113,"&lt;&gt;")+COUNTIFS(I$14:I$113,"="&amp;I48,H$14:H$113,"&lt;="&amp;H48,E$14:E$113,"="&amp;E48,C$14:C$113,"&lt;&gt;")))</f>
        <v/>
      </c>
      <c r="H48" s="17">
        <f>IF($C48="","",IFERROR(LEFT($C48,FIND("-",$C48)-1),$C48))</f>
        <v/>
      </c>
      <c r="I48" s="12">
        <f>TEXT(1000000000+J48,"|0000000000|")&amp;TEXT(SUM(AK48:AT48),"0000000000|")&amp;IF(SUM(BU48:CD48)=0,"0000000000|",TEXT(ROUND(SUM(BI48:BR48)/SUM(BU48:CD48),4)*100000,"0000000000|"))&amp;IF(P48=0,"0000000000|",TEXT(ROUND(O48/P48,4)*100000,"0000000000|"))</f>
        <v/>
      </c>
      <c r="J48" s="28">
        <f>L48*constPuntiVittoria+M48*constPuntiSconfitta+N48*constPuntiForfait+IF(D48="",0,D48)</f>
        <v/>
      </c>
      <c r="K48" s="12">
        <f>SUM(L48:N48)</f>
        <v/>
      </c>
      <c r="L48" s="12">
        <f>IF($H48="",0,SUMIF(Dati!$A$2:$A$451,$H48,Dati!$B$2:$B$451)+SUMIF(Dati!$H$2:$H$451,$H48,Dati!$I$2:$I$451))</f>
        <v/>
      </c>
      <c r="M48" s="12">
        <f>IF($H48="",0,SUMIF(Dati!$A$2:$A$451,$H48,Dati!$D$2:$D$451)+SUMIF(Dati!$H$2:$H$451,$H48,Dati!$K$2:$K$451))</f>
        <v/>
      </c>
      <c r="N48" s="12">
        <f>IF($H48="",0,SUMIF(Dati!$A$2:$A$451,$H48,Dati!$C$2:$C$451)+SUMIF(Dati!$H$2:$H$451,$H48,Dati!$J$2:$J$451))</f>
        <v/>
      </c>
      <c r="O48" s="12">
        <f>IF($H48="",0,SUMIF(Dati!$A$2:$A$451,$H48,Dati!$E$2:$E$451)+SUMIF(Dati!$H$2:$H$451,$H48,Dati!$L$2:$L$451))</f>
        <v/>
      </c>
      <c r="P48" s="12">
        <f>IF($H48="",0,SUMIF(Dati!$A$2:$A$451,$H48,Dati!$F$2:$F$451)+SUMIF(Dati!$H$2:$H$451,$H48,Dati!$M$2:$M$451))</f>
        <v/>
      </c>
      <c r="Q48" s="12">
        <f>IF($H48="",0,SUMIF(Dati!$A$2:$A$451,$H48,Dati!$G$2:$G$451)+SUMIF(Dati!$H$2:$H$451,$H48,Dati!$N$2:$N$451))</f>
        <v/>
      </c>
      <c r="R48" s="12">
        <f>IF(K48=0,0,ROUND(O48/K48,2))</f>
        <v/>
      </c>
      <c r="S48" s="12">
        <f>IF(K48=0,0,ROUND(P48/K48,2))</f>
        <v/>
      </c>
      <c r="T48" s="12">
        <f>IF(K48=0,0,ROUND(Q48/K48,2))</f>
        <v/>
      </c>
      <c r="U48" s="12">
        <f>IF(COUNTIFS($E$14:$E$113,$E48,$J$14:$J$113,$J48,$C$14:$C$113,"&lt;&gt;")&lt;=1,"-",SUM(AK48:AT48)&amp;"-"&amp;SUM(AW48:BF48))</f>
        <v/>
      </c>
      <c r="V48" s="18">
        <f>IF(COUNTIFS($E$14:$E$113,$E48,$J$14:$J$113,$J48,$C$14:$C$113,"&lt;&gt;",$CF$14:$CF$113,$CF48)&lt;=1,"-",IF(SUM(BU48:CD48)=0,0,ROUND(SUM(BI48:BR48)/SUM(BU48:CD48),3)))</f>
        <v/>
      </c>
      <c r="W48" s="18">
        <f>IF(COUNTIFS($E$14:$E$113,$E48,$J$14:$J$113,$J48,$C$14:$C$113,"&lt;&gt;",$CF$14:$CF$113,$CF48,$V$14:$V$113,$V48)&lt;=1,"-",IF(P48=0,0,ROUND(O48/P48,3)))</f>
        <v/>
      </c>
      <c r="X48" s="19">
        <f>IF($C48="","",$E48&amp;"#"&amp;COUNTIFS($E$14:$E48,$E48,$C$14:$C48,"&lt;&gt;"))</f>
        <v/>
      </c>
      <c r="Y48" s="20">
        <f>IFERROR(INDEX($H$14:$H$113,MATCH($E48&amp;"#1",$X$14:$X$113,0)),"")</f>
        <v/>
      </c>
      <c r="Z48" s="20">
        <f>IFERROR(INDEX($H$14:$H$113,MATCH($E48&amp;"#2",$X$14:$X$113,0)),"")</f>
        <v/>
      </c>
      <c r="AA48" s="20">
        <f>IFERROR(INDEX($H$14:$H$113,MATCH($E48&amp;"#3",$X$14:$X$113,0)),"")</f>
        <v/>
      </c>
      <c r="AB48" s="20">
        <f>IFERROR(INDEX($H$14:$H$113,MATCH($E48&amp;"#4",$X$14:$X$113,0)),"")</f>
        <v/>
      </c>
      <c r="AC48" s="20">
        <f>IFERROR(INDEX($H$14:$H$113,MATCH($E48&amp;"#5",$X$14:$X$113,0)),"")</f>
        <v/>
      </c>
      <c r="AD48" s="20">
        <f>IFERROR(INDEX($H$14:$H$113,MATCH($E48&amp;"#6",$X$14:$X$113,0)),"")</f>
        <v/>
      </c>
      <c r="AE48" s="20">
        <f>IFERROR(INDEX($H$14:$H$113,MATCH($E48&amp;"#7",$X$14:$X$113,0)),"")</f>
        <v/>
      </c>
      <c r="AF48" s="20">
        <f>IFERROR(INDEX($H$14:$H$113,MATCH($E48&amp;"#8",$X$14:$X$113,0)),"")</f>
        <v/>
      </c>
      <c r="AG48" s="20">
        <f>IFERROR(INDEX($H$14:$H$113,MATCH($E48&amp;"#9",$X$14:$X$113,0)),"")</f>
        <v/>
      </c>
      <c r="AH48" s="20">
        <f>IFERROR(INDEX($H$14:$H$113,MATCH($E48&amp;"#10",$X$14:$X$113,0)),"")</f>
        <v/>
      </c>
      <c r="AJ48" s="21">
        <f>$C48</f>
        <v/>
      </c>
      <c r="AK48" s="22">
        <f>IF(AND($H48&lt;&gt;"",$Y48&lt;&gt;"",$H48&lt;&gt;$Y48,IFERROR(VLOOKUP($H48,areaCercaPuntiClassificaSquadra,3,FALSE),-1)=IFERROR(VLOOKUP($Y48,areaCercaPuntiClassificaSquadra,3,FALSE),-2)),SUMIFS(Dati!$B$2:$B$451,Dati!$A$2:$A$451,$H48,Dati!$H$2:$H$451,$Y48)+SUMIFS(Dati!$I$2:$I$451,Dati!$H$2:$H$451,$H48,Dati!$A$2:$A$451,$Y48),"-")</f>
        <v/>
      </c>
      <c r="AL48" s="22">
        <f>IF(AND($H48&lt;&gt;"",$Z48&lt;&gt;"",$H48&lt;&gt;$Z48,IFERROR(VLOOKUP($H48,areaCercaPuntiClassificaSquadra,3,FALSE),-1)=IFERROR(VLOOKUP($Z48,areaCercaPuntiClassificaSquadra,3,FALSE),-2)),SUMIFS(Dati!$B$2:$B$451,Dati!$A$2:$A$451,$H48,Dati!$H$2:$H$451,$Z48)+SUMIFS(Dati!$I$2:$I$451,Dati!$H$2:$H$451,$H48,Dati!$A$2:$A$451,$Z48),"-")</f>
        <v/>
      </c>
      <c r="AM48" s="22">
        <f>IF(AND($H48&lt;&gt;"",$AA48&lt;&gt;"",$H48&lt;&gt;$AA48,IFERROR(VLOOKUP($H48,areaCercaPuntiClassificaSquadra,3,FALSE),-1)=IFERROR(VLOOKUP($AA48,areaCercaPuntiClassificaSquadra,3,FALSE),-2)),SUMIFS(Dati!$B$2:$B$451,Dati!$A$2:$A$451,$H48,Dati!$H$2:$H$451,$AA48)+SUMIFS(Dati!$I$2:$I$451,Dati!$H$2:$H$451,$H48,Dati!$A$2:$A$451,$AA48),"-")</f>
        <v/>
      </c>
      <c r="AN48" s="22">
        <f>IF(AND($H48&lt;&gt;"",$AB48&lt;&gt;"",$H48&lt;&gt;$AB48,IFERROR(VLOOKUP($H48,areaCercaPuntiClassificaSquadra,3,FALSE),-1)=IFERROR(VLOOKUP($AB48,areaCercaPuntiClassificaSquadra,3,FALSE),-2)),SUMIFS(Dati!$B$2:$B$451,Dati!$A$2:$A$451,$H48,Dati!$H$2:$H$451,$AB48)+SUMIFS(Dati!$I$2:$I$451,Dati!$H$2:$H$451,$H48,Dati!$A$2:$A$451,$AB48),"-")</f>
        <v/>
      </c>
      <c r="AO48" s="22">
        <f>IF(AND($H48&lt;&gt;"",$AC48&lt;&gt;"",$H48&lt;&gt;$AC48,IFERROR(VLOOKUP($H48,areaCercaPuntiClassificaSquadra,3,FALSE),-1)=IFERROR(VLOOKUP($AC48,areaCercaPuntiClassificaSquadra,3,FALSE),-2)),SUMIFS(Dati!$B$2:$B$451,Dati!$A$2:$A$451,$H48,Dati!$H$2:$H$451,$AC48)+SUMIFS(Dati!$I$2:$I$451,Dati!$H$2:$H$451,$H48,Dati!$A$2:$A$451,$AC48),"-")</f>
        <v/>
      </c>
      <c r="AP48" s="22">
        <f>IF(AND($H48&lt;&gt;"",$AD48&lt;&gt;"",$H48&lt;&gt;$AD48,IFERROR(VLOOKUP($H48,areaCercaPuntiClassificaSquadra,3,FALSE),-1)=IFERROR(VLOOKUP($AD48,areaCercaPuntiClassificaSquadra,3,FALSE),-2)),SUMIFS(Dati!$B$2:$B$451,Dati!$A$2:$A$451,$H48,Dati!$H$2:$H$451,$AD48)+SUMIFS(Dati!$I$2:$I$451,Dati!$H$2:$H$451,$H48,Dati!$A$2:$A$451,$AD48),"-")</f>
        <v/>
      </c>
      <c r="AQ48" s="22">
        <f>IF(AND($H48&lt;&gt;"",$AE48&lt;&gt;"",$H48&lt;&gt;$AE48,IFERROR(VLOOKUP($H48,areaCercaPuntiClassificaSquadra,3,FALSE),-1)=IFERROR(VLOOKUP($AE48,areaCercaPuntiClassificaSquadra,3,FALSE),-2)),SUMIFS(Dati!$B$2:$B$451,Dati!$A$2:$A$451,$H48,Dati!$H$2:$H$451,$AE48)+SUMIFS(Dati!$I$2:$I$451,Dati!$H$2:$H$451,$H48,Dati!$A$2:$A$451,$AE48),"-")</f>
        <v/>
      </c>
      <c r="AR48" s="22">
        <f>IF(AND($H48&lt;&gt;"",$AF48&lt;&gt;"",$H48&lt;&gt;$AF48,IFERROR(VLOOKUP($H48,areaCercaPuntiClassificaSquadra,3,FALSE),-1)=IFERROR(VLOOKUP($AF48,areaCercaPuntiClassificaSquadra,3,FALSE),-2)),SUMIFS(Dati!$B$2:$B$451,Dati!$A$2:$A$451,$H48,Dati!$H$2:$H$451,$AF48)+SUMIFS(Dati!$I$2:$I$451,Dati!$H$2:$H$451,$H48,Dati!$A$2:$A$451,$AF48),"-")</f>
        <v/>
      </c>
      <c r="AS48" s="22">
        <f>IF(AND($H48&lt;&gt;"",$AG48&lt;&gt;"",$H48&lt;&gt;$AG48,IFERROR(VLOOKUP($H48,areaCercaPuntiClassificaSquadra,3,FALSE),-1)=IFERROR(VLOOKUP($AG48,areaCercaPuntiClassificaSquadra,3,FALSE),-2)),SUMIFS(Dati!$B$2:$B$451,Dati!$A$2:$A$451,$H48,Dati!$H$2:$H$451,$AG48)+SUMIFS(Dati!$I$2:$I$451,Dati!$H$2:$H$451,$H48,Dati!$A$2:$A$451,$AG48),"-")</f>
        <v/>
      </c>
      <c r="AT48" s="22">
        <f>IF(AND($H48&lt;&gt;"",$AH48&lt;&gt;"",$H48&lt;&gt;$AH48,IFERROR(VLOOKUP($H48,areaCercaPuntiClassificaSquadra,3,FALSE),-1)=IFERROR(VLOOKUP($AH48,areaCercaPuntiClassificaSquadra,3,FALSE),-2)),SUMIFS(Dati!$B$2:$B$451,Dati!$A$2:$A$451,$H48,Dati!$H$2:$H$451,$AH48)+SUMIFS(Dati!$I$2:$I$451,Dati!$H$2:$H$451,$H48,Dati!$A$2:$A$451,$AH48),"-")</f>
        <v/>
      </c>
      <c r="AV48" s="21">
        <f>$C48</f>
        <v/>
      </c>
      <c r="AW48" s="22">
        <f>IF(AND($H48&lt;&gt;"",$Y48&lt;&gt;"",$H48&lt;&gt;$Y48,IFERROR(VLOOKUP($H48,areaCercaPuntiClassificaSquadra,3,FALSE),-1)=IFERROR(VLOOKUP($Y48,areaCercaPuntiClassificaSquadra,3,FALSE),-2)),SUMIFS(Dati!$D$2:$D$451,Dati!$A$2:$A$451,$H48,Dati!$H$2:$H$451,$Y48)+SUMIFS(Dati!$K$2:$K$451,Dati!$H$2:$H$451,$H48,Dati!$A$2:$A$451,$Y48)+SUMIFS(Dati!$C$2:$C$451,Dati!$A$2:$A$451,$H48,Dati!$H$2:$H$451,$Y48)+SUMIFS(Dati!$J$2:$J$451,Dati!$H$2:$H$451,$H48,Dati!$A$2:$A$451,$Y48),"-")</f>
        <v/>
      </c>
      <c r="AX48" s="22">
        <f>IF(AND($H48&lt;&gt;"",$Z48&lt;&gt;"",$H48&lt;&gt;$Z48,IFERROR(VLOOKUP($H48,areaCercaPuntiClassificaSquadra,3,FALSE),-1)=IFERROR(VLOOKUP($Z48,areaCercaPuntiClassificaSquadra,3,FALSE),-2)),SUMIFS(Dati!$D$2:$D$451,Dati!$A$2:$A$451,$H48,Dati!$H$2:$H$451,$Z48)+SUMIFS(Dati!$K$2:$K$451,Dati!$H$2:$H$451,$H48,Dati!$A$2:$A$451,$Z48)+SUMIFS(Dati!$C$2:$C$451,Dati!$A$2:$A$451,$H48,Dati!$H$2:$H$451,$Z48)+SUMIFS(Dati!$J$2:$J$451,Dati!$H$2:$H$451,$H48,Dati!$A$2:$A$451,$Z48),"-")</f>
        <v/>
      </c>
      <c r="AY48" s="22">
        <f>IF(AND($H48&lt;&gt;"",$AA48&lt;&gt;"",$H48&lt;&gt;$AA48,IFERROR(VLOOKUP($H48,areaCercaPuntiClassificaSquadra,3,FALSE),-1)=IFERROR(VLOOKUP($AA48,areaCercaPuntiClassificaSquadra,3,FALSE),-2)),SUMIFS(Dati!$D$2:$D$451,Dati!$A$2:$A$451,$H48,Dati!$H$2:$H$451,$AA48)+SUMIFS(Dati!$K$2:$K$451,Dati!$H$2:$H$451,$H48,Dati!$A$2:$A$451,$AA48)+SUMIFS(Dati!$C$2:$C$451,Dati!$A$2:$A$451,$H48,Dati!$H$2:$H$451,$AA48)+SUMIFS(Dati!$J$2:$J$451,Dati!$H$2:$H$451,$H48,Dati!$A$2:$A$451,$AA48),"-")</f>
        <v/>
      </c>
      <c r="AZ48" s="22">
        <f>IF(AND($H48&lt;&gt;"",$AB48&lt;&gt;"",$H48&lt;&gt;$AB48,IFERROR(VLOOKUP($H48,areaCercaPuntiClassificaSquadra,3,FALSE),-1)=IFERROR(VLOOKUP($AB48,areaCercaPuntiClassificaSquadra,3,FALSE),-2)),SUMIFS(Dati!$D$2:$D$451,Dati!$A$2:$A$451,$H48,Dati!$H$2:$H$451,$AB48)+SUMIFS(Dati!$K$2:$K$451,Dati!$H$2:$H$451,$H48,Dati!$A$2:$A$451,$AB48)+SUMIFS(Dati!$C$2:$C$451,Dati!$A$2:$A$451,$H48,Dati!$H$2:$H$451,$AB48)+SUMIFS(Dati!$J$2:$J$451,Dati!$H$2:$H$451,$H48,Dati!$A$2:$A$451,$AB48),"-")</f>
        <v/>
      </c>
      <c r="BA48" s="22">
        <f>IF(AND($H48&lt;&gt;"",$AC48&lt;&gt;"",$H48&lt;&gt;$AC48,IFERROR(VLOOKUP($H48,areaCercaPuntiClassificaSquadra,3,FALSE),-1)=IFERROR(VLOOKUP($AC48,areaCercaPuntiClassificaSquadra,3,FALSE),-2)),SUMIFS(Dati!$D$2:$D$451,Dati!$A$2:$A$451,$H48,Dati!$H$2:$H$451,$AC48)+SUMIFS(Dati!$K$2:$K$451,Dati!$H$2:$H$451,$H48,Dati!$A$2:$A$451,$AC48)+SUMIFS(Dati!$C$2:$C$451,Dati!$A$2:$A$451,$H48,Dati!$H$2:$H$451,$AC48)+SUMIFS(Dati!$J$2:$J$451,Dati!$H$2:$H$451,$H48,Dati!$A$2:$A$451,$AC48),"-")</f>
        <v/>
      </c>
      <c r="BB48" s="22">
        <f>IF(AND($H48&lt;&gt;"",$AD48&lt;&gt;"",$H48&lt;&gt;$AD48,IFERROR(VLOOKUP($H48,areaCercaPuntiClassificaSquadra,3,FALSE),-1)=IFERROR(VLOOKUP($AD48,areaCercaPuntiClassificaSquadra,3,FALSE),-2)),SUMIFS(Dati!$D$2:$D$451,Dati!$A$2:$A$451,$H48,Dati!$H$2:$H$451,$AD48)+SUMIFS(Dati!$K$2:$K$451,Dati!$H$2:$H$451,$H48,Dati!$A$2:$A$451,$AD48)+SUMIFS(Dati!$C$2:$C$451,Dati!$A$2:$A$451,$H48,Dati!$H$2:$H$451,$AD48)+SUMIFS(Dati!$J$2:$J$451,Dati!$H$2:$H$451,$H48,Dati!$A$2:$A$451,$AD48),"-")</f>
        <v/>
      </c>
      <c r="BC48" s="22">
        <f>IF(AND($H48&lt;&gt;"",$AE48&lt;&gt;"",$H48&lt;&gt;$AE48,IFERROR(VLOOKUP($H48,areaCercaPuntiClassificaSquadra,3,FALSE),-1)=IFERROR(VLOOKUP($AE48,areaCercaPuntiClassificaSquadra,3,FALSE),-2)),SUMIFS(Dati!$D$2:$D$451,Dati!$A$2:$A$451,$H48,Dati!$H$2:$H$451,$AE48)+SUMIFS(Dati!$K$2:$K$451,Dati!$H$2:$H$451,$H48,Dati!$A$2:$A$451,$AE48)+SUMIFS(Dati!$C$2:$C$451,Dati!$A$2:$A$451,$H48,Dati!$H$2:$H$451,$AE48)+SUMIFS(Dati!$J$2:$J$451,Dati!$H$2:$H$451,$H48,Dati!$A$2:$A$451,$AE48),"-")</f>
        <v/>
      </c>
      <c r="BD48" s="22">
        <f>IF(AND($H48&lt;&gt;"",$AF48&lt;&gt;"",$H48&lt;&gt;$AF48,IFERROR(VLOOKUP($H48,areaCercaPuntiClassificaSquadra,3,FALSE),-1)=IFERROR(VLOOKUP($AF48,areaCercaPuntiClassificaSquadra,3,FALSE),-2)),SUMIFS(Dati!$D$2:$D$451,Dati!$A$2:$A$451,$H48,Dati!$H$2:$H$451,$AF48)+SUMIFS(Dati!$K$2:$K$451,Dati!$H$2:$H$451,$H48,Dati!$A$2:$A$451,$AF48)+SUMIFS(Dati!$C$2:$C$451,Dati!$A$2:$A$451,$H48,Dati!$H$2:$H$451,$AF48)+SUMIFS(Dati!$J$2:$J$451,Dati!$H$2:$H$451,$H48,Dati!$A$2:$A$451,$AF48),"-")</f>
        <v/>
      </c>
      <c r="BE48" s="22">
        <f>IF(AND($H48&lt;&gt;"",$AG48&lt;&gt;"",$H48&lt;&gt;$AG48,IFERROR(VLOOKUP($H48,areaCercaPuntiClassificaSquadra,3,FALSE),-1)=IFERROR(VLOOKUP($AG48,areaCercaPuntiClassificaSquadra,3,FALSE),-2)),SUMIFS(Dati!$D$2:$D$451,Dati!$A$2:$A$451,$H48,Dati!$H$2:$H$451,$AG48)+SUMIFS(Dati!$K$2:$K$451,Dati!$H$2:$H$451,$H48,Dati!$A$2:$A$451,$AG48)+SUMIFS(Dati!$C$2:$C$451,Dati!$A$2:$A$451,$H48,Dati!$H$2:$H$451,$AG48)+SUMIFS(Dati!$J$2:$J$451,Dati!$H$2:$H$451,$H48,Dati!$A$2:$A$451,$AG48),"-")</f>
        <v/>
      </c>
      <c r="BF48" s="22">
        <f>IF(AND($H48&lt;&gt;"",$AH48&lt;&gt;"",$H48&lt;&gt;$AH48,IFERROR(VLOOKUP($H48,areaCercaPuntiClassificaSquadra,3,FALSE),-1)=IFERROR(VLOOKUP($AH48,areaCercaPuntiClassificaSquadra,3,FALSE),-2)),SUMIFS(Dati!$D$2:$D$451,Dati!$A$2:$A$451,$H48,Dati!$H$2:$H$451,$AH48)+SUMIFS(Dati!$K$2:$K$451,Dati!$H$2:$H$451,$H48,Dati!$A$2:$A$451,$AH48)+SUMIFS(Dati!$C$2:$C$451,Dati!$A$2:$A$451,$H48,Dati!$H$2:$H$451,$AH48)+SUMIFS(Dati!$J$2:$J$451,Dati!$H$2:$H$451,$H48,Dati!$A$2:$A$451,$AH48),"-")</f>
        <v/>
      </c>
      <c r="BH48" s="21">
        <f>$C48</f>
        <v/>
      </c>
      <c r="BI48" s="22">
        <f>IF(AND($H48&lt;&gt;"",$Y48&lt;&gt;"",$H48&lt;&gt;$Y48,IFERROR(VLOOKUP($H48,areaCercaPuntiClassificaSquadra,3,FALSE),-1)=IFERROR(VLOOKUP($Y48,areaCercaPuntiClassificaSquadra,3,FALSE),-2)),SUMIFS(Dati!$E$2:$E$451,Dati!$A$2:$A$451,$H48,Dati!$H$2:$H$451,$Y48)+SUMIFS(Dati!$L$2:$L$451,Dati!$H$2:$H$451,$H48,Dati!$A$2:$A$451,$Y48),"-")</f>
        <v/>
      </c>
      <c r="BJ48" s="22">
        <f>IF(AND($H48&lt;&gt;"",$Z48&lt;&gt;"",$H48&lt;&gt;$Z48,IFERROR(VLOOKUP($H48,areaCercaPuntiClassificaSquadra,3,FALSE),-1)=IFERROR(VLOOKUP($Z48,areaCercaPuntiClassificaSquadra,3,FALSE),-2)),SUMIFS(Dati!$E$2:$E$451,Dati!$A$2:$A$451,$H48,Dati!$H$2:$H$451,$Z48)+SUMIFS(Dati!$L$2:$L$451,Dati!$H$2:$H$451,$H48,Dati!$A$2:$A$451,$Z48),"-")</f>
        <v/>
      </c>
      <c r="BK48" s="22">
        <f>IF(AND($H48&lt;&gt;"",$AA48&lt;&gt;"",$H48&lt;&gt;$AA48,IFERROR(VLOOKUP($H48,areaCercaPuntiClassificaSquadra,3,FALSE),-1)=IFERROR(VLOOKUP($AA48,areaCercaPuntiClassificaSquadra,3,FALSE),-2)),SUMIFS(Dati!$E$2:$E$451,Dati!$A$2:$A$451,$H48,Dati!$H$2:$H$451,$AA48)+SUMIFS(Dati!$L$2:$L$451,Dati!$H$2:$H$451,$H48,Dati!$A$2:$A$451,$AA48),"-")</f>
        <v/>
      </c>
      <c r="BL48" s="22">
        <f>IF(AND($H48&lt;&gt;"",$AB48&lt;&gt;"",$H48&lt;&gt;$AB48,IFERROR(VLOOKUP($H48,areaCercaPuntiClassificaSquadra,3,FALSE),-1)=IFERROR(VLOOKUP($AB48,areaCercaPuntiClassificaSquadra,3,FALSE),-2)),SUMIFS(Dati!$E$2:$E$451,Dati!$A$2:$A$451,$H48,Dati!$H$2:$H$451,$AB48)+SUMIFS(Dati!$L$2:$L$451,Dati!$H$2:$H$451,$H48,Dati!$A$2:$A$451,$AB48),"-")</f>
        <v/>
      </c>
      <c r="BM48" s="22">
        <f>IF(AND($H48&lt;&gt;"",$AC48&lt;&gt;"",$H48&lt;&gt;$AC48,IFERROR(VLOOKUP($H48,areaCercaPuntiClassificaSquadra,3,FALSE),-1)=IFERROR(VLOOKUP($AC48,areaCercaPuntiClassificaSquadra,3,FALSE),-2)),SUMIFS(Dati!$E$2:$E$451,Dati!$A$2:$A$451,$H48,Dati!$H$2:$H$451,$AC48)+SUMIFS(Dati!$L$2:$L$451,Dati!$H$2:$H$451,$H48,Dati!$A$2:$A$451,$AC48),"-")</f>
        <v/>
      </c>
      <c r="BN48" s="22">
        <f>IF(AND($H48&lt;&gt;"",$AD48&lt;&gt;"",$H48&lt;&gt;$AD48,IFERROR(VLOOKUP($H48,areaCercaPuntiClassificaSquadra,3,FALSE),-1)=IFERROR(VLOOKUP($AD48,areaCercaPuntiClassificaSquadra,3,FALSE),-2)),SUMIFS(Dati!$E$2:$E$451,Dati!$A$2:$A$451,$H48,Dati!$H$2:$H$451,$AD48)+SUMIFS(Dati!$L$2:$L$451,Dati!$H$2:$H$451,$H48,Dati!$A$2:$A$451,$AD48),"-")</f>
        <v/>
      </c>
      <c r="BO48" s="22">
        <f>IF(AND($H48&lt;&gt;"",$AE48&lt;&gt;"",$H48&lt;&gt;$AE48,IFERROR(VLOOKUP($H48,areaCercaPuntiClassificaSquadra,3,FALSE),-1)=IFERROR(VLOOKUP($AE48,areaCercaPuntiClassificaSquadra,3,FALSE),-2)),SUMIFS(Dati!$E$2:$E$451,Dati!$A$2:$A$451,$H48,Dati!$H$2:$H$451,$AE48)+SUMIFS(Dati!$L$2:$L$451,Dati!$H$2:$H$451,$H48,Dati!$A$2:$A$451,$AE48),"-")</f>
        <v/>
      </c>
      <c r="BP48" s="22">
        <f>IF(AND($H48&lt;&gt;"",$AF48&lt;&gt;"",$H48&lt;&gt;$AF48,IFERROR(VLOOKUP($H48,areaCercaPuntiClassificaSquadra,3,FALSE),-1)=IFERROR(VLOOKUP($AF48,areaCercaPuntiClassificaSquadra,3,FALSE),-2)),SUMIFS(Dati!$E$2:$E$451,Dati!$A$2:$A$451,$H48,Dati!$H$2:$H$451,$AF48)+SUMIFS(Dati!$L$2:$L$451,Dati!$H$2:$H$451,$H48,Dati!$A$2:$A$451,$AF48),"-")</f>
        <v/>
      </c>
      <c r="BQ48" s="22">
        <f>IF(AND($H48&lt;&gt;"",$AG48&lt;&gt;"",$H48&lt;&gt;$AG48,IFERROR(VLOOKUP($H48,areaCercaPuntiClassificaSquadra,3,FALSE),-1)=IFERROR(VLOOKUP($AG48,areaCercaPuntiClassificaSquadra,3,FALSE),-2)),SUMIFS(Dati!$E$2:$E$451,Dati!$A$2:$A$451,$H48,Dati!$H$2:$H$451,$AG48)+SUMIFS(Dati!$L$2:$L$451,Dati!$H$2:$H$451,$H48,Dati!$A$2:$A$451,$AG48),"-")</f>
        <v/>
      </c>
      <c r="BR48" s="22">
        <f>IF(AND($H48&lt;&gt;"",$AH48&lt;&gt;"",$H48&lt;&gt;$AH48,IFERROR(VLOOKUP($H48,areaCercaPuntiClassificaSquadra,3,FALSE),-1)=IFERROR(VLOOKUP($AH48,areaCercaPuntiClassificaSquadra,3,FALSE),-2)),SUMIFS(Dati!$E$2:$E$451,Dati!$A$2:$A$451,$H48,Dati!$H$2:$H$451,$AH48)+SUMIFS(Dati!$L$2:$L$451,Dati!$H$2:$H$451,$H48,Dati!$A$2:$A$451,$AH48),"-")</f>
        <v/>
      </c>
      <c r="BT48" s="21">
        <f>$C48</f>
        <v/>
      </c>
      <c r="BU48" s="22">
        <f>IF(AND($H48&lt;&gt;"",$Y48&lt;&gt;"",$H48&lt;&gt;$Y48,IFERROR(VLOOKUP($H48,areaCercaPuntiClassificaSquadra,3,FALSE),-1)=IFERROR(VLOOKUP($Y48,areaCercaPuntiClassificaSquadra,3,FALSE),-2)),SUMIFS(Dati!$F$2:$F$451,Dati!$A$2:$A$451,$H48,Dati!$H$2:$H$451,$Y48)+SUMIFS(Dati!$M$2:$M$451,Dati!$H$2:$H$451,$H48,Dati!$A$2:$A$451,$Y48),"-")</f>
        <v/>
      </c>
      <c r="BV48" s="22">
        <f>IF(AND($H48&lt;&gt;"",$Z48&lt;&gt;"",$H48&lt;&gt;$Z48,IFERROR(VLOOKUP($H48,areaCercaPuntiClassificaSquadra,3,FALSE),-1)=IFERROR(VLOOKUP($Z48,areaCercaPuntiClassificaSquadra,3,FALSE),-2)),SUMIFS(Dati!$F$2:$F$451,Dati!$A$2:$A$451,$H48,Dati!$H$2:$H$451,$Z48)+SUMIFS(Dati!$M$2:$M$451,Dati!$H$2:$H$451,$H48,Dati!$A$2:$A$451,$Z48),"-")</f>
        <v/>
      </c>
      <c r="BW48" s="22">
        <f>IF(AND($H48&lt;&gt;"",$AA48&lt;&gt;"",$H48&lt;&gt;$AA48,IFERROR(VLOOKUP($H48,areaCercaPuntiClassificaSquadra,3,FALSE),-1)=IFERROR(VLOOKUP($AA48,areaCercaPuntiClassificaSquadra,3,FALSE),-2)),SUMIFS(Dati!$F$2:$F$451,Dati!$A$2:$A$451,$H48,Dati!$H$2:$H$451,$AA48)+SUMIFS(Dati!$M$2:$M$451,Dati!$H$2:$H$451,$H48,Dati!$A$2:$A$451,$AA48),"-")</f>
        <v/>
      </c>
      <c r="BX48" s="22">
        <f>IF(AND($H48&lt;&gt;"",$AB48&lt;&gt;"",$H48&lt;&gt;$AB48,IFERROR(VLOOKUP($H48,areaCercaPuntiClassificaSquadra,3,FALSE),-1)=IFERROR(VLOOKUP($AB48,areaCercaPuntiClassificaSquadra,3,FALSE),-2)),SUMIFS(Dati!$F$2:$F$451,Dati!$A$2:$A$451,$H48,Dati!$H$2:$H$451,$AB48)+SUMIFS(Dati!$M$2:$M$451,Dati!$H$2:$H$451,$H48,Dati!$A$2:$A$451,$AB48),"-")</f>
        <v/>
      </c>
      <c r="BY48" s="22">
        <f>IF(AND($H48&lt;&gt;"",$AC48&lt;&gt;"",$H48&lt;&gt;$AC48,IFERROR(VLOOKUP($H48,areaCercaPuntiClassificaSquadra,3,FALSE),-1)=IFERROR(VLOOKUP($AC48,areaCercaPuntiClassificaSquadra,3,FALSE),-2)),SUMIFS(Dati!$F$2:$F$451,Dati!$A$2:$A$451,$H48,Dati!$H$2:$H$451,$AC48)+SUMIFS(Dati!$M$2:$M$451,Dati!$H$2:$H$451,$H48,Dati!$A$2:$A$451,$AC48),"-")</f>
        <v/>
      </c>
      <c r="BZ48" s="22">
        <f>IF(AND($H48&lt;&gt;"",$AD48&lt;&gt;"",$H48&lt;&gt;$AD48,IFERROR(VLOOKUP($H48,areaCercaPuntiClassificaSquadra,3,FALSE),-1)=IFERROR(VLOOKUP($AD48,areaCercaPuntiClassificaSquadra,3,FALSE),-2)),SUMIFS(Dati!$F$2:$F$451,Dati!$A$2:$A$451,$H48,Dati!$H$2:$H$451,$AD48)+SUMIFS(Dati!$M$2:$M$451,Dati!$H$2:$H$451,$H48,Dati!$A$2:$A$451,$AD48),"-")</f>
        <v/>
      </c>
      <c r="CA48" s="22">
        <f>IF(AND($H48&lt;&gt;"",$AE48&lt;&gt;"",$H48&lt;&gt;$AE48,IFERROR(VLOOKUP($H48,areaCercaPuntiClassificaSquadra,3,FALSE),-1)=IFERROR(VLOOKUP($AE48,areaCercaPuntiClassificaSquadra,3,FALSE),-2)),SUMIFS(Dati!$F$2:$F$451,Dati!$A$2:$A$451,$H48,Dati!$H$2:$H$451,$AE48)+SUMIFS(Dati!$M$2:$M$451,Dati!$H$2:$H$451,$H48,Dati!$A$2:$A$451,$AE48),"-")</f>
        <v/>
      </c>
      <c r="CB48" s="22">
        <f>IF(AND($H48&lt;&gt;"",$AF48&lt;&gt;"",$H48&lt;&gt;$AF48,IFERROR(VLOOKUP($H48,areaCercaPuntiClassificaSquadra,3,FALSE),-1)=IFERROR(VLOOKUP($AF48,areaCercaPuntiClassificaSquadra,3,FALSE),-2)),SUMIFS(Dati!$F$2:$F$451,Dati!$A$2:$A$451,$H48,Dati!$H$2:$H$451,$AF48)+SUMIFS(Dati!$M$2:$M$451,Dati!$H$2:$H$451,$H48,Dati!$A$2:$A$451,$AF48),"-")</f>
        <v/>
      </c>
      <c r="CC48" s="22">
        <f>IF(AND($H48&lt;&gt;"",$AG48&lt;&gt;"",$H48&lt;&gt;$AG48,IFERROR(VLOOKUP($H48,areaCercaPuntiClassificaSquadra,3,FALSE),-1)=IFERROR(VLOOKUP($AG48,areaCercaPuntiClassificaSquadra,3,FALSE),-2)),SUMIFS(Dati!$F$2:$F$451,Dati!$A$2:$A$451,$H48,Dati!$H$2:$H$451,$AG48)+SUMIFS(Dati!$M$2:$M$451,Dati!$H$2:$H$451,$H48,Dati!$A$2:$A$451,$AG48),"-")</f>
        <v/>
      </c>
      <c r="CD48" s="22">
        <f>IF(AND($H48&lt;&gt;"",$AH48&lt;&gt;"",$H48&lt;&gt;$AH48,IFERROR(VLOOKUP($H48,areaCercaPuntiClassificaSquadra,3,FALSE),-1)=IFERROR(VLOOKUP($AH48,areaCercaPuntiClassificaSquadra,3,FALSE),-2)),SUMIFS(Dati!$F$2:$F$451,Dati!$A$2:$A$451,$H48,Dati!$H$2:$H$451,$AH48)+SUMIFS(Dati!$M$2:$M$451,Dati!$H$2:$H$451,$H48,Dati!$A$2:$A$451,$AH48),"-")</f>
        <v/>
      </c>
      <c r="CF48" s="22">
        <f>IF($C48="","",SUM(AK48:AT48))</f>
        <v/>
      </c>
    </row>
    <row r="49">
      <c r="B49" s="12" t="inlineStr">
        <is>
          <t>D06</t>
        </is>
      </c>
      <c r="C49" s="13" t="n"/>
      <c r="D49" s="14" t="n"/>
      <c r="E49" s="27" t="inlineStr">
        <is>
          <t>D</t>
        </is>
      </c>
      <c r="G49" s="28">
        <f>IF($C49="","",$E49&amp;(COUNTIFS(I$14:I$113,"&gt;"&amp;I49,E$14:E$113,"="&amp;E49,C$14:C$113,"&lt;&gt;")+COUNTIFS(I$14:I$113,"="&amp;I49,H$14:H$113,"&lt;="&amp;H49,E$14:E$113,"="&amp;E49,C$14:C$113,"&lt;&gt;")))</f>
        <v/>
      </c>
      <c r="H49" s="17">
        <f>IF($C49="","",IFERROR(LEFT($C49,FIND("-",$C49)-1),$C49))</f>
        <v/>
      </c>
      <c r="I49" s="12">
        <f>TEXT(1000000000+J49,"|0000000000|")&amp;TEXT(SUM(AK49:AT49),"0000000000|")&amp;IF(SUM(BU49:CD49)=0,"0000000000|",TEXT(ROUND(SUM(BI49:BR49)/SUM(BU49:CD49),4)*100000,"0000000000|"))&amp;IF(P49=0,"0000000000|",TEXT(ROUND(O49/P49,4)*100000,"0000000000|"))</f>
        <v/>
      </c>
      <c r="J49" s="28">
        <f>L49*constPuntiVittoria+M49*constPuntiSconfitta+N49*constPuntiForfait+IF(D49="",0,D49)</f>
        <v/>
      </c>
      <c r="K49" s="12">
        <f>SUM(L49:N49)</f>
        <v/>
      </c>
      <c r="L49" s="12">
        <f>IF($H49="",0,SUMIF(Dati!$A$2:$A$451,$H49,Dati!$B$2:$B$451)+SUMIF(Dati!$H$2:$H$451,$H49,Dati!$I$2:$I$451))</f>
        <v/>
      </c>
      <c r="M49" s="12">
        <f>IF($H49="",0,SUMIF(Dati!$A$2:$A$451,$H49,Dati!$D$2:$D$451)+SUMIF(Dati!$H$2:$H$451,$H49,Dati!$K$2:$K$451))</f>
        <v/>
      </c>
      <c r="N49" s="12">
        <f>IF($H49="",0,SUMIF(Dati!$A$2:$A$451,$H49,Dati!$C$2:$C$451)+SUMIF(Dati!$H$2:$H$451,$H49,Dati!$J$2:$J$451))</f>
        <v/>
      </c>
      <c r="O49" s="12">
        <f>IF($H49="",0,SUMIF(Dati!$A$2:$A$451,$H49,Dati!$E$2:$E$451)+SUMIF(Dati!$H$2:$H$451,$H49,Dati!$L$2:$L$451))</f>
        <v/>
      </c>
      <c r="P49" s="12">
        <f>IF($H49="",0,SUMIF(Dati!$A$2:$A$451,$H49,Dati!$F$2:$F$451)+SUMIF(Dati!$H$2:$H$451,$H49,Dati!$M$2:$M$451))</f>
        <v/>
      </c>
      <c r="Q49" s="12">
        <f>IF($H49="",0,SUMIF(Dati!$A$2:$A$451,$H49,Dati!$G$2:$G$451)+SUMIF(Dati!$H$2:$H$451,$H49,Dati!$N$2:$N$451))</f>
        <v/>
      </c>
      <c r="R49" s="12">
        <f>IF(K49=0,0,ROUND(O49/K49,2))</f>
        <v/>
      </c>
      <c r="S49" s="12">
        <f>IF(K49=0,0,ROUND(P49/K49,2))</f>
        <v/>
      </c>
      <c r="T49" s="12">
        <f>IF(K49=0,0,ROUND(Q49/K49,2))</f>
        <v/>
      </c>
      <c r="U49" s="12">
        <f>IF(COUNTIFS($E$14:$E$113,$E49,$J$14:$J$113,$J49,$C$14:$C$113,"&lt;&gt;")&lt;=1,"-",SUM(AK49:AT49)&amp;"-"&amp;SUM(AW49:BF49))</f>
        <v/>
      </c>
      <c r="V49" s="18">
        <f>IF(COUNTIFS($E$14:$E$113,$E49,$J$14:$J$113,$J49,$C$14:$C$113,"&lt;&gt;",$CF$14:$CF$113,$CF49)&lt;=1,"-",IF(SUM(BU49:CD49)=0,0,ROUND(SUM(BI49:BR49)/SUM(BU49:CD49),3)))</f>
        <v/>
      </c>
      <c r="W49" s="18">
        <f>IF(COUNTIFS($E$14:$E$113,$E49,$J$14:$J$113,$J49,$C$14:$C$113,"&lt;&gt;",$CF$14:$CF$113,$CF49,$V$14:$V$113,$V49)&lt;=1,"-",IF(P49=0,0,ROUND(O49/P49,3)))</f>
        <v/>
      </c>
      <c r="X49" s="19">
        <f>IF($C49="","",$E49&amp;"#"&amp;COUNTIFS($E$14:$E49,$E49,$C$14:$C49,"&lt;&gt;"))</f>
        <v/>
      </c>
      <c r="Y49" s="20">
        <f>IFERROR(INDEX($H$14:$H$113,MATCH($E49&amp;"#1",$X$14:$X$113,0)),"")</f>
        <v/>
      </c>
      <c r="Z49" s="20">
        <f>IFERROR(INDEX($H$14:$H$113,MATCH($E49&amp;"#2",$X$14:$X$113,0)),"")</f>
        <v/>
      </c>
      <c r="AA49" s="20">
        <f>IFERROR(INDEX($H$14:$H$113,MATCH($E49&amp;"#3",$X$14:$X$113,0)),"")</f>
        <v/>
      </c>
      <c r="AB49" s="20">
        <f>IFERROR(INDEX($H$14:$H$113,MATCH($E49&amp;"#4",$X$14:$X$113,0)),"")</f>
        <v/>
      </c>
      <c r="AC49" s="20">
        <f>IFERROR(INDEX($H$14:$H$113,MATCH($E49&amp;"#5",$X$14:$X$113,0)),"")</f>
        <v/>
      </c>
      <c r="AD49" s="20">
        <f>IFERROR(INDEX($H$14:$H$113,MATCH($E49&amp;"#6",$X$14:$X$113,0)),"")</f>
        <v/>
      </c>
      <c r="AE49" s="20">
        <f>IFERROR(INDEX($H$14:$H$113,MATCH($E49&amp;"#7",$X$14:$X$113,0)),"")</f>
        <v/>
      </c>
      <c r="AF49" s="20">
        <f>IFERROR(INDEX($H$14:$H$113,MATCH($E49&amp;"#8",$X$14:$X$113,0)),"")</f>
        <v/>
      </c>
      <c r="AG49" s="20">
        <f>IFERROR(INDEX($H$14:$H$113,MATCH($E49&amp;"#9",$X$14:$X$113,0)),"")</f>
        <v/>
      </c>
      <c r="AH49" s="20">
        <f>IFERROR(INDEX($H$14:$H$113,MATCH($E49&amp;"#10",$X$14:$X$113,0)),"")</f>
        <v/>
      </c>
      <c r="AJ49" s="21">
        <f>$C49</f>
        <v/>
      </c>
      <c r="AK49" s="22">
        <f>IF(AND($H49&lt;&gt;"",$Y49&lt;&gt;"",$H49&lt;&gt;$Y49,IFERROR(VLOOKUP($H49,areaCercaPuntiClassificaSquadra,3,FALSE),-1)=IFERROR(VLOOKUP($Y49,areaCercaPuntiClassificaSquadra,3,FALSE),-2)),SUMIFS(Dati!$B$2:$B$451,Dati!$A$2:$A$451,$H49,Dati!$H$2:$H$451,$Y49)+SUMIFS(Dati!$I$2:$I$451,Dati!$H$2:$H$451,$H49,Dati!$A$2:$A$451,$Y49),"-")</f>
        <v/>
      </c>
      <c r="AL49" s="22">
        <f>IF(AND($H49&lt;&gt;"",$Z49&lt;&gt;"",$H49&lt;&gt;$Z49,IFERROR(VLOOKUP($H49,areaCercaPuntiClassificaSquadra,3,FALSE),-1)=IFERROR(VLOOKUP($Z49,areaCercaPuntiClassificaSquadra,3,FALSE),-2)),SUMIFS(Dati!$B$2:$B$451,Dati!$A$2:$A$451,$H49,Dati!$H$2:$H$451,$Z49)+SUMIFS(Dati!$I$2:$I$451,Dati!$H$2:$H$451,$H49,Dati!$A$2:$A$451,$Z49),"-")</f>
        <v/>
      </c>
      <c r="AM49" s="22">
        <f>IF(AND($H49&lt;&gt;"",$AA49&lt;&gt;"",$H49&lt;&gt;$AA49,IFERROR(VLOOKUP($H49,areaCercaPuntiClassificaSquadra,3,FALSE),-1)=IFERROR(VLOOKUP($AA49,areaCercaPuntiClassificaSquadra,3,FALSE),-2)),SUMIFS(Dati!$B$2:$B$451,Dati!$A$2:$A$451,$H49,Dati!$H$2:$H$451,$AA49)+SUMIFS(Dati!$I$2:$I$451,Dati!$H$2:$H$451,$H49,Dati!$A$2:$A$451,$AA49),"-")</f>
        <v/>
      </c>
      <c r="AN49" s="22">
        <f>IF(AND($H49&lt;&gt;"",$AB49&lt;&gt;"",$H49&lt;&gt;$AB49,IFERROR(VLOOKUP($H49,areaCercaPuntiClassificaSquadra,3,FALSE),-1)=IFERROR(VLOOKUP($AB49,areaCercaPuntiClassificaSquadra,3,FALSE),-2)),SUMIFS(Dati!$B$2:$B$451,Dati!$A$2:$A$451,$H49,Dati!$H$2:$H$451,$AB49)+SUMIFS(Dati!$I$2:$I$451,Dati!$H$2:$H$451,$H49,Dati!$A$2:$A$451,$AB49),"-")</f>
        <v/>
      </c>
      <c r="AO49" s="22">
        <f>IF(AND($H49&lt;&gt;"",$AC49&lt;&gt;"",$H49&lt;&gt;$AC49,IFERROR(VLOOKUP($H49,areaCercaPuntiClassificaSquadra,3,FALSE),-1)=IFERROR(VLOOKUP($AC49,areaCercaPuntiClassificaSquadra,3,FALSE),-2)),SUMIFS(Dati!$B$2:$B$451,Dati!$A$2:$A$451,$H49,Dati!$H$2:$H$451,$AC49)+SUMIFS(Dati!$I$2:$I$451,Dati!$H$2:$H$451,$H49,Dati!$A$2:$A$451,$AC49),"-")</f>
        <v/>
      </c>
      <c r="AP49" s="22">
        <f>IF(AND($H49&lt;&gt;"",$AD49&lt;&gt;"",$H49&lt;&gt;$AD49,IFERROR(VLOOKUP($H49,areaCercaPuntiClassificaSquadra,3,FALSE),-1)=IFERROR(VLOOKUP($AD49,areaCercaPuntiClassificaSquadra,3,FALSE),-2)),SUMIFS(Dati!$B$2:$B$451,Dati!$A$2:$A$451,$H49,Dati!$H$2:$H$451,$AD49)+SUMIFS(Dati!$I$2:$I$451,Dati!$H$2:$H$451,$H49,Dati!$A$2:$A$451,$AD49),"-")</f>
        <v/>
      </c>
      <c r="AQ49" s="22">
        <f>IF(AND($H49&lt;&gt;"",$AE49&lt;&gt;"",$H49&lt;&gt;$AE49,IFERROR(VLOOKUP($H49,areaCercaPuntiClassificaSquadra,3,FALSE),-1)=IFERROR(VLOOKUP($AE49,areaCercaPuntiClassificaSquadra,3,FALSE),-2)),SUMIFS(Dati!$B$2:$B$451,Dati!$A$2:$A$451,$H49,Dati!$H$2:$H$451,$AE49)+SUMIFS(Dati!$I$2:$I$451,Dati!$H$2:$H$451,$H49,Dati!$A$2:$A$451,$AE49),"-")</f>
        <v/>
      </c>
      <c r="AR49" s="22">
        <f>IF(AND($H49&lt;&gt;"",$AF49&lt;&gt;"",$H49&lt;&gt;$AF49,IFERROR(VLOOKUP($H49,areaCercaPuntiClassificaSquadra,3,FALSE),-1)=IFERROR(VLOOKUP($AF49,areaCercaPuntiClassificaSquadra,3,FALSE),-2)),SUMIFS(Dati!$B$2:$B$451,Dati!$A$2:$A$451,$H49,Dati!$H$2:$H$451,$AF49)+SUMIFS(Dati!$I$2:$I$451,Dati!$H$2:$H$451,$H49,Dati!$A$2:$A$451,$AF49),"-")</f>
        <v/>
      </c>
      <c r="AS49" s="22">
        <f>IF(AND($H49&lt;&gt;"",$AG49&lt;&gt;"",$H49&lt;&gt;$AG49,IFERROR(VLOOKUP($H49,areaCercaPuntiClassificaSquadra,3,FALSE),-1)=IFERROR(VLOOKUP($AG49,areaCercaPuntiClassificaSquadra,3,FALSE),-2)),SUMIFS(Dati!$B$2:$B$451,Dati!$A$2:$A$451,$H49,Dati!$H$2:$H$451,$AG49)+SUMIFS(Dati!$I$2:$I$451,Dati!$H$2:$H$451,$H49,Dati!$A$2:$A$451,$AG49),"-")</f>
        <v/>
      </c>
      <c r="AT49" s="22">
        <f>IF(AND($H49&lt;&gt;"",$AH49&lt;&gt;"",$H49&lt;&gt;$AH49,IFERROR(VLOOKUP($H49,areaCercaPuntiClassificaSquadra,3,FALSE),-1)=IFERROR(VLOOKUP($AH49,areaCercaPuntiClassificaSquadra,3,FALSE),-2)),SUMIFS(Dati!$B$2:$B$451,Dati!$A$2:$A$451,$H49,Dati!$H$2:$H$451,$AH49)+SUMIFS(Dati!$I$2:$I$451,Dati!$H$2:$H$451,$H49,Dati!$A$2:$A$451,$AH49),"-")</f>
        <v/>
      </c>
      <c r="AV49" s="21">
        <f>$C49</f>
        <v/>
      </c>
      <c r="AW49" s="22">
        <f>IF(AND($H49&lt;&gt;"",$Y49&lt;&gt;"",$H49&lt;&gt;$Y49,IFERROR(VLOOKUP($H49,areaCercaPuntiClassificaSquadra,3,FALSE),-1)=IFERROR(VLOOKUP($Y49,areaCercaPuntiClassificaSquadra,3,FALSE),-2)),SUMIFS(Dati!$D$2:$D$451,Dati!$A$2:$A$451,$H49,Dati!$H$2:$H$451,$Y49)+SUMIFS(Dati!$K$2:$K$451,Dati!$H$2:$H$451,$H49,Dati!$A$2:$A$451,$Y49)+SUMIFS(Dati!$C$2:$C$451,Dati!$A$2:$A$451,$H49,Dati!$H$2:$H$451,$Y49)+SUMIFS(Dati!$J$2:$J$451,Dati!$H$2:$H$451,$H49,Dati!$A$2:$A$451,$Y49),"-")</f>
        <v/>
      </c>
      <c r="AX49" s="22">
        <f>IF(AND($H49&lt;&gt;"",$Z49&lt;&gt;"",$H49&lt;&gt;$Z49,IFERROR(VLOOKUP($H49,areaCercaPuntiClassificaSquadra,3,FALSE),-1)=IFERROR(VLOOKUP($Z49,areaCercaPuntiClassificaSquadra,3,FALSE),-2)),SUMIFS(Dati!$D$2:$D$451,Dati!$A$2:$A$451,$H49,Dati!$H$2:$H$451,$Z49)+SUMIFS(Dati!$K$2:$K$451,Dati!$H$2:$H$451,$H49,Dati!$A$2:$A$451,$Z49)+SUMIFS(Dati!$C$2:$C$451,Dati!$A$2:$A$451,$H49,Dati!$H$2:$H$451,$Z49)+SUMIFS(Dati!$J$2:$J$451,Dati!$H$2:$H$451,$H49,Dati!$A$2:$A$451,$Z49),"-")</f>
        <v/>
      </c>
      <c r="AY49" s="22">
        <f>IF(AND($H49&lt;&gt;"",$AA49&lt;&gt;"",$H49&lt;&gt;$AA49,IFERROR(VLOOKUP($H49,areaCercaPuntiClassificaSquadra,3,FALSE),-1)=IFERROR(VLOOKUP($AA49,areaCercaPuntiClassificaSquadra,3,FALSE),-2)),SUMIFS(Dati!$D$2:$D$451,Dati!$A$2:$A$451,$H49,Dati!$H$2:$H$451,$AA49)+SUMIFS(Dati!$K$2:$K$451,Dati!$H$2:$H$451,$H49,Dati!$A$2:$A$451,$AA49)+SUMIFS(Dati!$C$2:$C$451,Dati!$A$2:$A$451,$H49,Dati!$H$2:$H$451,$AA49)+SUMIFS(Dati!$J$2:$J$451,Dati!$H$2:$H$451,$H49,Dati!$A$2:$A$451,$AA49),"-")</f>
        <v/>
      </c>
      <c r="AZ49" s="22">
        <f>IF(AND($H49&lt;&gt;"",$AB49&lt;&gt;"",$H49&lt;&gt;$AB49,IFERROR(VLOOKUP($H49,areaCercaPuntiClassificaSquadra,3,FALSE),-1)=IFERROR(VLOOKUP($AB49,areaCercaPuntiClassificaSquadra,3,FALSE),-2)),SUMIFS(Dati!$D$2:$D$451,Dati!$A$2:$A$451,$H49,Dati!$H$2:$H$451,$AB49)+SUMIFS(Dati!$K$2:$K$451,Dati!$H$2:$H$451,$H49,Dati!$A$2:$A$451,$AB49)+SUMIFS(Dati!$C$2:$C$451,Dati!$A$2:$A$451,$H49,Dati!$H$2:$H$451,$AB49)+SUMIFS(Dati!$J$2:$J$451,Dati!$H$2:$H$451,$H49,Dati!$A$2:$A$451,$AB49),"-")</f>
        <v/>
      </c>
      <c r="BA49" s="22">
        <f>IF(AND($H49&lt;&gt;"",$AC49&lt;&gt;"",$H49&lt;&gt;$AC49,IFERROR(VLOOKUP($H49,areaCercaPuntiClassificaSquadra,3,FALSE),-1)=IFERROR(VLOOKUP($AC49,areaCercaPuntiClassificaSquadra,3,FALSE),-2)),SUMIFS(Dati!$D$2:$D$451,Dati!$A$2:$A$451,$H49,Dati!$H$2:$H$451,$AC49)+SUMIFS(Dati!$K$2:$K$451,Dati!$H$2:$H$451,$H49,Dati!$A$2:$A$451,$AC49)+SUMIFS(Dati!$C$2:$C$451,Dati!$A$2:$A$451,$H49,Dati!$H$2:$H$451,$AC49)+SUMIFS(Dati!$J$2:$J$451,Dati!$H$2:$H$451,$H49,Dati!$A$2:$A$451,$AC49),"-")</f>
        <v/>
      </c>
      <c r="BB49" s="22">
        <f>IF(AND($H49&lt;&gt;"",$AD49&lt;&gt;"",$H49&lt;&gt;$AD49,IFERROR(VLOOKUP($H49,areaCercaPuntiClassificaSquadra,3,FALSE),-1)=IFERROR(VLOOKUP($AD49,areaCercaPuntiClassificaSquadra,3,FALSE),-2)),SUMIFS(Dati!$D$2:$D$451,Dati!$A$2:$A$451,$H49,Dati!$H$2:$H$451,$AD49)+SUMIFS(Dati!$K$2:$K$451,Dati!$H$2:$H$451,$H49,Dati!$A$2:$A$451,$AD49)+SUMIFS(Dati!$C$2:$C$451,Dati!$A$2:$A$451,$H49,Dati!$H$2:$H$451,$AD49)+SUMIFS(Dati!$J$2:$J$451,Dati!$H$2:$H$451,$H49,Dati!$A$2:$A$451,$AD49),"-")</f>
        <v/>
      </c>
      <c r="BC49" s="22">
        <f>IF(AND($H49&lt;&gt;"",$AE49&lt;&gt;"",$H49&lt;&gt;$AE49,IFERROR(VLOOKUP($H49,areaCercaPuntiClassificaSquadra,3,FALSE),-1)=IFERROR(VLOOKUP($AE49,areaCercaPuntiClassificaSquadra,3,FALSE),-2)),SUMIFS(Dati!$D$2:$D$451,Dati!$A$2:$A$451,$H49,Dati!$H$2:$H$451,$AE49)+SUMIFS(Dati!$K$2:$K$451,Dati!$H$2:$H$451,$H49,Dati!$A$2:$A$451,$AE49)+SUMIFS(Dati!$C$2:$C$451,Dati!$A$2:$A$451,$H49,Dati!$H$2:$H$451,$AE49)+SUMIFS(Dati!$J$2:$J$451,Dati!$H$2:$H$451,$H49,Dati!$A$2:$A$451,$AE49),"-")</f>
        <v/>
      </c>
      <c r="BD49" s="22">
        <f>IF(AND($H49&lt;&gt;"",$AF49&lt;&gt;"",$H49&lt;&gt;$AF49,IFERROR(VLOOKUP($H49,areaCercaPuntiClassificaSquadra,3,FALSE),-1)=IFERROR(VLOOKUP($AF49,areaCercaPuntiClassificaSquadra,3,FALSE),-2)),SUMIFS(Dati!$D$2:$D$451,Dati!$A$2:$A$451,$H49,Dati!$H$2:$H$451,$AF49)+SUMIFS(Dati!$K$2:$K$451,Dati!$H$2:$H$451,$H49,Dati!$A$2:$A$451,$AF49)+SUMIFS(Dati!$C$2:$C$451,Dati!$A$2:$A$451,$H49,Dati!$H$2:$H$451,$AF49)+SUMIFS(Dati!$J$2:$J$451,Dati!$H$2:$H$451,$H49,Dati!$A$2:$A$451,$AF49),"-")</f>
        <v/>
      </c>
      <c r="BE49" s="22">
        <f>IF(AND($H49&lt;&gt;"",$AG49&lt;&gt;"",$H49&lt;&gt;$AG49,IFERROR(VLOOKUP($H49,areaCercaPuntiClassificaSquadra,3,FALSE),-1)=IFERROR(VLOOKUP($AG49,areaCercaPuntiClassificaSquadra,3,FALSE),-2)),SUMIFS(Dati!$D$2:$D$451,Dati!$A$2:$A$451,$H49,Dati!$H$2:$H$451,$AG49)+SUMIFS(Dati!$K$2:$K$451,Dati!$H$2:$H$451,$H49,Dati!$A$2:$A$451,$AG49)+SUMIFS(Dati!$C$2:$C$451,Dati!$A$2:$A$451,$H49,Dati!$H$2:$H$451,$AG49)+SUMIFS(Dati!$J$2:$J$451,Dati!$H$2:$H$451,$H49,Dati!$A$2:$A$451,$AG49),"-")</f>
        <v/>
      </c>
      <c r="BF49" s="22">
        <f>IF(AND($H49&lt;&gt;"",$AH49&lt;&gt;"",$H49&lt;&gt;$AH49,IFERROR(VLOOKUP($H49,areaCercaPuntiClassificaSquadra,3,FALSE),-1)=IFERROR(VLOOKUP($AH49,areaCercaPuntiClassificaSquadra,3,FALSE),-2)),SUMIFS(Dati!$D$2:$D$451,Dati!$A$2:$A$451,$H49,Dati!$H$2:$H$451,$AH49)+SUMIFS(Dati!$K$2:$K$451,Dati!$H$2:$H$451,$H49,Dati!$A$2:$A$451,$AH49)+SUMIFS(Dati!$C$2:$C$451,Dati!$A$2:$A$451,$H49,Dati!$H$2:$H$451,$AH49)+SUMIFS(Dati!$J$2:$J$451,Dati!$H$2:$H$451,$H49,Dati!$A$2:$A$451,$AH49),"-")</f>
        <v/>
      </c>
      <c r="BH49" s="21">
        <f>$C49</f>
        <v/>
      </c>
      <c r="BI49" s="22">
        <f>IF(AND($H49&lt;&gt;"",$Y49&lt;&gt;"",$H49&lt;&gt;$Y49,IFERROR(VLOOKUP($H49,areaCercaPuntiClassificaSquadra,3,FALSE),-1)=IFERROR(VLOOKUP($Y49,areaCercaPuntiClassificaSquadra,3,FALSE),-2)),SUMIFS(Dati!$E$2:$E$451,Dati!$A$2:$A$451,$H49,Dati!$H$2:$H$451,$Y49)+SUMIFS(Dati!$L$2:$L$451,Dati!$H$2:$H$451,$H49,Dati!$A$2:$A$451,$Y49),"-")</f>
        <v/>
      </c>
      <c r="BJ49" s="22">
        <f>IF(AND($H49&lt;&gt;"",$Z49&lt;&gt;"",$H49&lt;&gt;$Z49,IFERROR(VLOOKUP($H49,areaCercaPuntiClassificaSquadra,3,FALSE),-1)=IFERROR(VLOOKUP($Z49,areaCercaPuntiClassificaSquadra,3,FALSE),-2)),SUMIFS(Dati!$E$2:$E$451,Dati!$A$2:$A$451,$H49,Dati!$H$2:$H$451,$Z49)+SUMIFS(Dati!$L$2:$L$451,Dati!$H$2:$H$451,$H49,Dati!$A$2:$A$451,$Z49),"-")</f>
        <v/>
      </c>
      <c r="BK49" s="22">
        <f>IF(AND($H49&lt;&gt;"",$AA49&lt;&gt;"",$H49&lt;&gt;$AA49,IFERROR(VLOOKUP($H49,areaCercaPuntiClassificaSquadra,3,FALSE),-1)=IFERROR(VLOOKUP($AA49,areaCercaPuntiClassificaSquadra,3,FALSE),-2)),SUMIFS(Dati!$E$2:$E$451,Dati!$A$2:$A$451,$H49,Dati!$H$2:$H$451,$AA49)+SUMIFS(Dati!$L$2:$L$451,Dati!$H$2:$H$451,$H49,Dati!$A$2:$A$451,$AA49),"-")</f>
        <v/>
      </c>
      <c r="BL49" s="22">
        <f>IF(AND($H49&lt;&gt;"",$AB49&lt;&gt;"",$H49&lt;&gt;$AB49,IFERROR(VLOOKUP($H49,areaCercaPuntiClassificaSquadra,3,FALSE),-1)=IFERROR(VLOOKUP($AB49,areaCercaPuntiClassificaSquadra,3,FALSE),-2)),SUMIFS(Dati!$E$2:$E$451,Dati!$A$2:$A$451,$H49,Dati!$H$2:$H$451,$AB49)+SUMIFS(Dati!$L$2:$L$451,Dati!$H$2:$H$451,$H49,Dati!$A$2:$A$451,$AB49),"-")</f>
        <v/>
      </c>
      <c r="BM49" s="22">
        <f>IF(AND($H49&lt;&gt;"",$AC49&lt;&gt;"",$H49&lt;&gt;$AC49,IFERROR(VLOOKUP($H49,areaCercaPuntiClassificaSquadra,3,FALSE),-1)=IFERROR(VLOOKUP($AC49,areaCercaPuntiClassificaSquadra,3,FALSE),-2)),SUMIFS(Dati!$E$2:$E$451,Dati!$A$2:$A$451,$H49,Dati!$H$2:$H$451,$AC49)+SUMIFS(Dati!$L$2:$L$451,Dati!$H$2:$H$451,$H49,Dati!$A$2:$A$451,$AC49),"-")</f>
        <v/>
      </c>
      <c r="BN49" s="22">
        <f>IF(AND($H49&lt;&gt;"",$AD49&lt;&gt;"",$H49&lt;&gt;$AD49,IFERROR(VLOOKUP($H49,areaCercaPuntiClassificaSquadra,3,FALSE),-1)=IFERROR(VLOOKUP($AD49,areaCercaPuntiClassificaSquadra,3,FALSE),-2)),SUMIFS(Dati!$E$2:$E$451,Dati!$A$2:$A$451,$H49,Dati!$H$2:$H$451,$AD49)+SUMIFS(Dati!$L$2:$L$451,Dati!$H$2:$H$451,$H49,Dati!$A$2:$A$451,$AD49),"-")</f>
        <v/>
      </c>
      <c r="BO49" s="22">
        <f>IF(AND($H49&lt;&gt;"",$AE49&lt;&gt;"",$H49&lt;&gt;$AE49,IFERROR(VLOOKUP($H49,areaCercaPuntiClassificaSquadra,3,FALSE),-1)=IFERROR(VLOOKUP($AE49,areaCercaPuntiClassificaSquadra,3,FALSE),-2)),SUMIFS(Dati!$E$2:$E$451,Dati!$A$2:$A$451,$H49,Dati!$H$2:$H$451,$AE49)+SUMIFS(Dati!$L$2:$L$451,Dati!$H$2:$H$451,$H49,Dati!$A$2:$A$451,$AE49),"-")</f>
        <v/>
      </c>
      <c r="BP49" s="22">
        <f>IF(AND($H49&lt;&gt;"",$AF49&lt;&gt;"",$H49&lt;&gt;$AF49,IFERROR(VLOOKUP($H49,areaCercaPuntiClassificaSquadra,3,FALSE),-1)=IFERROR(VLOOKUP($AF49,areaCercaPuntiClassificaSquadra,3,FALSE),-2)),SUMIFS(Dati!$E$2:$E$451,Dati!$A$2:$A$451,$H49,Dati!$H$2:$H$451,$AF49)+SUMIFS(Dati!$L$2:$L$451,Dati!$H$2:$H$451,$H49,Dati!$A$2:$A$451,$AF49),"-")</f>
        <v/>
      </c>
      <c r="BQ49" s="22">
        <f>IF(AND($H49&lt;&gt;"",$AG49&lt;&gt;"",$H49&lt;&gt;$AG49,IFERROR(VLOOKUP($H49,areaCercaPuntiClassificaSquadra,3,FALSE),-1)=IFERROR(VLOOKUP($AG49,areaCercaPuntiClassificaSquadra,3,FALSE),-2)),SUMIFS(Dati!$E$2:$E$451,Dati!$A$2:$A$451,$H49,Dati!$H$2:$H$451,$AG49)+SUMIFS(Dati!$L$2:$L$451,Dati!$H$2:$H$451,$H49,Dati!$A$2:$A$451,$AG49),"-")</f>
        <v/>
      </c>
      <c r="BR49" s="22">
        <f>IF(AND($H49&lt;&gt;"",$AH49&lt;&gt;"",$H49&lt;&gt;$AH49,IFERROR(VLOOKUP($H49,areaCercaPuntiClassificaSquadra,3,FALSE),-1)=IFERROR(VLOOKUP($AH49,areaCercaPuntiClassificaSquadra,3,FALSE),-2)),SUMIFS(Dati!$E$2:$E$451,Dati!$A$2:$A$451,$H49,Dati!$H$2:$H$451,$AH49)+SUMIFS(Dati!$L$2:$L$451,Dati!$H$2:$H$451,$H49,Dati!$A$2:$A$451,$AH49),"-")</f>
        <v/>
      </c>
      <c r="BT49" s="21">
        <f>$C49</f>
        <v/>
      </c>
      <c r="BU49" s="22">
        <f>IF(AND($H49&lt;&gt;"",$Y49&lt;&gt;"",$H49&lt;&gt;$Y49,IFERROR(VLOOKUP($H49,areaCercaPuntiClassificaSquadra,3,FALSE),-1)=IFERROR(VLOOKUP($Y49,areaCercaPuntiClassificaSquadra,3,FALSE),-2)),SUMIFS(Dati!$F$2:$F$451,Dati!$A$2:$A$451,$H49,Dati!$H$2:$H$451,$Y49)+SUMIFS(Dati!$M$2:$M$451,Dati!$H$2:$H$451,$H49,Dati!$A$2:$A$451,$Y49),"-")</f>
        <v/>
      </c>
      <c r="BV49" s="22">
        <f>IF(AND($H49&lt;&gt;"",$Z49&lt;&gt;"",$H49&lt;&gt;$Z49,IFERROR(VLOOKUP($H49,areaCercaPuntiClassificaSquadra,3,FALSE),-1)=IFERROR(VLOOKUP($Z49,areaCercaPuntiClassificaSquadra,3,FALSE),-2)),SUMIFS(Dati!$F$2:$F$451,Dati!$A$2:$A$451,$H49,Dati!$H$2:$H$451,$Z49)+SUMIFS(Dati!$M$2:$M$451,Dati!$H$2:$H$451,$H49,Dati!$A$2:$A$451,$Z49),"-")</f>
        <v/>
      </c>
      <c r="BW49" s="22">
        <f>IF(AND($H49&lt;&gt;"",$AA49&lt;&gt;"",$H49&lt;&gt;$AA49,IFERROR(VLOOKUP($H49,areaCercaPuntiClassificaSquadra,3,FALSE),-1)=IFERROR(VLOOKUP($AA49,areaCercaPuntiClassificaSquadra,3,FALSE),-2)),SUMIFS(Dati!$F$2:$F$451,Dati!$A$2:$A$451,$H49,Dati!$H$2:$H$451,$AA49)+SUMIFS(Dati!$M$2:$M$451,Dati!$H$2:$H$451,$H49,Dati!$A$2:$A$451,$AA49),"-")</f>
        <v/>
      </c>
      <c r="BX49" s="22">
        <f>IF(AND($H49&lt;&gt;"",$AB49&lt;&gt;"",$H49&lt;&gt;$AB49,IFERROR(VLOOKUP($H49,areaCercaPuntiClassificaSquadra,3,FALSE),-1)=IFERROR(VLOOKUP($AB49,areaCercaPuntiClassificaSquadra,3,FALSE),-2)),SUMIFS(Dati!$F$2:$F$451,Dati!$A$2:$A$451,$H49,Dati!$H$2:$H$451,$AB49)+SUMIFS(Dati!$M$2:$M$451,Dati!$H$2:$H$451,$H49,Dati!$A$2:$A$451,$AB49),"-")</f>
        <v/>
      </c>
      <c r="BY49" s="22">
        <f>IF(AND($H49&lt;&gt;"",$AC49&lt;&gt;"",$H49&lt;&gt;$AC49,IFERROR(VLOOKUP($H49,areaCercaPuntiClassificaSquadra,3,FALSE),-1)=IFERROR(VLOOKUP($AC49,areaCercaPuntiClassificaSquadra,3,FALSE),-2)),SUMIFS(Dati!$F$2:$F$451,Dati!$A$2:$A$451,$H49,Dati!$H$2:$H$451,$AC49)+SUMIFS(Dati!$M$2:$M$451,Dati!$H$2:$H$451,$H49,Dati!$A$2:$A$451,$AC49),"-")</f>
        <v/>
      </c>
      <c r="BZ49" s="22">
        <f>IF(AND($H49&lt;&gt;"",$AD49&lt;&gt;"",$H49&lt;&gt;$AD49,IFERROR(VLOOKUP($H49,areaCercaPuntiClassificaSquadra,3,FALSE),-1)=IFERROR(VLOOKUP($AD49,areaCercaPuntiClassificaSquadra,3,FALSE),-2)),SUMIFS(Dati!$F$2:$F$451,Dati!$A$2:$A$451,$H49,Dati!$H$2:$H$451,$AD49)+SUMIFS(Dati!$M$2:$M$451,Dati!$H$2:$H$451,$H49,Dati!$A$2:$A$451,$AD49),"-")</f>
        <v/>
      </c>
      <c r="CA49" s="22">
        <f>IF(AND($H49&lt;&gt;"",$AE49&lt;&gt;"",$H49&lt;&gt;$AE49,IFERROR(VLOOKUP($H49,areaCercaPuntiClassificaSquadra,3,FALSE),-1)=IFERROR(VLOOKUP($AE49,areaCercaPuntiClassificaSquadra,3,FALSE),-2)),SUMIFS(Dati!$F$2:$F$451,Dati!$A$2:$A$451,$H49,Dati!$H$2:$H$451,$AE49)+SUMIFS(Dati!$M$2:$M$451,Dati!$H$2:$H$451,$H49,Dati!$A$2:$A$451,$AE49),"-")</f>
        <v/>
      </c>
      <c r="CB49" s="22">
        <f>IF(AND($H49&lt;&gt;"",$AF49&lt;&gt;"",$H49&lt;&gt;$AF49,IFERROR(VLOOKUP($H49,areaCercaPuntiClassificaSquadra,3,FALSE),-1)=IFERROR(VLOOKUP($AF49,areaCercaPuntiClassificaSquadra,3,FALSE),-2)),SUMIFS(Dati!$F$2:$F$451,Dati!$A$2:$A$451,$H49,Dati!$H$2:$H$451,$AF49)+SUMIFS(Dati!$M$2:$M$451,Dati!$H$2:$H$451,$H49,Dati!$A$2:$A$451,$AF49),"-")</f>
        <v/>
      </c>
      <c r="CC49" s="22">
        <f>IF(AND($H49&lt;&gt;"",$AG49&lt;&gt;"",$H49&lt;&gt;$AG49,IFERROR(VLOOKUP($H49,areaCercaPuntiClassificaSquadra,3,FALSE),-1)=IFERROR(VLOOKUP($AG49,areaCercaPuntiClassificaSquadra,3,FALSE),-2)),SUMIFS(Dati!$F$2:$F$451,Dati!$A$2:$A$451,$H49,Dati!$H$2:$H$451,$AG49)+SUMIFS(Dati!$M$2:$M$451,Dati!$H$2:$H$451,$H49,Dati!$A$2:$A$451,$AG49),"-")</f>
        <v/>
      </c>
      <c r="CD49" s="22">
        <f>IF(AND($H49&lt;&gt;"",$AH49&lt;&gt;"",$H49&lt;&gt;$AH49,IFERROR(VLOOKUP($H49,areaCercaPuntiClassificaSquadra,3,FALSE),-1)=IFERROR(VLOOKUP($AH49,areaCercaPuntiClassificaSquadra,3,FALSE),-2)),SUMIFS(Dati!$F$2:$F$451,Dati!$A$2:$A$451,$H49,Dati!$H$2:$H$451,$AH49)+SUMIFS(Dati!$M$2:$M$451,Dati!$H$2:$H$451,$H49,Dati!$A$2:$A$451,$AH49),"-")</f>
        <v/>
      </c>
      <c r="CF49" s="22">
        <f>IF($C49="","",SUM(AK49:AT49))</f>
        <v/>
      </c>
    </row>
    <row r="50">
      <c r="B50" s="12" t="inlineStr">
        <is>
          <t>D07</t>
        </is>
      </c>
      <c r="C50" s="13" t="n"/>
      <c r="D50" s="14" t="n"/>
      <c r="E50" s="27" t="inlineStr">
        <is>
          <t>D</t>
        </is>
      </c>
      <c r="G50" s="28">
        <f>IF($C50="","",$E50&amp;(COUNTIFS(I$14:I$113,"&gt;"&amp;I50,E$14:E$113,"="&amp;E50,C$14:C$113,"&lt;&gt;")+COUNTIFS(I$14:I$113,"="&amp;I50,H$14:H$113,"&lt;="&amp;H50,E$14:E$113,"="&amp;E50,C$14:C$113,"&lt;&gt;")))</f>
        <v/>
      </c>
      <c r="H50" s="17">
        <f>IF($C50="","",IFERROR(LEFT($C50,FIND("-",$C50)-1),$C50))</f>
        <v/>
      </c>
      <c r="I50" s="12">
        <f>TEXT(1000000000+J50,"|0000000000|")&amp;TEXT(SUM(AK50:AT50),"0000000000|")&amp;IF(SUM(BU50:CD50)=0,"0000000000|",TEXT(ROUND(SUM(BI50:BR50)/SUM(BU50:CD50),4)*100000,"0000000000|"))&amp;IF(P50=0,"0000000000|",TEXT(ROUND(O50/P50,4)*100000,"0000000000|"))</f>
        <v/>
      </c>
      <c r="J50" s="28">
        <f>L50*constPuntiVittoria+M50*constPuntiSconfitta+N50*constPuntiForfait+IF(D50="",0,D50)</f>
        <v/>
      </c>
      <c r="K50" s="12">
        <f>SUM(L50:N50)</f>
        <v/>
      </c>
      <c r="L50" s="12">
        <f>IF($H50="",0,SUMIF(Dati!$A$2:$A$451,$H50,Dati!$B$2:$B$451)+SUMIF(Dati!$H$2:$H$451,$H50,Dati!$I$2:$I$451))</f>
        <v/>
      </c>
      <c r="M50" s="12">
        <f>IF($H50="",0,SUMIF(Dati!$A$2:$A$451,$H50,Dati!$D$2:$D$451)+SUMIF(Dati!$H$2:$H$451,$H50,Dati!$K$2:$K$451))</f>
        <v/>
      </c>
      <c r="N50" s="12">
        <f>IF($H50="",0,SUMIF(Dati!$A$2:$A$451,$H50,Dati!$C$2:$C$451)+SUMIF(Dati!$H$2:$H$451,$H50,Dati!$J$2:$J$451))</f>
        <v/>
      </c>
      <c r="O50" s="12">
        <f>IF($H50="",0,SUMIF(Dati!$A$2:$A$451,$H50,Dati!$E$2:$E$451)+SUMIF(Dati!$H$2:$H$451,$H50,Dati!$L$2:$L$451))</f>
        <v/>
      </c>
      <c r="P50" s="12">
        <f>IF($H50="",0,SUMIF(Dati!$A$2:$A$451,$H50,Dati!$F$2:$F$451)+SUMIF(Dati!$H$2:$H$451,$H50,Dati!$M$2:$M$451))</f>
        <v/>
      </c>
      <c r="Q50" s="12">
        <f>IF($H50="",0,SUMIF(Dati!$A$2:$A$451,$H50,Dati!$G$2:$G$451)+SUMIF(Dati!$H$2:$H$451,$H50,Dati!$N$2:$N$451))</f>
        <v/>
      </c>
      <c r="R50" s="12">
        <f>IF(K50=0,0,ROUND(O50/K50,2))</f>
        <v/>
      </c>
      <c r="S50" s="12">
        <f>IF(K50=0,0,ROUND(P50/K50,2))</f>
        <v/>
      </c>
      <c r="T50" s="12">
        <f>IF(K50=0,0,ROUND(Q50/K50,2))</f>
        <v/>
      </c>
      <c r="U50" s="12">
        <f>IF(COUNTIFS($E$14:$E$113,$E50,$J$14:$J$113,$J50,$C$14:$C$113,"&lt;&gt;")&lt;=1,"-",SUM(AK50:AT50)&amp;"-"&amp;SUM(AW50:BF50))</f>
        <v/>
      </c>
      <c r="V50" s="18">
        <f>IF(COUNTIFS($E$14:$E$113,$E50,$J$14:$J$113,$J50,$C$14:$C$113,"&lt;&gt;",$CF$14:$CF$113,$CF50)&lt;=1,"-",IF(SUM(BU50:CD50)=0,0,ROUND(SUM(BI50:BR50)/SUM(BU50:CD50),3)))</f>
        <v/>
      </c>
      <c r="W50" s="18">
        <f>IF(COUNTIFS($E$14:$E$113,$E50,$J$14:$J$113,$J50,$C$14:$C$113,"&lt;&gt;",$CF$14:$CF$113,$CF50,$V$14:$V$113,$V50)&lt;=1,"-",IF(P50=0,0,ROUND(O50/P50,3)))</f>
        <v/>
      </c>
      <c r="X50" s="19">
        <f>IF($C50="","",$E50&amp;"#"&amp;COUNTIFS($E$14:$E50,$E50,$C$14:$C50,"&lt;&gt;"))</f>
        <v/>
      </c>
      <c r="Y50" s="20">
        <f>IFERROR(INDEX($H$14:$H$113,MATCH($E50&amp;"#1",$X$14:$X$113,0)),"")</f>
        <v/>
      </c>
      <c r="Z50" s="20">
        <f>IFERROR(INDEX($H$14:$H$113,MATCH($E50&amp;"#2",$X$14:$X$113,0)),"")</f>
        <v/>
      </c>
      <c r="AA50" s="20">
        <f>IFERROR(INDEX($H$14:$H$113,MATCH($E50&amp;"#3",$X$14:$X$113,0)),"")</f>
        <v/>
      </c>
      <c r="AB50" s="20">
        <f>IFERROR(INDEX($H$14:$H$113,MATCH($E50&amp;"#4",$X$14:$X$113,0)),"")</f>
        <v/>
      </c>
      <c r="AC50" s="20">
        <f>IFERROR(INDEX($H$14:$H$113,MATCH($E50&amp;"#5",$X$14:$X$113,0)),"")</f>
        <v/>
      </c>
      <c r="AD50" s="20">
        <f>IFERROR(INDEX($H$14:$H$113,MATCH($E50&amp;"#6",$X$14:$X$113,0)),"")</f>
        <v/>
      </c>
      <c r="AE50" s="20">
        <f>IFERROR(INDEX($H$14:$H$113,MATCH($E50&amp;"#7",$X$14:$X$113,0)),"")</f>
        <v/>
      </c>
      <c r="AF50" s="20">
        <f>IFERROR(INDEX($H$14:$H$113,MATCH($E50&amp;"#8",$X$14:$X$113,0)),"")</f>
        <v/>
      </c>
      <c r="AG50" s="20">
        <f>IFERROR(INDEX($H$14:$H$113,MATCH($E50&amp;"#9",$X$14:$X$113,0)),"")</f>
        <v/>
      </c>
      <c r="AH50" s="20">
        <f>IFERROR(INDEX($H$14:$H$113,MATCH($E50&amp;"#10",$X$14:$X$113,0)),"")</f>
        <v/>
      </c>
      <c r="AJ50" s="21">
        <f>$C50</f>
        <v/>
      </c>
      <c r="AK50" s="22">
        <f>IF(AND($H50&lt;&gt;"",$Y50&lt;&gt;"",$H50&lt;&gt;$Y50,IFERROR(VLOOKUP($H50,areaCercaPuntiClassificaSquadra,3,FALSE),-1)=IFERROR(VLOOKUP($Y50,areaCercaPuntiClassificaSquadra,3,FALSE),-2)),SUMIFS(Dati!$B$2:$B$451,Dati!$A$2:$A$451,$H50,Dati!$H$2:$H$451,$Y50)+SUMIFS(Dati!$I$2:$I$451,Dati!$H$2:$H$451,$H50,Dati!$A$2:$A$451,$Y50),"-")</f>
        <v/>
      </c>
      <c r="AL50" s="22">
        <f>IF(AND($H50&lt;&gt;"",$Z50&lt;&gt;"",$H50&lt;&gt;$Z50,IFERROR(VLOOKUP($H50,areaCercaPuntiClassificaSquadra,3,FALSE),-1)=IFERROR(VLOOKUP($Z50,areaCercaPuntiClassificaSquadra,3,FALSE),-2)),SUMIFS(Dati!$B$2:$B$451,Dati!$A$2:$A$451,$H50,Dati!$H$2:$H$451,$Z50)+SUMIFS(Dati!$I$2:$I$451,Dati!$H$2:$H$451,$H50,Dati!$A$2:$A$451,$Z50),"-")</f>
        <v/>
      </c>
      <c r="AM50" s="22">
        <f>IF(AND($H50&lt;&gt;"",$AA50&lt;&gt;"",$H50&lt;&gt;$AA50,IFERROR(VLOOKUP($H50,areaCercaPuntiClassificaSquadra,3,FALSE),-1)=IFERROR(VLOOKUP($AA50,areaCercaPuntiClassificaSquadra,3,FALSE),-2)),SUMIFS(Dati!$B$2:$B$451,Dati!$A$2:$A$451,$H50,Dati!$H$2:$H$451,$AA50)+SUMIFS(Dati!$I$2:$I$451,Dati!$H$2:$H$451,$H50,Dati!$A$2:$A$451,$AA50),"-")</f>
        <v/>
      </c>
      <c r="AN50" s="22">
        <f>IF(AND($H50&lt;&gt;"",$AB50&lt;&gt;"",$H50&lt;&gt;$AB50,IFERROR(VLOOKUP($H50,areaCercaPuntiClassificaSquadra,3,FALSE),-1)=IFERROR(VLOOKUP($AB50,areaCercaPuntiClassificaSquadra,3,FALSE),-2)),SUMIFS(Dati!$B$2:$B$451,Dati!$A$2:$A$451,$H50,Dati!$H$2:$H$451,$AB50)+SUMIFS(Dati!$I$2:$I$451,Dati!$H$2:$H$451,$H50,Dati!$A$2:$A$451,$AB50),"-")</f>
        <v/>
      </c>
      <c r="AO50" s="22">
        <f>IF(AND($H50&lt;&gt;"",$AC50&lt;&gt;"",$H50&lt;&gt;$AC50,IFERROR(VLOOKUP($H50,areaCercaPuntiClassificaSquadra,3,FALSE),-1)=IFERROR(VLOOKUP($AC50,areaCercaPuntiClassificaSquadra,3,FALSE),-2)),SUMIFS(Dati!$B$2:$B$451,Dati!$A$2:$A$451,$H50,Dati!$H$2:$H$451,$AC50)+SUMIFS(Dati!$I$2:$I$451,Dati!$H$2:$H$451,$H50,Dati!$A$2:$A$451,$AC50),"-")</f>
        <v/>
      </c>
      <c r="AP50" s="22">
        <f>IF(AND($H50&lt;&gt;"",$AD50&lt;&gt;"",$H50&lt;&gt;$AD50,IFERROR(VLOOKUP($H50,areaCercaPuntiClassificaSquadra,3,FALSE),-1)=IFERROR(VLOOKUP($AD50,areaCercaPuntiClassificaSquadra,3,FALSE),-2)),SUMIFS(Dati!$B$2:$B$451,Dati!$A$2:$A$451,$H50,Dati!$H$2:$H$451,$AD50)+SUMIFS(Dati!$I$2:$I$451,Dati!$H$2:$H$451,$H50,Dati!$A$2:$A$451,$AD50),"-")</f>
        <v/>
      </c>
      <c r="AQ50" s="22">
        <f>IF(AND($H50&lt;&gt;"",$AE50&lt;&gt;"",$H50&lt;&gt;$AE50,IFERROR(VLOOKUP($H50,areaCercaPuntiClassificaSquadra,3,FALSE),-1)=IFERROR(VLOOKUP($AE50,areaCercaPuntiClassificaSquadra,3,FALSE),-2)),SUMIFS(Dati!$B$2:$B$451,Dati!$A$2:$A$451,$H50,Dati!$H$2:$H$451,$AE50)+SUMIFS(Dati!$I$2:$I$451,Dati!$H$2:$H$451,$H50,Dati!$A$2:$A$451,$AE50),"-")</f>
        <v/>
      </c>
      <c r="AR50" s="22">
        <f>IF(AND($H50&lt;&gt;"",$AF50&lt;&gt;"",$H50&lt;&gt;$AF50,IFERROR(VLOOKUP($H50,areaCercaPuntiClassificaSquadra,3,FALSE),-1)=IFERROR(VLOOKUP($AF50,areaCercaPuntiClassificaSquadra,3,FALSE),-2)),SUMIFS(Dati!$B$2:$B$451,Dati!$A$2:$A$451,$H50,Dati!$H$2:$H$451,$AF50)+SUMIFS(Dati!$I$2:$I$451,Dati!$H$2:$H$451,$H50,Dati!$A$2:$A$451,$AF50),"-")</f>
        <v/>
      </c>
      <c r="AS50" s="22">
        <f>IF(AND($H50&lt;&gt;"",$AG50&lt;&gt;"",$H50&lt;&gt;$AG50,IFERROR(VLOOKUP($H50,areaCercaPuntiClassificaSquadra,3,FALSE),-1)=IFERROR(VLOOKUP($AG50,areaCercaPuntiClassificaSquadra,3,FALSE),-2)),SUMIFS(Dati!$B$2:$B$451,Dati!$A$2:$A$451,$H50,Dati!$H$2:$H$451,$AG50)+SUMIFS(Dati!$I$2:$I$451,Dati!$H$2:$H$451,$H50,Dati!$A$2:$A$451,$AG50),"-")</f>
        <v/>
      </c>
      <c r="AT50" s="22">
        <f>IF(AND($H50&lt;&gt;"",$AH50&lt;&gt;"",$H50&lt;&gt;$AH50,IFERROR(VLOOKUP($H50,areaCercaPuntiClassificaSquadra,3,FALSE),-1)=IFERROR(VLOOKUP($AH50,areaCercaPuntiClassificaSquadra,3,FALSE),-2)),SUMIFS(Dati!$B$2:$B$451,Dati!$A$2:$A$451,$H50,Dati!$H$2:$H$451,$AH50)+SUMIFS(Dati!$I$2:$I$451,Dati!$H$2:$H$451,$H50,Dati!$A$2:$A$451,$AH50),"-")</f>
        <v/>
      </c>
      <c r="AV50" s="21">
        <f>$C50</f>
        <v/>
      </c>
      <c r="AW50" s="22">
        <f>IF(AND($H50&lt;&gt;"",$Y50&lt;&gt;"",$H50&lt;&gt;$Y50,IFERROR(VLOOKUP($H50,areaCercaPuntiClassificaSquadra,3,FALSE),-1)=IFERROR(VLOOKUP($Y50,areaCercaPuntiClassificaSquadra,3,FALSE),-2)),SUMIFS(Dati!$D$2:$D$451,Dati!$A$2:$A$451,$H50,Dati!$H$2:$H$451,$Y50)+SUMIFS(Dati!$K$2:$K$451,Dati!$H$2:$H$451,$H50,Dati!$A$2:$A$451,$Y50)+SUMIFS(Dati!$C$2:$C$451,Dati!$A$2:$A$451,$H50,Dati!$H$2:$H$451,$Y50)+SUMIFS(Dati!$J$2:$J$451,Dati!$H$2:$H$451,$H50,Dati!$A$2:$A$451,$Y50),"-")</f>
        <v/>
      </c>
      <c r="AX50" s="22">
        <f>IF(AND($H50&lt;&gt;"",$Z50&lt;&gt;"",$H50&lt;&gt;$Z50,IFERROR(VLOOKUP($H50,areaCercaPuntiClassificaSquadra,3,FALSE),-1)=IFERROR(VLOOKUP($Z50,areaCercaPuntiClassificaSquadra,3,FALSE),-2)),SUMIFS(Dati!$D$2:$D$451,Dati!$A$2:$A$451,$H50,Dati!$H$2:$H$451,$Z50)+SUMIFS(Dati!$K$2:$K$451,Dati!$H$2:$H$451,$H50,Dati!$A$2:$A$451,$Z50)+SUMIFS(Dati!$C$2:$C$451,Dati!$A$2:$A$451,$H50,Dati!$H$2:$H$451,$Z50)+SUMIFS(Dati!$J$2:$J$451,Dati!$H$2:$H$451,$H50,Dati!$A$2:$A$451,$Z50),"-")</f>
        <v/>
      </c>
      <c r="AY50" s="22">
        <f>IF(AND($H50&lt;&gt;"",$AA50&lt;&gt;"",$H50&lt;&gt;$AA50,IFERROR(VLOOKUP($H50,areaCercaPuntiClassificaSquadra,3,FALSE),-1)=IFERROR(VLOOKUP($AA50,areaCercaPuntiClassificaSquadra,3,FALSE),-2)),SUMIFS(Dati!$D$2:$D$451,Dati!$A$2:$A$451,$H50,Dati!$H$2:$H$451,$AA50)+SUMIFS(Dati!$K$2:$K$451,Dati!$H$2:$H$451,$H50,Dati!$A$2:$A$451,$AA50)+SUMIFS(Dati!$C$2:$C$451,Dati!$A$2:$A$451,$H50,Dati!$H$2:$H$451,$AA50)+SUMIFS(Dati!$J$2:$J$451,Dati!$H$2:$H$451,$H50,Dati!$A$2:$A$451,$AA50),"-")</f>
        <v/>
      </c>
      <c r="AZ50" s="22">
        <f>IF(AND($H50&lt;&gt;"",$AB50&lt;&gt;"",$H50&lt;&gt;$AB50,IFERROR(VLOOKUP($H50,areaCercaPuntiClassificaSquadra,3,FALSE),-1)=IFERROR(VLOOKUP($AB50,areaCercaPuntiClassificaSquadra,3,FALSE),-2)),SUMIFS(Dati!$D$2:$D$451,Dati!$A$2:$A$451,$H50,Dati!$H$2:$H$451,$AB50)+SUMIFS(Dati!$K$2:$K$451,Dati!$H$2:$H$451,$H50,Dati!$A$2:$A$451,$AB50)+SUMIFS(Dati!$C$2:$C$451,Dati!$A$2:$A$451,$H50,Dati!$H$2:$H$451,$AB50)+SUMIFS(Dati!$J$2:$J$451,Dati!$H$2:$H$451,$H50,Dati!$A$2:$A$451,$AB50),"-")</f>
        <v/>
      </c>
      <c r="BA50" s="22">
        <f>IF(AND($H50&lt;&gt;"",$AC50&lt;&gt;"",$H50&lt;&gt;$AC50,IFERROR(VLOOKUP($H50,areaCercaPuntiClassificaSquadra,3,FALSE),-1)=IFERROR(VLOOKUP($AC50,areaCercaPuntiClassificaSquadra,3,FALSE),-2)),SUMIFS(Dati!$D$2:$D$451,Dati!$A$2:$A$451,$H50,Dati!$H$2:$H$451,$AC50)+SUMIFS(Dati!$K$2:$K$451,Dati!$H$2:$H$451,$H50,Dati!$A$2:$A$451,$AC50)+SUMIFS(Dati!$C$2:$C$451,Dati!$A$2:$A$451,$H50,Dati!$H$2:$H$451,$AC50)+SUMIFS(Dati!$J$2:$J$451,Dati!$H$2:$H$451,$H50,Dati!$A$2:$A$451,$AC50),"-")</f>
        <v/>
      </c>
      <c r="BB50" s="22">
        <f>IF(AND($H50&lt;&gt;"",$AD50&lt;&gt;"",$H50&lt;&gt;$AD50,IFERROR(VLOOKUP($H50,areaCercaPuntiClassificaSquadra,3,FALSE),-1)=IFERROR(VLOOKUP($AD50,areaCercaPuntiClassificaSquadra,3,FALSE),-2)),SUMIFS(Dati!$D$2:$D$451,Dati!$A$2:$A$451,$H50,Dati!$H$2:$H$451,$AD50)+SUMIFS(Dati!$K$2:$K$451,Dati!$H$2:$H$451,$H50,Dati!$A$2:$A$451,$AD50)+SUMIFS(Dati!$C$2:$C$451,Dati!$A$2:$A$451,$H50,Dati!$H$2:$H$451,$AD50)+SUMIFS(Dati!$J$2:$J$451,Dati!$H$2:$H$451,$H50,Dati!$A$2:$A$451,$AD50),"-")</f>
        <v/>
      </c>
      <c r="BC50" s="22">
        <f>IF(AND($H50&lt;&gt;"",$AE50&lt;&gt;"",$H50&lt;&gt;$AE50,IFERROR(VLOOKUP($H50,areaCercaPuntiClassificaSquadra,3,FALSE),-1)=IFERROR(VLOOKUP($AE50,areaCercaPuntiClassificaSquadra,3,FALSE),-2)),SUMIFS(Dati!$D$2:$D$451,Dati!$A$2:$A$451,$H50,Dati!$H$2:$H$451,$AE50)+SUMIFS(Dati!$K$2:$K$451,Dati!$H$2:$H$451,$H50,Dati!$A$2:$A$451,$AE50)+SUMIFS(Dati!$C$2:$C$451,Dati!$A$2:$A$451,$H50,Dati!$H$2:$H$451,$AE50)+SUMIFS(Dati!$J$2:$J$451,Dati!$H$2:$H$451,$H50,Dati!$A$2:$A$451,$AE50),"-")</f>
        <v/>
      </c>
      <c r="BD50" s="22">
        <f>IF(AND($H50&lt;&gt;"",$AF50&lt;&gt;"",$H50&lt;&gt;$AF50,IFERROR(VLOOKUP($H50,areaCercaPuntiClassificaSquadra,3,FALSE),-1)=IFERROR(VLOOKUP($AF50,areaCercaPuntiClassificaSquadra,3,FALSE),-2)),SUMIFS(Dati!$D$2:$D$451,Dati!$A$2:$A$451,$H50,Dati!$H$2:$H$451,$AF50)+SUMIFS(Dati!$K$2:$K$451,Dati!$H$2:$H$451,$H50,Dati!$A$2:$A$451,$AF50)+SUMIFS(Dati!$C$2:$C$451,Dati!$A$2:$A$451,$H50,Dati!$H$2:$H$451,$AF50)+SUMIFS(Dati!$J$2:$J$451,Dati!$H$2:$H$451,$H50,Dati!$A$2:$A$451,$AF50),"-")</f>
        <v/>
      </c>
      <c r="BE50" s="22">
        <f>IF(AND($H50&lt;&gt;"",$AG50&lt;&gt;"",$H50&lt;&gt;$AG50,IFERROR(VLOOKUP($H50,areaCercaPuntiClassificaSquadra,3,FALSE),-1)=IFERROR(VLOOKUP($AG50,areaCercaPuntiClassificaSquadra,3,FALSE),-2)),SUMIFS(Dati!$D$2:$D$451,Dati!$A$2:$A$451,$H50,Dati!$H$2:$H$451,$AG50)+SUMIFS(Dati!$K$2:$K$451,Dati!$H$2:$H$451,$H50,Dati!$A$2:$A$451,$AG50)+SUMIFS(Dati!$C$2:$C$451,Dati!$A$2:$A$451,$H50,Dati!$H$2:$H$451,$AG50)+SUMIFS(Dati!$J$2:$J$451,Dati!$H$2:$H$451,$H50,Dati!$A$2:$A$451,$AG50),"-")</f>
        <v/>
      </c>
      <c r="BF50" s="22">
        <f>IF(AND($H50&lt;&gt;"",$AH50&lt;&gt;"",$H50&lt;&gt;$AH50,IFERROR(VLOOKUP($H50,areaCercaPuntiClassificaSquadra,3,FALSE),-1)=IFERROR(VLOOKUP($AH50,areaCercaPuntiClassificaSquadra,3,FALSE),-2)),SUMIFS(Dati!$D$2:$D$451,Dati!$A$2:$A$451,$H50,Dati!$H$2:$H$451,$AH50)+SUMIFS(Dati!$K$2:$K$451,Dati!$H$2:$H$451,$H50,Dati!$A$2:$A$451,$AH50)+SUMIFS(Dati!$C$2:$C$451,Dati!$A$2:$A$451,$H50,Dati!$H$2:$H$451,$AH50)+SUMIFS(Dati!$J$2:$J$451,Dati!$H$2:$H$451,$H50,Dati!$A$2:$A$451,$AH50),"-")</f>
        <v/>
      </c>
      <c r="BH50" s="21">
        <f>$C50</f>
        <v/>
      </c>
      <c r="BI50" s="22">
        <f>IF(AND($H50&lt;&gt;"",$Y50&lt;&gt;"",$H50&lt;&gt;$Y50,IFERROR(VLOOKUP($H50,areaCercaPuntiClassificaSquadra,3,FALSE),-1)=IFERROR(VLOOKUP($Y50,areaCercaPuntiClassificaSquadra,3,FALSE),-2)),SUMIFS(Dati!$E$2:$E$451,Dati!$A$2:$A$451,$H50,Dati!$H$2:$H$451,$Y50)+SUMIFS(Dati!$L$2:$L$451,Dati!$H$2:$H$451,$H50,Dati!$A$2:$A$451,$Y50),"-")</f>
        <v/>
      </c>
      <c r="BJ50" s="22">
        <f>IF(AND($H50&lt;&gt;"",$Z50&lt;&gt;"",$H50&lt;&gt;$Z50,IFERROR(VLOOKUP($H50,areaCercaPuntiClassificaSquadra,3,FALSE),-1)=IFERROR(VLOOKUP($Z50,areaCercaPuntiClassificaSquadra,3,FALSE),-2)),SUMIFS(Dati!$E$2:$E$451,Dati!$A$2:$A$451,$H50,Dati!$H$2:$H$451,$Z50)+SUMIFS(Dati!$L$2:$L$451,Dati!$H$2:$H$451,$H50,Dati!$A$2:$A$451,$Z50),"-")</f>
        <v/>
      </c>
      <c r="BK50" s="22">
        <f>IF(AND($H50&lt;&gt;"",$AA50&lt;&gt;"",$H50&lt;&gt;$AA50,IFERROR(VLOOKUP($H50,areaCercaPuntiClassificaSquadra,3,FALSE),-1)=IFERROR(VLOOKUP($AA50,areaCercaPuntiClassificaSquadra,3,FALSE),-2)),SUMIFS(Dati!$E$2:$E$451,Dati!$A$2:$A$451,$H50,Dati!$H$2:$H$451,$AA50)+SUMIFS(Dati!$L$2:$L$451,Dati!$H$2:$H$451,$H50,Dati!$A$2:$A$451,$AA50),"-")</f>
        <v/>
      </c>
      <c r="BL50" s="22">
        <f>IF(AND($H50&lt;&gt;"",$AB50&lt;&gt;"",$H50&lt;&gt;$AB50,IFERROR(VLOOKUP($H50,areaCercaPuntiClassificaSquadra,3,FALSE),-1)=IFERROR(VLOOKUP($AB50,areaCercaPuntiClassificaSquadra,3,FALSE),-2)),SUMIFS(Dati!$E$2:$E$451,Dati!$A$2:$A$451,$H50,Dati!$H$2:$H$451,$AB50)+SUMIFS(Dati!$L$2:$L$451,Dati!$H$2:$H$451,$H50,Dati!$A$2:$A$451,$AB50),"-")</f>
        <v/>
      </c>
      <c r="BM50" s="22">
        <f>IF(AND($H50&lt;&gt;"",$AC50&lt;&gt;"",$H50&lt;&gt;$AC50,IFERROR(VLOOKUP($H50,areaCercaPuntiClassificaSquadra,3,FALSE),-1)=IFERROR(VLOOKUP($AC50,areaCercaPuntiClassificaSquadra,3,FALSE),-2)),SUMIFS(Dati!$E$2:$E$451,Dati!$A$2:$A$451,$H50,Dati!$H$2:$H$451,$AC50)+SUMIFS(Dati!$L$2:$L$451,Dati!$H$2:$H$451,$H50,Dati!$A$2:$A$451,$AC50),"-")</f>
        <v/>
      </c>
      <c r="BN50" s="22">
        <f>IF(AND($H50&lt;&gt;"",$AD50&lt;&gt;"",$H50&lt;&gt;$AD50,IFERROR(VLOOKUP($H50,areaCercaPuntiClassificaSquadra,3,FALSE),-1)=IFERROR(VLOOKUP($AD50,areaCercaPuntiClassificaSquadra,3,FALSE),-2)),SUMIFS(Dati!$E$2:$E$451,Dati!$A$2:$A$451,$H50,Dati!$H$2:$H$451,$AD50)+SUMIFS(Dati!$L$2:$L$451,Dati!$H$2:$H$451,$H50,Dati!$A$2:$A$451,$AD50),"-")</f>
        <v/>
      </c>
      <c r="BO50" s="22">
        <f>IF(AND($H50&lt;&gt;"",$AE50&lt;&gt;"",$H50&lt;&gt;$AE50,IFERROR(VLOOKUP($H50,areaCercaPuntiClassificaSquadra,3,FALSE),-1)=IFERROR(VLOOKUP($AE50,areaCercaPuntiClassificaSquadra,3,FALSE),-2)),SUMIFS(Dati!$E$2:$E$451,Dati!$A$2:$A$451,$H50,Dati!$H$2:$H$451,$AE50)+SUMIFS(Dati!$L$2:$L$451,Dati!$H$2:$H$451,$H50,Dati!$A$2:$A$451,$AE50),"-")</f>
        <v/>
      </c>
      <c r="BP50" s="22">
        <f>IF(AND($H50&lt;&gt;"",$AF50&lt;&gt;"",$H50&lt;&gt;$AF50,IFERROR(VLOOKUP($H50,areaCercaPuntiClassificaSquadra,3,FALSE),-1)=IFERROR(VLOOKUP($AF50,areaCercaPuntiClassificaSquadra,3,FALSE),-2)),SUMIFS(Dati!$E$2:$E$451,Dati!$A$2:$A$451,$H50,Dati!$H$2:$H$451,$AF50)+SUMIFS(Dati!$L$2:$L$451,Dati!$H$2:$H$451,$H50,Dati!$A$2:$A$451,$AF50),"-")</f>
        <v/>
      </c>
      <c r="BQ50" s="22">
        <f>IF(AND($H50&lt;&gt;"",$AG50&lt;&gt;"",$H50&lt;&gt;$AG50,IFERROR(VLOOKUP($H50,areaCercaPuntiClassificaSquadra,3,FALSE),-1)=IFERROR(VLOOKUP($AG50,areaCercaPuntiClassificaSquadra,3,FALSE),-2)),SUMIFS(Dati!$E$2:$E$451,Dati!$A$2:$A$451,$H50,Dati!$H$2:$H$451,$AG50)+SUMIFS(Dati!$L$2:$L$451,Dati!$H$2:$H$451,$H50,Dati!$A$2:$A$451,$AG50),"-")</f>
        <v/>
      </c>
      <c r="BR50" s="22">
        <f>IF(AND($H50&lt;&gt;"",$AH50&lt;&gt;"",$H50&lt;&gt;$AH50,IFERROR(VLOOKUP($H50,areaCercaPuntiClassificaSquadra,3,FALSE),-1)=IFERROR(VLOOKUP($AH50,areaCercaPuntiClassificaSquadra,3,FALSE),-2)),SUMIFS(Dati!$E$2:$E$451,Dati!$A$2:$A$451,$H50,Dati!$H$2:$H$451,$AH50)+SUMIFS(Dati!$L$2:$L$451,Dati!$H$2:$H$451,$H50,Dati!$A$2:$A$451,$AH50),"-")</f>
        <v/>
      </c>
      <c r="BT50" s="21">
        <f>$C50</f>
        <v/>
      </c>
      <c r="BU50" s="22">
        <f>IF(AND($H50&lt;&gt;"",$Y50&lt;&gt;"",$H50&lt;&gt;$Y50,IFERROR(VLOOKUP($H50,areaCercaPuntiClassificaSquadra,3,FALSE),-1)=IFERROR(VLOOKUP($Y50,areaCercaPuntiClassificaSquadra,3,FALSE),-2)),SUMIFS(Dati!$F$2:$F$451,Dati!$A$2:$A$451,$H50,Dati!$H$2:$H$451,$Y50)+SUMIFS(Dati!$M$2:$M$451,Dati!$H$2:$H$451,$H50,Dati!$A$2:$A$451,$Y50),"-")</f>
        <v/>
      </c>
      <c r="BV50" s="22">
        <f>IF(AND($H50&lt;&gt;"",$Z50&lt;&gt;"",$H50&lt;&gt;$Z50,IFERROR(VLOOKUP($H50,areaCercaPuntiClassificaSquadra,3,FALSE),-1)=IFERROR(VLOOKUP($Z50,areaCercaPuntiClassificaSquadra,3,FALSE),-2)),SUMIFS(Dati!$F$2:$F$451,Dati!$A$2:$A$451,$H50,Dati!$H$2:$H$451,$Z50)+SUMIFS(Dati!$M$2:$M$451,Dati!$H$2:$H$451,$H50,Dati!$A$2:$A$451,$Z50),"-")</f>
        <v/>
      </c>
      <c r="BW50" s="22">
        <f>IF(AND($H50&lt;&gt;"",$AA50&lt;&gt;"",$H50&lt;&gt;$AA50,IFERROR(VLOOKUP($H50,areaCercaPuntiClassificaSquadra,3,FALSE),-1)=IFERROR(VLOOKUP($AA50,areaCercaPuntiClassificaSquadra,3,FALSE),-2)),SUMIFS(Dati!$F$2:$F$451,Dati!$A$2:$A$451,$H50,Dati!$H$2:$H$451,$AA50)+SUMIFS(Dati!$M$2:$M$451,Dati!$H$2:$H$451,$H50,Dati!$A$2:$A$451,$AA50),"-")</f>
        <v/>
      </c>
      <c r="BX50" s="22">
        <f>IF(AND($H50&lt;&gt;"",$AB50&lt;&gt;"",$H50&lt;&gt;$AB50,IFERROR(VLOOKUP($H50,areaCercaPuntiClassificaSquadra,3,FALSE),-1)=IFERROR(VLOOKUP($AB50,areaCercaPuntiClassificaSquadra,3,FALSE),-2)),SUMIFS(Dati!$F$2:$F$451,Dati!$A$2:$A$451,$H50,Dati!$H$2:$H$451,$AB50)+SUMIFS(Dati!$M$2:$M$451,Dati!$H$2:$H$451,$H50,Dati!$A$2:$A$451,$AB50),"-")</f>
        <v/>
      </c>
      <c r="BY50" s="22">
        <f>IF(AND($H50&lt;&gt;"",$AC50&lt;&gt;"",$H50&lt;&gt;$AC50,IFERROR(VLOOKUP($H50,areaCercaPuntiClassificaSquadra,3,FALSE),-1)=IFERROR(VLOOKUP($AC50,areaCercaPuntiClassificaSquadra,3,FALSE),-2)),SUMIFS(Dati!$F$2:$F$451,Dati!$A$2:$A$451,$H50,Dati!$H$2:$H$451,$AC50)+SUMIFS(Dati!$M$2:$M$451,Dati!$H$2:$H$451,$H50,Dati!$A$2:$A$451,$AC50),"-")</f>
        <v/>
      </c>
      <c r="BZ50" s="22">
        <f>IF(AND($H50&lt;&gt;"",$AD50&lt;&gt;"",$H50&lt;&gt;$AD50,IFERROR(VLOOKUP($H50,areaCercaPuntiClassificaSquadra,3,FALSE),-1)=IFERROR(VLOOKUP($AD50,areaCercaPuntiClassificaSquadra,3,FALSE),-2)),SUMIFS(Dati!$F$2:$F$451,Dati!$A$2:$A$451,$H50,Dati!$H$2:$H$451,$AD50)+SUMIFS(Dati!$M$2:$M$451,Dati!$H$2:$H$451,$H50,Dati!$A$2:$A$451,$AD50),"-")</f>
        <v/>
      </c>
      <c r="CA50" s="22">
        <f>IF(AND($H50&lt;&gt;"",$AE50&lt;&gt;"",$H50&lt;&gt;$AE50,IFERROR(VLOOKUP($H50,areaCercaPuntiClassificaSquadra,3,FALSE),-1)=IFERROR(VLOOKUP($AE50,areaCercaPuntiClassificaSquadra,3,FALSE),-2)),SUMIFS(Dati!$F$2:$F$451,Dati!$A$2:$A$451,$H50,Dati!$H$2:$H$451,$AE50)+SUMIFS(Dati!$M$2:$M$451,Dati!$H$2:$H$451,$H50,Dati!$A$2:$A$451,$AE50),"-")</f>
        <v/>
      </c>
      <c r="CB50" s="22">
        <f>IF(AND($H50&lt;&gt;"",$AF50&lt;&gt;"",$H50&lt;&gt;$AF50,IFERROR(VLOOKUP($H50,areaCercaPuntiClassificaSquadra,3,FALSE),-1)=IFERROR(VLOOKUP($AF50,areaCercaPuntiClassificaSquadra,3,FALSE),-2)),SUMIFS(Dati!$F$2:$F$451,Dati!$A$2:$A$451,$H50,Dati!$H$2:$H$451,$AF50)+SUMIFS(Dati!$M$2:$M$451,Dati!$H$2:$H$451,$H50,Dati!$A$2:$A$451,$AF50),"-")</f>
        <v/>
      </c>
      <c r="CC50" s="22">
        <f>IF(AND($H50&lt;&gt;"",$AG50&lt;&gt;"",$H50&lt;&gt;$AG50,IFERROR(VLOOKUP($H50,areaCercaPuntiClassificaSquadra,3,FALSE),-1)=IFERROR(VLOOKUP($AG50,areaCercaPuntiClassificaSquadra,3,FALSE),-2)),SUMIFS(Dati!$F$2:$F$451,Dati!$A$2:$A$451,$H50,Dati!$H$2:$H$451,$AG50)+SUMIFS(Dati!$M$2:$M$451,Dati!$H$2:$H$451,$H50,Dati!$A$2:$A$451,$AG50),"-")</f>
        <v/>
      </c>
      <c r="CD50" s="22">
        <f>IF(AND($H50&lt;&gt;"",$AH50&lt;&gt;"",$H50&lt;&gt;$AH50,IFERROR(VLOOKUP($H50,areaCercaPuntiClassificaSquadra,3,FALSE),-1)=IFERROR(VLOOKUP($AH50,areaCercaPuntiClassificaSquadra,3,FALSE),-2)),SUMIFS(Dati!$F$2:$F$451,Dati!$A$2:$A$451,$H50,Dati!$H$2:$H$451,$AH50)+SUMIFS(Dati!$M$2:$M$451,Dati!$H$2:$H$451,$H50,Dati!$A$2:$A$451,$AH50),"-")</f>
        <v/>
      </c>
      <c r="CF50" s="22">
        <f>IF($C50="","",SUM(AK50:AT50))</f>
        <v/>
      </c>
    </row>
    <row r="51">
      <c r="B51" s="12" t="inlineStr">
        <is>
          <t>D08</t>
        </is>
      </c>
      <c r="C51" s="13" t="n"/>
      <c r="D51" s="14" t="n"/>
      <c r="E51" s="27" t="inlineStr">
        <is>
          <t>D</t>
        </is>
      </c>
      <c r="G51" s="28">
        <f>IF($C51="","",$E51&amp;(COUNTIFS(I$14:I$113,"&gt;"&amp;I51,E$14:E$113,"="&amp;E51,C$14:C$113,"&lt;&gt;")+COUNTIFS(I$14:I$113,"="&amp;I51,H$14:H$113,"&lt;="&amp;H51,E$14:E$113,"="&amp;E51,C$14:C$113,"&lt;&gt;")))</f>
        <v/>
      </c>
      <c r="H51" s="17">
        <f>IF($C51="","",IFERROR(LEFT($C51,FIND("-",$C51)-1),$C51))</f>
        <v/>
      </c>
      <c r="I51" s="12">
        <f>TEXT(1000000000+J51,"|0000000000|")&amp;TEXT(SUM(AK51:AT51),"0000000000|")&amp;IF(SUM(BU51:CD51)=0,"0000000000|",TEXT(ROUND(SUM(BI51:BR51)/SUM(BU51:CD51),4)*100000,"0000000000|"))&amp;IF(P51=0,"0000000000|",TEXT(ROUND(O51/P51,4)*100000,"0000000000|"))</f>
        <v/>
      </c>
      <c r="J51" s="28">
        <f>L51*constPuntiVittoria+M51*constPuntiSconfitta+N51*constPuntiForfait+IF(D51="",0,D51)</f>
        <v/>
      </c>
      <c r="K51" s="12">
        <f>SUM(L51:N51)</f>
        <v/>
      </c>
      <c r="L51" s="12">
        <f>IF($H51="",0,SUMIF(Dati!$A$2:$A$451,$H51,Dati!$B$2:$B$451)+SUMIF(Dati!$H$2:$H$451,$H51,Dati!$I$2:$I$451))</f>
        <v/>
      </c>
      <c r="M51" s="12">
        <f>IF($H51="",0,SUMIF(Dati!$A$2:$A$451,$H51,Dati!$D$2:$D$451)+SUMIF(Dati!$H$2:$H$451,$H51,Dati!$K$2:$K$451))</f>
        <v/>
      </c>
      <c r="N51" s="12">
        <f>IF($H51="",0,SUMIF(Dati!$A$2:$A$451,$H51,Dati!$C$2:$C$451)+SUMIF(Dati!$H$2:$H$451,$H51,Dati!$J$2:$J$451))</f>
        <v/>
      </c>
      <c r="O51" s="12">
        <f>IF($H51="",0,SUMIF(Dati!$A$2:$A$451,$H51,Dati!$E$2:$E$451)+SUMIF(Dati!$H$2:$H$451,$H51,Dati!$L$2:$L$451))</f>
        <v/>
      </c>
      <c r="P51" s="12">
        <f>IF($H51="",0,SUMIF(Dati!$A$2:$A$451,$H51,Dati!$F$2:$F$451)+SUMIF(Dati!$H$2:$H$451,$H51,Dati!$M$2:$M$451))</f>
        <v/>
      </c>
      <c r="Q51" s="12">
        <f>IF($H51="",0,SUMIF(Dati!$A$2:$A$451,$H51,Dati!$G$2:$G$451)+SUMIF(Dati!$H$2:$H$451,$H51,Dati!$N$2:$N$451))</f>
        <v/>
      </c>
      <c r="R51" s="12">
        <f>IF(K51=0,0,ROUND(O51/K51,2))</f>
        <v/>
      </c>
      <c r="S51" s="12">
        <f>IF(K51=0,0,ROUND(P51/K51,2))</f>
        <v/>
      </c>
      <c r="T51" s="12">
        <f>IF(K51=0,0,ROUND(Q51/K51,2))</f>
        <v/>
      </c>
      <c r="U51" s="12">
        <f>IF(COUNTIFS($E$14:$E$113,$E51,$J$14:$J$113,$J51,$C$14:$C$113,"&lt;&gt;")&lt;=1,"-",SUM(AK51:AT51)&amp;"-"&amp;SUM(AW51:BF51))</f>
        <v/>
      </c>
      <c r="V51" s="18">
        <f>IF(COUNTIFS($E$14:$E$113,$E51,$J$14:$J$113,$J51,$C$14:$C$113,"&lt;&gt;",$CF$14:$CF$113,$CF51)&lt;=1,"-",IF(SUM(BU51:CD51)=0,0,ROUND(SUM(BI51:BR51)/SUM(BU51:CD51),3)))</f>
        <v/>
      </c>
      <c r="W51" s="18">
        <f>IF(COUNTIFS($E$14:$E$113,$E51,$J$14:$J$113,$J51,$C$14:$C$113,"&lt;&gt;",$CF$14:$CF$113,$CF51,$V$14:$V$113,$V51)&lt;=1,"-",IF(P51=0,0,ROUND(O51/P51,3)))</f>
        <v/>
      </c>
      <c r="X51" s="19">
        <f>IF($C51="","",$E51&amp;"#"&amp;COUNTIFS($E$14:$E51,$E51,$C$14:$C51,"&lt;&gt;"))</f>
        <v/>
      </c>
      <c r="Y51" s="20">
        <f>IFERROR(INDEX($H$14:$H$113,MATCH($E51&amp;"#1",$X$14:$X$113,0)),"")</f>
        <v/>
      </c>
      <c r="Z51" s="20">
        <f>IFERROR(INDEX($H$14:$H$113,MATCH($E51&amp;"#2",$X$14:$X$113,0)),"")</f>
        <v/>
      </c>
      <c r="AA51" s="20">
        <f>IFERROR(INDEX($H$14:$H$113,MATCH($E51&amp;"#3",$X$14:$X$113,0)),"")</f>
        <v/>
      </c>
      <c r="AB51" s="20">
        <f>IFERROR(INDEX($H$14:$H$113,MATCH($E51&amp;"#4",$X$14:$X$113,0)),"")</f>
        <v/>
      </c>
      <c r="AC51" s="20">
        <f>IFERROR(INDEX($H$14:$H$113,MATCH($E51&amp;"#5",$X$14:$X$113,0)),"")</f>
        <v/>
      </c>
      <c r="AD51" s="20">
        <f>IFERROR(INDEX($H$14:$H$113,MATCH($E51&amp;"#6",$X$14:$X$113,0)),"")</f>
        <v/>
      </c>
      <c r="AE51" s="20">
        <f>IFERROR(INDEX($H$14:$H$113,MATCH($E51&amp;"#7",$X$14:$X$113,0)),"")</f>
        <v/>
      </c>
      <c r="AF51" s="20">
        <f>IFERROR(INDEX($H$14:$H$113,MATCH($E51&amp;"#8",$X$14:$X$113,0)),"")</f>
        <v/>
      </c>
      <c r="AG51" s="20">
        <f>IFERROR(INDEX($H$14:$H$113,MATCH($E51&amp;"#9",$X$14:$X$113,0)),"")</f>
        <v/>
      </c>
      <c r="AH51" s="20">
        <f>IFERROR(INDEX($H$14:$H$113,MATCH($E51&amp;"#10",$X$14:$X$113,0)),"")</f>
        <v/>
      </c>
      <c r="AJ51" s="21">
        <f>$C51</f>
        <v/>
      </c>
      <c r="AK51" s="22">
        <f>IF(AND($H51&lt;&gt;"",$Y51&lt;&gt;"",$H51&lt;&gt;$Y51,IFERROR(VLOOKUP($H51,areaCercaPuntiClassificaSquadra,3,FALSE),-1)=IFERROR(VLOOKUP($Y51,areaCercaPuntiClassificaSquadra,3,FALSE),-2)),SUMIFS(Dati!$B$2:$B$451,Dati!$A$2:$A$451,$H51,Dati!$H$2:$H$451,$Y51)+SUMIFS(Dati!$I$2:$I$451,Dati!$H$2:$H$451,$H51,Dati!$A$2:$A$451,$Y51),"-")</f>
        <v/>
      </c>
      <c r="AL51" s="22">
        <f>IF(AND($H51&lt;&gt;"",$Z51&lt;&gt;"",$H51&lt;&gt;$Z51,IFERROR(VLOOKUP($H51,areaCercaPuntiClassificaSquadra,3,FALSE),-1)=IFERROR(VLOOKUP($Z51,areaCercaPuntiClassificaSquadra,3,FALSE),-2)),SUMIFS(Dati!$B$2:$B$451,Dati!$A$2:$A$451,$H51,Dati!$H$2:$H$451,$Z51)+SUMIFS(Dati!$I$2:$I$451,Dati!$H$2:$H$451,$H51,Dati!$A$2:$A$451,$Z51),"-")</f>
        <v/>
      </c>
      <c r="AM51" s="22">
        <f>IF(AND($H51&lt;&gt;"",$AA51&lt;&gt;"",$H51&lt;&gt;$AA51,IFERROR(VLOOKUP($H51,areaCercaPuntiClassificaSquadra,3,FALSE),-1)=IFERROR(VLOOKUP($AA51,areaCercaPuntiClassificaSquadra,3,FALSE),-2)),SUMIFS(Dati!$B$2:$B$451,Dati!$A$2:$A$451,$H51,Dati!$H$2:$H$451,$AA51)+SUMIFS(Dati!$I$2:$I$451,Dati!$H$2:$H$451,$H51,Dati!$A$2:$A$451,$AA51),"-")</f>
        <v/>
      </c>
      <c r="AN51" s="22">
        <f>IF(AND($H51&lt;&gt;"",$AB51&lt;&gt;"",$H51&lt;&gt;$AB51,IFERROR(VLOOKUP($H51,areaCercaPuntiClassificaSquadra,3,FALSE),-1)=IFERROR(VLOOKUP($AB51,areaCercaPuntiClassificaSquadra,3,FALSE),-2)),SUMIFS(Dati!$B$2:$B$451,Dati!$A$2:$A$451,$H51,Dati!$H$2:$H$451,$AB51)+SUMIFS(Dati!$I$2:$I$451,Dati!$H$2:$H$451,$H51,Dati!$A$2:$A$451,$AB51),"-")</f>
        <v/>
      </c>
      <c r="AO51" s="22">
        <f>IF(AND($H51&lt;&gt;"",$AC51&lt;&gt;"",$H51&lt;&gt;$AC51,IFERROR(VLOOKUP($H51,areaCercaPuntiClassificaSquadra,3,FALSE),-1)=IFERROR(VLOOKUP($AC51,areaCercaPuntiClassificaSquadra,3,FALSE),-2)),SUMIFS(Dati!$B$2:$B$451,Dati!$A$2:$A$451,$H51,Dati!$H$2:$H$451,$AC51)+SUMIFS(Dati!$I$2:$I$451,Dati!$H$2:$H$451,$H51,Dati!$A$2:$A$451,$AC51),"-")</f>
        <v/>
      </c>
      <c r="AP51" s="22">
        <f>IF(AND($H51&lt;&gt;"",$AD51&lt;&gt;"",$H51&lt;&gt;$AD51,IFERROR(VLOOKUP($H51,areaCercaPuntiClassificaSquadra,3,FALSE),-1)=IFERROR(VLOOKUP($AD51,areaCercaPuntiClassificaSquadra,3,FALSE),-2)),SUMIFS(Dati!$B$2:$B$451,Dati!$A$2:$A$451,$H51,Dati!$H$2:$H$451,$AD51)+SUMIFS(Dati!$I$2:$I$451,Dati!$H$2:$H$451,$H51,Dati!$A$2:$A$451,$AD51),"-")</f>
        <v/>
      </c>
      <c r="AQ51" s="22">
        <f>IF(AND($H51&lt;&gt;"",$AE51&lt;&gt;"",$H51&lt;&gt;$AE51,IFERROR(VLOOKUP($H51,areaCercaPuntiClassificaSquadra,3,FALSE),-1)=IFERROR(VLOOKUP($AE51,areaCercaPuntiClassificaSquadra,3,FALSE),-2)),SUMIFS(Dati!$B$2:$B$451,Dati!$A$2:$A$451,$H51,Dati!$H$2:$H$451,$AE51)+SUMIFS(Dati!$I$2:$I$451,Dati!$H$2:$H$451,$H51,Dati!$A$2:$A$451,$AE51),"-")</f>
        <v/>
      </c>
      <c r="AR51" s="22">
        <f>IF(AND($H51&lt;&gt;"",$AF51&lt;&gt;"",$H51&lt;&gt;$AF51,IFERROR(VLOOKUP($H51,areaCercaPuntiClassificaSquadra,3,FALSE),-1)=IFERROR(VLOOKUP($AF51,areaCercaPuntiClassificaSquadra,3,FALSE),-2)),SUMIFS(Dati!$B$2:$B$451,Dati!$A$2:$A$451,$H51,Dati!$H$2:$H$451,$AF51)+SUMIFS(Dati!$I$2:$I$451,Dati!$H$2:$H$451,$H51,Dati!$A$2:$A$451,$AF51),"-")</f>
        <v/>
      </c>
      <c r="AS51" s="22">
        <f>IF(AND($H51&lt;&gt;"",$AG51&lt;&gt;"",$H51&lt;&gt;$AG51,IFERROR(VLOOKUP($H51,areaCercaPuntiClassificaSquadra,3,FALSE),-1)=IFERROR(VLOOKUP($AG51,areaCercaPuntiClassificaSquadra,3,FALSE),-2)),SUMIFS(Dati!$B$2:$B$451,Dati!$A$2:$A$451,$H51,Dati!$H$2:$H$451,$AG51)+SUMIFS(Dati!$I$2:$I$451,Dati!$H$2:$H$451,$H51,Dati!$A$2:$A$451,$AG51),"-")</f>
        <v/>
      </c>
      <c r="AT51" s="22">
        <f>IF(AND($H51&lt;&gt;"",$AH51&lt;&gt;"",$H51&lt;&gt;$AH51,IFERROR(VLOOKUP($H51,areaCercaPuntiClassificaSquadra,3,FALSE),-1)=IFERROR(VLOOKUP($AH51,areaCercaPuntiClassificaSquadra,3,FALSE),-2)),SUMIFS(Dati!$B$2:$B$451,Dati!$A$2:$A$451,$H51,Dati!$H$2:$H$451,$AH51)+SUMIFS(Dati!$I$2:$I$451,Dati!$H$2:$H$451,$H51,Dati!$A$2:$A$451,$AH51),"-")</f>
        <v/>
      </c>
      <c r="AV51" s="21">
        <f>$C51</f>
        <v/>
      </c>
      <c r="AW51" s="22">
        <f>IF(AND($H51&lt;&gt;"",$Y51&lt;&gt;"",$H51&lt;&gt;$Y51,IFERROR(VLOOKUP($H51,areaCercaPuntiClassificaSquadra,3,FALSE),-1)=IFERROR(VLOOKUP($Y51,areaCercaPuntiClassificaSquadra,3,FALSE),-2)),SUMIFS(Dati!$D$2:$D$451,Dati!$A$2:$A$451,$H51,Dati!$H$2:$H$451,$Y51)+SUMIFS(Dati!$K$2:$K$451,Dati!$H$2:$H$451,$H51,Dati!$A$2:$A$451,$Y51)+SUMIFS(Dati!$C$2:$C$451,Dati!$A$2:$A$451,$H51,Dati!$H$2:$H$451,$Y51)+SUMIFS(Dati!$J$2:$J$451,Dati!$H$2:$H$451,$H51,Dati!$A$2:$A$451,$Y51),"-")</f>
        <v/>
      </c>
      <c r="AX51" s="22">
        <f>IF(AND($H51&lt;&gt;"",$Z51&lt;&gt;"",$H51&lt;&gt;$Z51,IFERROR(VLOOKUP($H51,areaCercaPuntiClassificaSquadra,3,FALSE),-1)=IFERROR(VLOOKUP($Z51,areaCercaPuntiClassificaSquadra,3,FALSE),-2)),SUMIFS(Dati!$D$2:$D$451,Dati!$A$2:$A$451,$H51,Dati!$H$2:$H$451,$Z51)+SUMIFS(Dati!$K$2:$K$451,Dati!$H$2:$H$451,$H51,Dati!$A$2:$A$451,$Z51)+SUMIFS(Dati!$C$2:$C$451,Dati!$A$2:$A$451,$H51,Dati!$H$2:$H$451,$Z51)+SUMIFS(Dati!$J$2:$J$451,Dati!$H$2:$H$451,$H51,Dati!$A$2:$A$451,$Z51),"-")</f>
        <v/>
      </c>
      <c r="AY51" s="22">
        <f>IF(AND($H51&lt;&gt;"",$AA51&lt;&gt;"",$H51&lt;&gt;$AA51,IFERROR(VLOOKUP($H51,areaCercaPuntiClassificaSquadra,3,FALSE),-1)=IFERROR(VLOOKUP($AA51,areaCercaPuntiClassificaSquadra,3,FALSE),-2)),SUMIFS(Dati!$D$2:$D$451,Dati!$A$2:$A$451,$H51,Dati!$H$2:$H$451,$AA51)+SUMIFS(Dati!$K$2:$K$451,Dati!$H$2:$H$451,$H51,Dati!$A$2:$A$451,$AA51)+SUMIFS(Dati!$C$2:$C$451,Dati!$A$2:$A$451,$H51,Dati!$H$2:$H$451,$AA51)+SUMIFS(Dati!$J$2:$J$451,Dati!$H$2:$H$451,$H51,Dati!$A$2:$A$451,$AA51),"-")</f>
        <v/>
      </c>
      <c r="AZ51" s="22">
        <f>IF(AND($H51&lt;&gt;"",$AB51&lt;&gt;"",$H51&lt;&gt;$AB51,IFERROR(VLOOKUP($H51,areaCercaPuntiClassificaSquadra,3,FALSE),-1)=IFERROR(VLOOKUP($AB51,areaCercaPuntiClassificaSquadra,3,FALSE),-2)),SUMIFS(Dati!$D$2:$D$451,Dati!$A$2:$A$451,$H51,Dati!$H$2:$H$451,$AB51)+SUMIFS(Dati!$K$2:$K$451,Dati!$H$2:$H$451,$H51,Dati!$A$2:$A$451,$AB51)+SUMIFS(Dati!$C$2:$C$451,Dati!$A$2:$A$451,$H51,Dati!$H$2:$H$451,$AB51)+SUMIFS(Dati!$J$2:$J$451,Dati!$H$2:$H$451,$H51,Dati!$A$2:$A$451,$AB51),"-")</f>
        <v/>
      </c>
      <c r="BA51" s="22">
        <f>IF(AND($H51&lt;&gt;"",$AC51&lt;&gt;"",$H51&lt;&gt;$AC51,IFERROR(VLOOKUP($H51,areaCercaPuntiClassificaSquadra,3,FALSE),-1)=IFERROR(VLOOKUP($AC51,areaCercaPuntiClassificaSquadra,3,FALSE),-2)),SUMIFS(Dati!$D$2:$D$451,Dati!$A$2:$A$451,$H51,Dati!$H$2:$H$451,$AC51)+SUMIFS(Dati!$K$2:$K$451,Dati!$H$2:$H$451,$H51,Dati!$A$2:$A$451,$AC51)+SUMIFS(Dati!$C$2:$C$451,Dati!$A$2:$A$451,$H51,Dati!$H$2:$H$451,$AC51)+SUMIFS(Dati!$J$2:$J$451,Dati!$H$2:$H$451,$H51,Dati!$A$2:$A$451,$AC51),"-")</f>
        <v/>
      </c>
      <c r="BB51" s="22">
        <f>IF(AND($H51&lt;&gt;"",$AD51&lt;&gt;"",$H51&lt;&gt;$AD51,IFERROR(VLOOKUP($H51,areaCercaPuntiClassificaSquadra,3,FALSE),-1)=IFERROR(VLOOKUP($AD51,areaCercaPuntiClassificaSquadra,3,FALSE),-2)),SUMIFS(Dati!$D$2:$D$451,Dati!$A$2:$A$451,$H51,Dati!$H$2:$H$451,$AD51)+SUMIFS(Dati!$K$2:$K$451,Dati!$H$2:$H$451,$H51,Dati!$A$2:$A$451,$AD51)+SUMIFS(Dati!$C$2:$C$451,Dati!$A$2:$A$451,$H51,Dati!$H$2:$H$451,$AD51)+SUMIFS(Dati!$J$2:$J$451,Dati!$H$2:$H$451,$H51,Dati!$A$2:$A$451,$AD51),"-")</f>
        <v/>
      </c>
      <c r="BC51" s="22">
        <f>IF(AND($H51&lt;&gt;"",$AE51&lt;&gt;"",$H51&lt;&gt;$AE51,IFERROR(VLOOKUP($H51,areaCercaPuntiClassificaSquadra,3,FALSE),-1)=IFERROR(VLOOKUP($AE51,areaCercaPuntiClassificaSquadra,3,FALSE),-2)),SUMIFS(Dati!$D$2:$D$451,Dati!$A$2:$A$451,$H51,Dati!$H$2:$H$451,$AE51)+SUMIFS(Dati!$K$2:$K$451,Dati!$H$2:$H$451,$H51,Dati!$A$2:$A$451,$AE51)+SUMIFS(Dati!$C$2:$C$451,Dati!$A$2:$A$451,$H51,Dati!$H$2:$H$451,$AE51)+SUMIFS(Dati!$J$2:$J$451,Dati!$H$2:$H$451,$H51,Dati!$A$2:$A$451,$AE51),"-")</f>
        <v/>
      </c>
      <c r="BD51" s="22">
        <f>IF(AND($H51&lt;&gt;"",$AF51&lt;&gt;"",$H51&lt;&gt;$AF51,IFERROR(VLOOKUP($H51,areaCercaPuntiClassificaSquadra,3,FALSE),-1)=IFERROR(VLOOKUP($AF51,areaCercaPuntiClassificaSquadra,3,FALSE),-2)),SUMIFS(Dati!$D$2:$D$451,Dati!$A$2:$A$451,$H51,Dati!$H$2:$H$451,$AF51)+SUMIFS(Dati!$K$2:$K$451,Dati!$H$2:$H$451,$H51,Dati!$A$2:$A$451,$AF51)+SUMIFS(Dati!$C$2:$C$451,Dati!$A$2:$A$451,$H51,Dati!$H$2:$H$451,$AF51)+SUMIFS(Dati!$J$2:$J$451,Dati!$H$2:$H$451,$H51,Dati!$A$2:$A$451,$AF51),"-")</f>
        <v/>
      </c>
      <c r="BE51" s="22">
        <f>IF(AND($H51&lt;&gt;"",$AG51&lt;&gt;"",$H51&lt;&gt;$AG51,IFERROR(VLOOKUP($H51,areaCercaPuntiClassificaSquadra,3,FALSE),-1)=IFERROR(VLOOKUP($AG51,areaCercaPuntiClassificaSquadra,3,FALSE),-2)),SUMIFS(Dati!$D$2:$D$451,Dati!$A$2:$A$451,$H51,Dati!$H$2:$H$451,$AG51)+SUMIFS(Dati!$K$2:$K$451,Dati!$H$2:$H$451,$H51,Dati!$A$2:$A$451,$AG51)+SUMIFS(Dati!$C$2:$C$451,Dati!$A$2:$A$451,$H51,Dati!$H$2:$H$451,$AG51)+SUMIFS(Dati!$J$2:$J$451,Dati!$H$2:$H$451,$H51,Dati!$A$2:$A$451,$AG51),"-")</f>
        <v/>
      </c>
      <c r="BF51" s="22">
        <f>IF(AND($H51&lt;&gt;"",$AH51&lt;&gt;"",$H51&lt;&gt;$AH51,IFERROR(VLOOKUP($H51,areaCercaPuntiClassificaSquadra,3,FALSE),-1)=IFERROR(VLOOKUP($AH51,areaCercaPuntiClassificaSquadra,3,FALSE),-2)),SUMIFS(Dati!$D$2:$D$451,Dati!$A$2:$A$451,$H51,Dati!$H$2:$H$451,$AH51)+SUMIFS(Dati!$K$2:$K$451,Dati!$H$2:$H$451,$H51,Dati!$A$2:$A$451,$AH51)+SUMIFS(Dati!$C$2:$C$451,Dati!$A$2:$A$451,$H51,Dati!$H$2:$H$451,$AH51)+SUMIFS(Dati!$J$2:$J$451,Dati!$H$2:$H$451,$H51,Dati!$A$2:$A$451,$AH51),"-")</f>
        <v/>
      </c>
      <c r="BH51" s="21">
        <f>$C51</f>
        <v/>
      </c>
      <c r="BI51" s="22">
        <f>IF(AND($H51&lt;&gt;"",$Y51&lt;&gt;"",$H51&lt;&gt;$Y51,IFERROR(VLOOKUP($H51,areaCercaPuntiClassificaSquadra,3,FALSE),-1)=IFERROR(VLOOKUP($Y51,areaCercaPuntiClassificaSquadra,3,FALSE),-2)),SUMIFS(Dati!$E$2:$E$451,Dati!$A$2:$A$451,$H51,Dati!$H$2:$H$451,$Y51)+SUMIFS(Dati!$L$2:$L$451,Dati!$H$2:$H$451,$H51,Dati!$A$2:$A$451,$Y51),"-")</f>
        <v/>
      </c>
      <c r="BJ51" s="22">
        <f>IF(AND($H51&lt;&gt;"",$Z51&lt;&gt;"",$H51&lt;&gt;$Z51,IFERROR(VLOOKUP($H51,areaCercaPuntiClassificaSquadra,3,FALSE),-1)=IFERROR(VLOOKUP($Z51,areaCercaPuntiClassificaSquadra,3,FALSE),-2)),SUMIFS(Dati!$E$2:$E$451,Dati!$A$2:$A$451,$H51,Dati!$H$2:$H$451,$Z51)+SUMIFS(Dati!$L$2:$L$451,Dati!$H$2:$H$451,$H51,Dati!$A$2:$A$451,$Z51),"-")</f>
        <v/>
      </c>
      <c r="BK51" s="22">
        <f>IF(AND($H51&lt;&gt;"",$AA51&lt;&gt;"",$H51&lt;&gt;$AA51,IFERROR(VLOOKUP($H51,areaCercaPuntiClassificaSquadra,3,FALSE),-1)=IFERROR(VLOOKUP($AA51,areaCercaPuntiClassificaSquadra,3,FALSE),-2)),SUMIFS(Dati!$E$2:$E$451,Dati!$A$2:$A$451,$H51,Dati!$H$2:$H$451,$AA51)+SUMIFS(Dati!$L$2:$L$451,Dati!$H$2:$H$451,$H51,Dati!$A$2:$A$451,$AA51),"-")</f>
        <v/>
      </c>
      <c r="BL51" s="22">
        <f>IF(AND($H51&lt;&gt;"",$AB51&lt;&gt;"",$H51&lt;&gt;$AB51,IFERROR(VLOOKUP($H51,areaCercaPuntiClassificaSquadra,3,FALSE),-1)=IFERROR(VLOOKUP($AB51,areaCercaPuntiClassificaSquadra,3,FALSE),-2)),SUMIFS(Dati!$E$2:$E$451,Dati!$A$2:$A$451,$H51,Dati!$H$2:$H$451,$AB51)+SUMIFS(Dati!$L$2:$L$451,Dati!$H$2:$H$451,$H51,Dati!$A$2:$A$451,$AB51),"-")</f>
        <v/>
      </c>
      <c r="BM51" s="22">
        <f>IF(AND($H51&lt;&gt;"",$AC51&lt;&gt;"",$H51&lt;&gt;$AC51,IFERROR(VLOOKUP($H51,areaCercaPuntiClassificaSquadra,3,FALSE),-1)=IFERROR(VLOOKUP($AC51,areaCercaPuntiClassificaSquadra,3,FALSE),-2)),SUMIFS(Dati!$E$2:$E$451,Dati!$A$2:$A$451,$H51,Dati!$H$2:$H$451,$AC51)+SUMIFS(Dati!$L$2:$L$451,Dati!$H$2:$H$451,$H51,Dati!$A$2:$A$451,$AC51),"-")</f>
        <v/>
      </c>
      <c r="BN51" s="22">
        <f>IF(AND($H51&lt;&gt;"",$AD51&lt;&gt;"",$H51&lt;&gt;$AD51,IFERROR(VLOOKUP($H51,areaCercaPuntiClassificaSquadra,3,FALSE),-1)=IFERROR(VLOOKUP($AD51,areaCercaPuntiClassificaSquadra,3,FALSE),-2)),SUMIFS(Dati!$E$2:$E$451,Dati!$A$2:$A$451,$H51,Dati!$H$2:$H$451,$AD51)+SUMIFS(Dati!$L$2:$L$451,Dati!$H$2:$H$451,$H51,Dati!$A$2:$A$451,$AD51),"-")</f>
        <v/>
      </c>
      <c r="BO51" s="22">
        <f>IF(AND($H51&lt;&gt;"",$AE51&lt;&gt;"",$H51&lt;&gt;$AE51,IFERROR(VLOOKUP($H51,areaCercaPuntiClassificaSquadra,3,FALSE),-1)=IFERROR(VLOOKUP($AE51,areaCercaPuntiClassificaSquadra,3,FALSE),-2)),SUMIFS(Dati!$E$2:$E$451,Dati!$A$2:$A$451,$H51,Dati!$H$2:$H$451,$AE51)+SUMIFS(Dati!$L$2:$L$451,Dati!$H$2:$H$451,$H51,Dati!$A$2:$A$451,$AE51),"-")</f>
        <v/>
      </c>
      <c r="BP51" s="22">
        <f>IF(AND($H51&lt;&gt;"",$AF51&lt;&gt;"",$H51&lt;&gt;$AF51,IFERROR(VLOOKUP($H51,areaCercaPuntiClassificaSquadra,3,FALSE),-1)=IFERROR(VLOOKUP($AF51,areaCercaPuntiClassificaSquadra,3,FALSE),-2)),SUMIFS(Dati!$E$2:$E$451,Dati!$A$2:$A$451,$H51,Dati!$H$2:$H$451,$AF51)+SUMIFS(Dati!$L$2:$L$451,Dati!$H$2:$H$451,$H51,Dati!$A$2:$A$451,$AF51),"-")</f>
        <v/>
      </c>
      <c r="BQ51" s="22">
        <f>IF(AND($H51&lt;&gt;"",$AG51&lt;&gt;"",$H51&lt;&gt;$AG51,IFERROR(VLOOKUP($H51,areaCercaPuntiClassificaSquadra,3,FALSE),-1)=IFERROR(VLOOKUP($AG51,areaCercaPuntiClassificaSquadra,3,FALSE),-2)),SUMIFS(Dati!$E$2:$E$451,Dati!$A$2:$A$451,$H51,Dati!$H$2:$H$451,$AG51)+SUMIFS(Dati!$L$2:$L$451,Dati!$H$2:$H$451,$H51,Dati!$A$2:$A$451,$AG51),"-")</f>
        <v/>
      </c>
      <c r="BR51" s="22">
        <f>IF(AND($H51&lt;&gt;"",$AH51&lt;&gt;"",$H51&lt;&gt;$AH51,IFERROR(VLOOKUP($H51,areaCercaPuntiClassificaSquadra,3,FALSE),-1)=IFERROR(VLOOKUP($AH51,areaCercaPuntiClassificaSquadra,3,FALSE),-2)),SUMIFS(Dati!$E$2:$E$451,Dati!$A$2:$A$451,$H51,Dati!$H$2:$H$451,$AH51)+SUMIFS(Dati!$L$2:$L$451,Dati!$H$2:$H$451,$H51,Dati!$A$2:$A$451,$AH51),"-")</f>
        <v/>
      </c>
      <c r="BT51" s="21">
        <f>$C51</f>
        <v/>
      </c>
      <c r="BU51" s="22">
        <f>IF(AND($H51&lt;&gt;"",$Y51&lt;&gt;"",$H51&lt;&gt;$Y51,IFERROR(VLOOKUP($H51,areaCercaPuntiClassificaSquadra,3,FALSE),-1)=IFERROR(VLOOKUP($Y51,areaCercaPuntiClassificaSquadra,3,FALSE),-2)),SUMIFS(Dati!$F$2:$F$451,Dati!$A$2:$A$451,$H51,Dati!$H$2:$H$451,$Y51)+SUMIFS(Dati!$M$2:$M$451,Dati!$H$2:$H$451,$H51,Dati!$A$2:$A$451,$Y51),"-")</f>
        <v/>
      </c>
      <c r="BV51" s="22">
        <f>IF(AND($H51&lt;&gt;"",$Z51&lt;&gt;"",$H51&lt;&gt;$Z51,IFERROR(VLOOKUP($H51,areaCercaPuntiClassificaSquadra,3,FALSE),-1)=IFERROR(VLOOKUP($Z51,areaCercaPuntiClassificaSquadra,3,FALSE),-2)),SUMIFS(Dati!$F$2:$F$451,Dati!$A$2:$A$451,$H51,Dati!$H$2:$H$451,$Z51)+SUMIFS(Dati!$M$2:$M$451,Dati!$H$2:$H$451,$H51,Dati!$A$2:$A$451,$Z51),"-")</f>
        <v/>
      </c>
      <c r="BW51" s="22">
        <f>IF(AND($H51&lt;&gt;"",$AA51&lt;&gt;"",$H51&lt;&gt;$AA51,IFERROR(VLOOKUP($H51,areaCercaPuntiClassificaSquadra,3,FALSE),-1)=IFERROR(VLOOKUP($AA51,areaCercaPuntiClassificaSquadra,3,FALSE),-2)),SUMIFS(Dati!$F$2:$F$451,Dati!$A$2:$A$451,$H51,Dati!$H$2:$H$451,$AA51)+SUMIFS(Dati!$M$2:$M$451,Dati!$H$2:$H$451,$H51,Dati!$A$2:$A$451,$AA51),"-")</f>
        <v/>
      </c>
      <c r="BX51" s="22">
        <f>IF(AND($H51&lt;&gt;"",$AB51&lt;&gt;"",$H51&lt;&gt;$AB51,IFERROR(VLOOKUP($H51,areaCercaPuntiClassificaSquadra,3,FALSE),-1)=IFERROR(VLOOKUP($AB51,areaCercaPuntiClassificaSquadra,3,FALSE),-2)),SUMIFS(Dati!$F$2:$F$451,Dati!$A$2:$A$451,$H51,Dati!$H$2:$H$451,$AB51)+SUMIFS(Dati!$M$2:$M$451,Dati!$H$2:$H$451,$H51,Dati!$A$2:$A$451,$AB51),"-")</f>
        <v/>
      </c>
      <c r="BY51" s="22">
        <f>IF(AND($H51&lt;&gt;"",$AC51&lt;&gt;"",$H51&lt;&gt;$AC51,IFERROR(VLOOKUP($H51,areaCercaPuntiClassificaSquadra,3,FALSE),-1)=IFERROR(VLOOKUP($AC51,areaCercaPuntiClassificaSquadra,3,FALSE),-2)),SUMIFS(Dati!$F$2:$F$451,Dati!$A$2:$A$451,$H51,Dati!$H$2:$H$451,$AC51)+SUMIFS(Dati!$M$2:$M$451,Dati!$H$2:$H$451,$H51,Dati!$A$2:$A$451,$AC51),"-")</f>
        <v/>
      </c>
      <c r="BZ51" s="22">
        <f>IF(AND($H51&lt;&gt;"",$AD51&lt;&gt;"",$H51&lt;&gt;$AD51,IFERROR(VLOOKUP($H51,areaCercaPuntiClassificaSquadra,3,FALSE),-1)=IFERROR(VLOOKUP($AD51,areaCercaPuntiClassificaSquadra,3,FALSE),-2)),SUMIFS(Dati!$F$2:$F$451,Dati!$A$2:$A$451,$H51,Dati!$H$2:$H$451,$AD51)+SUMIFS(Dati!$M$2:$M$451,Dati!$H$2:$H$451,$H51,Dati!$A$2:$A$451,$AD51),"-")</f>
        <v/>
      </c>
      <c r="CA51" s="22">
        <f>IF(AND($H51&lt;&gt;"",$AE51&lt;&gt;"",$H51&lt;&gt;$AE51,IFERROR(VLOOKUP($H51,areaCercaPuntiClassificaSquadra,3,FALSE),-1)=IFERROR(VLOOKUP($AE51,areaCercaPuntiClassificaSquadra,3,FALSE),-2)),SUMIFS(Dati!$F$2:$F$451,Dati!$A$2:$A$451,$H51,Dati!$H$2:$H$451,$AE51)+SUMIFS(Dati!$M$2:$M$451,Dati!$H$2:$H$451,$H51,Dati!$A$2:$A$451,$AE51),"-")</f>
        <v/>
      </c>
      <c r="CB51" s="22">
        <f>IF(AND($H51&lt;&gt;"",$AF51&lt;&gt;"",$H51&lt;&gt;$AF51,IFERROR(VLOOKUP($H51,areaCercaPuntiClassificaSquadra,3,FALSE),-1)=IFERROR(VLOOKUP($AF51,areaCercaPuntiClassificaSquadra,3,FALSE),-2)),SUMIFS(Dati!$F$2:$F$451,Dati!$A$2:$A$451,$H51,Dati!$H$2:$H$451,$AF51)+SUMIFS(Dati!$M$2:$M$451,Dati!$H$2:$H$451,$H51,Dati!$A$2:$A$451,$AF51),"-")</f>
        <v/>
      </c>
      <c r="CC51" s="22">
        <f>IF(AND($H51&lt;&gt;"",$AG51&lt;&gt;"",$H51&lt;&gt;$AG51,IFERROR(VLOOKUP($H51,areaCercaPuntiClassificaSquadra,3,FALSE),-1)=IFERROR(VLOOKUP($AG51,areaCercaPuntiClassificaSquadra,3,FALSE),-2)),SUMIFS(Dati!$F$2:$F$451,Dati!$A$2:$A$451,$H51,Dati!$H$2:$H$451,$AG51)+SUMIFS(Dati!$M$2:$M$451,Dati!$H$2:$H$451,$H51,Dati!$A$2:$A$451,$AG51),"-")</f>
        <v/>
      </c>
      <c r="CD51" s="22">
        <f>IF(AND($H51&lt;&gt;"",$AH51&lt;&gt;"",$H51&lt;&gt;$AH51,IFERROR(VLOOKUP($H51,areaCercaPuntiClassificaSquadra,3,FALSE),-1)=IFERROR(VLOOKUP($AH51,areaCercaPuntiClassificaSquadra,3,FALSE),-2)),SUMIFS(Dati!$F$2:$F$451,Dati!$A$2:$A$451,$H51,Dati!$H$2:$H$451,$AH51)+SUMIFS(Dati!$M$2:$M$451,Dati!$H$2:$H$451,$H51,Dati!$A$2:$A$451,$AH51),"-")</f>
        <v/>
      </c>
      <c r="CF51" s="22">
        <f>IF($C51="","",SUM(AK51:AT51))</f>
        <v/>
      </c>
    </row>
    <row r="52">
      <c r="B52" s="12" t="inlineStr">
        <is>
          <t>D09</t>
        </is>
      </c>
      <c r="C52" s="13" t="n"/>
      <c r="D52" s="14" t="n"/>
      <c r="E52" s="27" t="inlineStr">
        <is>
          <t>D</t>
        </is>
      </c>
      <c r="G52" s="28">
        <f>IF($C52="","",$E52&amp;(COUNTIFS(I$14:I$113,"&gt;"&amp;I52,E$14:E$113,"="&amp;E52,C$14:C$113,"&lt;&gt;")+COUNTIFS(I$14:I$113,"="&amp;I52,H$14:H$113,"&lt;="&amp;H52,E$14:E$113,"="&amp;E52,C$14:C$113,"&lt;&gt;")))</f>
        <v/>
      </c>
      <c r="H52" s="17">
        <f>IF($C52="","",IFERROR(LEFT($C52,FIND("-",$C52)-1),$C52))</f>
        <v/>
      </c>
      <c r="I52" s="12">
        <f>TEXT(1000000000+J52,"|0000000000|")&amp;TEXT(SUM(AK52:AT52),"0000000000|")&amp;IF(SUM(BU52:CD52)=0,"0000000000|",TEXT(ROUND(SUM(BI52:BR52)/SUM(BU52:CD52),4)*100000,"0000000000|"))&amp;IF(P52=0,"0000000000|",TEXT(ROUND(O52/P52,4)*100000,"0000000000|"))</f>
        <v/>
      </c>
      <c r="J52" s="28">
        <f>L52*constPuntiVittoria+M52*constPuntiSconfitta+N52*constPuntiForfait+IF(D52="",0,D52)</f>
        <v/>
      </c>
      <c r="K52" s="12">
        <f>SUM(L52:N52)</f>
        <v/>
      </c>
      <c r="L52" s="12">
        <f>IF($H52="",0,SUMIF(Dati!$A$2:$A$451,$H52,Dati!$B$2:$B$451)+SUMIF(Dati!$H$2:$H$451,$H52,Dati!$I$2:$I$451))</f>
        <v/>
      </c>
      <c r="M52" s="12">
        <f>IF($H52="",0,SUMIF(Dati!$A$2:$A$451,$H52,Dati!$D$2:$D$451)+SUMIF(Dati!$H$2:$H$451,$H52,Dati!$K$2:$K$451))</f>
        <v/>
      </c>
      <c r="N52" s="12">
        <f>IF($H52="",0,SUMIF(Dati!$A$2:$A$451,$H52,Dati!$C$2:$C$451)+SUMIF(Dati!$H$2:$H$451,$H52,Dati!$J$2:$J$451))</f>
        <v/>
      </c>
      <c r="O52" s="12">
        <f>IF($H52="",0,SUMIF(Dati!$A$2:$A$451,$H52,Dati!$E$2:$E$451)+SUMIF(Dati!$H$2:$H$451,$H52,Dati!$L$2:$L$451))</f>
        <v/>
      </c>
      <c r="P52" s="12">
        <f>IF($H52="",0,SUMIF(Dati!$A$2:$A$451,$H52,Dati!$F$2:$F$451)+SUMIF(Dati!$H$2:$H$451,$H52,Dati!$M$2:$M$451))</f>
        <v/>
      </c>
      <c r="Q52" s="12">
        <f>IF($H52="",0,SUMIF(Dati!$A$2:$A$451,$H52,Dati!$G$2:$G$451)+SUMIF(Dati!$H$2:$H$451,$H52,Dati!$N$2:$N$451))</f>
        <v/>
      </c>
      <c r="R52" s="12">
        <f>IF(K52=0,0,ROUND(O52/K52,2))</f>
        <v/>
      </c>
      <c r="S52" s="12">
        <f>IF(K52=0,0,ROUND(P52/K52,2))</f>
        <v/>
      </c>
      <c r="T52" s="12">
        <f>IF(K52=0,0,ROUND(Q52/K52,2))</f>
        <v/>
      </c>
      <c r="U52" s="12">
        <f>IF(COUNTIFS($E$14:$E$113,$E52,$J$14:$J$113,$J52,$C$14:$C$113,"&lt;&gt;")&lt;=1,"-",SUM(AK52:AT52)&amp;"-"&amp;SUM(AW52:BF52))</f>
        <v/>
      </c>
      <c r="V52" s="18">
        <f>IF(COUNTIFS($E$14:$E$113,$E52,$J$14:$J$113,$J52,$C$14:$C$113,"&lt;&gt;",$CF$14:$CF$113,$CF52)&lt;=1,"-",IF(SUM(BU52:CD52)=0,0,ROUND(SUM(BI52:BR52)/SUM(BU52:CD52),3)))</f>
        <v/>
      </c>
      <c r="W52" s="18">
        <f>IF(COUNTIFS($E$14:$E$113,$E52,$J$14:$J$113,$J52,$C$14:$C$113,"&lt;&gt;",$CF$14:$CF$113,$CF52,$V$14:$V$113,$V52)&lt;=1,"-",IF(P52=0,0,ROUND(O52/P52,3)))</f>
        <v/>
      </c>
      <c r="X52" s="19">
        <f>IF($C52="","",$E52&amp;"#"&amp;COUNTIFS($E$14:$E52,$E52,$C$14:$C52,"&lt;&gt;"))</f>
        <v/>
      </c>
      <c r="Y52" s="20">
        <f>IFERROR(INDEX($H$14:$H$113,MATCH($E52&amp;"#1",$X$14:$X$113,0)),"")</f>
        <v/>
      </c>
      <c r="Z52" s="20">
        <f>IFERROR(INDEX($H$14:$H$113,MATCH($E52&amp;"#2",$X$14:$X$113,0)),"")</f>
        <v/>
      </c>
      <c r="AA52" s="20">
        <f>IFERROR(INDEX($H$14:$H$113,MATCH($E52&amp;"#3",$X$14:$X$113,0)),"")</f>
        <v/>
      </c>
      <c r="AB52" s="20">
        <f>IFERROR(INDEX($H$14:$H$113,MATCH($E52&amp;"#4",$X$14:$X$113,0)),"")</f>
        <v/>
      </c>
      <c r="AC52" s="20">
        <f>IFERROR(INDEX($H$14:$H$113,MATCH($E52&amp;"#5",$X$14:$X$113,0)),"")</f>
        <v/>
      </c>
      <c r="AD52" s="20">
        <f>IFERROR(INDEX($H$14:$H$113,MATCH($E52&amp;"#6",$X$14:$X$113,0)),"")</f>
        <v/>
      </c>
      <c r="AE52" s="20">
        <f>IFERROR(INDEX($H$14:$H$113,MATCH($E52&amp;"#7",$X$14:$X$113,0)),"")</f>
        <v/>
      </c>
      <c r="AF52" s="20">
        <f>IFERROR(INDEX($H$14:$H$113,MATCH($E52&amp;"#8",$X$14:$X$113,0)),"")</f>
        <v/>
      </c>
      <c r="AG52" s="20">
        <f>IFERROR(INDEX($H$14:$H$113,MATCH($E52&amp;"#9",$X$14:$X$113,0)),"")</f>
        <v/>
      </c>
      <c r="AH52" s="20">
        <f>IFERROR(INDEX($H$14:$H$113,MATCH($E52&amp;"#10",$X$14:$X$113,0)),"")</f>
        <v/>
      </c>
      <c r="AJ52" s="21">
        <f>$C52</f>
        <v/>
      </c>
      <c r="AK52" s="22">
        <f>IF(AND($H52&lt;&gt;"",$Y52&lt;&gt;"",$H52&lt;&gt;$Y52,IFERROR(VLOOKUP($H52,areaCercaPuntiClassificaSquadra,3,FALSE),-1)=IFERROR(VLOOKUP($Y52,areaCercaPuntiClassificaSquadra,3,FALSE),-2)),SUMIFS(Dati!$B$2:$B$451,Dati!$A$2:$A$451,$H52,Dati!$H$2:$H$451,$Y52)+SUMIFS(Dati!$I$2:$I$451,Dati!$H$2:$H$451,$H52,Dati!$A$2:$A$451,$Y52),"-")</f>
        <v/>
      </c>
      <c r="AL52" s="22">
        <f>IF(AND($H52&lt;&gt;"",$Z52&lt;&gt;"",$H52&lt;&gt;$Z52,IFERROR(VLOOKUP($H52,areaCercaPuntiClassificaSquadra,3,FALSE),-1)=IFERROR(VLOOKUP($Z52,areaCercaPuntiClassificaSquadra,3,FALSE),-2)),SUMIFS(Dati!$B$2:$B$451,Dati!$A$2:$A$451,$H52,Dati!$H$2:$H$451,$Z52)+SUMIFS(Dati!$I$2:$I$451,Dati!$H$2:$H$451,$H52,Dati!$A$2:$A$451,$Z52),"-")</f>
        <v/>
      </c>
      <c r="AM52" s="22">
        <f>IF(AND($H52&lt;&gt;"",$AA52&lt;&gt;"",$H52&lt;&gt;$AA52,IFERROR(VLOOKUP($H52,areaCercaPuntiClassificaSquadra,3,FALSE),-1)=IFERROR(VLOOKUP($AA52,areaCercaPuntiClassificaSquadra,3,FALSE),-2)),SUMIFS(Dati!$B$2:$B$451,Dati!$A$2:$A$451,$H52,Dati!$H$2:$H$451,$AA52)+SUMIFS(Dati!$I$2:$I$451,Dati!$H$2:$H$451,$H52,Dati!$A$2:$A$451,$AA52),"-")</f>
        <v/>
      </c>
      <c r="AN52" s="22">
        <f>IF(AND($H52&lt;&gt;"",$AB52&lt;&gt;"",$H52&lt;&gt;$AB52,IFERROR(VLOOKUP($H52,areaCercaPuntiClassificaSquadra,3,FALSE),-1)=IFERROR(VLOOKUP($AB52,areaCercaPuntiClassificaSquadra,3,FALSE),-2)),SUMIFS(Dati!$B$2:$B$451,Dati!$A$2:$A$451,$H52,Dati!$H$2:$H$451,$AB52)+SUMIFS(Dati!$I$2:$I$451,Dati!$H$2:$H$451,$H52,Dati!$A$2:$A$451,$AB52),"-")</f>
        <v/>
      </c>
      <c r="AO52" s="22">
        <f>IF(AND($H52&lt;&gt;"",$AC52&lt;&gt;"",$H52&lt;&gt;$AC52,IFERROR(VLOOKUP($H52,areaCercaPuntiClassificaSquadra,3,FALSE),-1)=IFERROR(VLOOKUP($AC52,areaCercaPuntiClassificaSquadra,3,FALSE),-2)),SUMIFS(Dati!$B$2:$B$451,Dati!$A$2:$A$451,$H52,Dati!$H$2:$H$451,$AC52)+SUMIFS(Dati!$I$2:$I$451,Dati!$H$2:$H$451,$H52,Dati!$A$2:$A$451,$AC52),"-")</f>
        <v/>
      </c>
      <c r="AP52" s="22">
        <f>IF(AND($H52&lt;&gt;"",$AD52&lt;&gt;"",$H52&lt;&gt;$AD52,IFERROR(VLOOKUP($H52,areaCercaPuntiClassificaSquadra,3,FALSE),-1)=IFERROR(VLOOKUP($AD52,areaCercaPuntiClassificaSquadra,3,FALSE),-2)),SUMIFS(Dati!$B$2:$B$451,Dati!$A$2:$A$451,$H52,Dati!$H$2:$H$451,$AD52)+SUMIFS(Dati!$I$2:$I$451,Dati!$H$2:$H$451,$H52,Dati!$A$2:$A$451,$AD52),"-")</f>
        <v/>
      </c>
      <c r="AQ52" s="22">
        <f>IF(AND($H52&lt;&gt;"",$AE52&lt;&gt;"",$H52&lt;&gt;$AE52,IFERROR(VLOOKUP($H52,areaCercaPuntiClassificaSquadra,3,FALSE),-1)=IFERROR(VLOOKUP($AE52,areaCercaPuntiClassificaSquadra,3,FALSE),-2)),SUMIFS(Dati!$B$2:$B$451,Dati!$A$2:$A$451,$H52,Dati!$H$2:$H$451,$AE52)+SUMIFS(Dati!$I$2:$I$451,Dati!$H$2:$H$451,$H52,Dati!$A$2:$A$451,$AE52),"-")</f>
        <v/>
      </c>
      <c r="AR52" s="22">
        <f>IF(AND($H52&lt;&gt;"",$AF52&lt;&gt;"",$H52&lt;&gt;$AF52,IFERROR(VLOOKUP($H52,areaCercaPuntiClassificaSquadra,3,FALSE),-1)=IFERROR(VLOOKUP($AF52,areaCercaPuntiClassificaSquadra,3,FALSE),-2)),SUMIFS(Dati!$B$2:$B$451,Dati!$A$2:$A$451,$H52,Dati!$H$2:$H$451,$AF52)+SUMIFS(Dati!$I$2:$I$451,Dati!$H$2:$H$451,$H52,Dati!$A$2:$A$451,$AF52),"-")</f>
        <v/>
      </c>
      <c r="AS52" s="22">
        <f>IF(AND($H52&lt;&gt;"",$AG52&lt;&gt;"",$H52&lt;&gt;$AG52,IFERROR(VLOOKUP($H52,areaCercaPuntiClassificaSquadra,3,FALSE),-1)=IFERROR(VLOOKUP($AG52,areaCercaPuntiClassificaSquadra,3,FALSE),-2)),SUMIFS(Dati!$B$2:$B$451,Dati!$A$2:$A$451,$H52,Dati!$H$2:$H$451,$AG52)+SUMIFS(Dati!$I$2:$I$451,Dati!$H$2:$H$451,$H52,Dati!$A$2:$A$451,$AG52),"-")</f>
        <v/>
      </c>
      <c r="AT52" s="22">
        <f>IF(AND($H52&lt;&gt;"",$AH52&lt;&gt;"",$H52&lt;&gt;$AH52,IFERROR(VLOOKUP($H52,areaCercaPuntiClassificaSquadra,3,FALSE),-1)=IFERROR(VLOOKUP($AH52,areaCercaPuntiClassificaSquadra,3,FALSE),-2)),SUMIFS(Dati!$B$2:$B$451,Dati!$A$2:$A$451,$H52,Dati!$H$2:$H$451,$AH52)+SUMIFS(Dati!$I$2:$I$451,Dati!$H$2:$H$451,$H52,Dati!$A$2:$A$451,$AH52),"-")</f>
        <v/>
      </c>
      <c r="AV52" s="21">
        <f>$C52</f>
        <v/>
      </c>
      <c r="AW52" s="22">
        <f>IF(AND($H52&lt;&gt;"",$Y52&lt;&gt;"",$H52&lt;&gt;$Y52,IFERROR(VLOOKUP($H52,areaCercaPuntiClassificaSquadra,3,FALSE),-1)=IFERROR(VLOOKUP($Y52,areaCercaPuntiClassificaSquadra,3,FALSE),-2)),SUMIFS(Dati!$D$2:$D$451,Dati!$A$2:$A$451,$H52,Dati!$H$2:$H$451,$Y52)+SUMIFS(Dati!$K$2:$K$451,Dati!$H$2:$H$451,$H52,Dati!$A$2:$A$451,$Y52)+SUMIFS(Dati!$C$2:$C$451,Dati!$A$2:$A$451,$H52,Dati!$H$2:$H$451,$Y52)+SUMIFS(Dati!$J$2:$J$451,Dati!$H$2:$H$451,$H52,Dati!$A$2:$A$451,$Y52),"-")</f>
        <v/>
      </c>
      <c r="AX52" s="22">
        <f>IF(AND($H52&lt;&gt;"",$Z52&lt;&gt;"",$H52&lt;&gt;$Z52,IFERROR(VLOOKUP($H52,areaCercaPuntiClassificaSquadra,3,FALSE),-1)=IFERROR(VLOOKUP($Z52,areaCercaPuntiClassificaSquadra,3,FALSE),-2)),SUMIFS(Dati!$D$2:$D$451,Dati!$A$2:$A$451,$H52,Dati!$H$2:$H$451,$Z52)+SUMIFS(Dati!$K$2:$K$451,Dati!$H$2:$H$451,$H52,Dati!$A$2:$A$451,$Z52)+SUMIFS(Dati!$C$2:$C$451,Dati!$A$2:$A$451,$H52,Dati!$H$2:$H$451,$Z52)+SUMIFS(Dati!$J$2:$J$451,Dati!$H$2:$H$451,$H52,Dati!$A$2:$A$451,$Z52),"-")</f>
        <v/>
      </c>
      <c r="AY52" s="22">
        <f>IF(AND($H52&lt;&gt;"",$AA52&lt;&gt;"",$H52&lt;&gt;$AA52,IFERROR(VLOOKUP($H52,areaCercaPuntiClassificaSquadra,3,FALSE),-1)=IFERROR(VLOOKUP($AA52,areaCercaPuntiClassificaSquadra,3,FALSE),-2)),SUMIFS(Dati!$D$2:$D$451,Dati!$A$2:$A$451,$H52,Dati!$H$2:$H$451,$AA52)+SUMIFS(Dati!$K$2:$K$451,Dati!$H$2:$H$451,$H52,Dati!$A$2:$A$451,$AA52)+SUMIFS(Dati!$C$2:$C$451,Dati!$A$2:$A$451,$H52,Dati!$H$2:$H$451,$AA52)+SUMIFS(Dati!$J$2:$J$451,Dati!$H$2:$H$451,$H52,Dati!$A$2:$A$451,$AA52),"-")</f>
        <v/>
      </c>
      <c r="AZ52" s="22">
        <f>IF(AND($H52&lt;&gt;"",$AB52&lt;&gt;"",$H52&lt;&gt;$AB52,IFERROR(VLOOKUP($H52,areaCercaPuntiClassificaSquadra,3,FALSE),-1)=IFERROR(VLOOKUP($AB52,areaCercaPuntiClassificaSquadra,3,FALSE),-2)),SUMIFS(Dati!$D$2:$D$451,Dati!$A$2:$A$451,$H52,Dati!$H$2:$H$451,$AB52)+SUMIFS(Dati!$K$2:$K$451,Dati!$H$2:$H$451,$H52,Dati!$A$2:$A$451,$AB52)+SUMIFS(Dati!$C$2:$C$451,Dati!$A$2:$A$451,$H52,Dati!$H$2:$H$451,$AB52)+SUMIFS(Dati!$J$2:$J$451,Dati!$H$2:$H$451,$H52,Dati!$A$2:$A$451,$AB52),"-")</f>
        <v/>
      </c>
      <c r="BA52" s="22">
        <f>IF(AND($H52&lt;&gt;"",$AC52&lt;&gt;"",$H52&lt;&gt;$AC52,IFERROR(VLOOKUP($H52,areaCercaPuntiClassificaSquadra,3,FALSE),-1)=IFERROR(VLOOKUP($AC52,areaCercaPuntiClassificaSquadra,3,FALSE),-2)),SUMIFS(Dati!$D$2:$D$451,Dati!$A$2:$A$451,$H52,Dati!$H$2:$H$451,$AC52)+SUMIFS(Dati!$K$2:$K$451,Dati!$H$2:$H$451,$H52,Dati!$A$2:$A$451,$AC52)+SUMIFS(Dati!$C$2:$C$451,Dati!$A$2:$A$451,$H52,Dati!$H$2:$H$451,$AC52)+SUMIFS(Dati!$J$2:$J$451,Dati!$H$2:$H$451,$H52,Dati!$A$2:$A$451,$AC52),"-")</f>
        <v/>
      </c>
      <c r="BB52" s="22">
        <f>IF(AND($H52&lt;&gt;"",$AD52&lt;&gt;"",$H52&lt;&gt;$AD52,IFERROR(VLOOKUP($H52,areaCercaPuntiClassificaSquadra,3,FALSE),-1)=IFERROR(VLOOKUP($AD52,areaCercaPuntiClassificaSquadra,3,FALSE),-2)),SUMIFS(Dati!$D$2:$D$451,Dati!$A$2:$A$451,$H52,Dati!$H$2:$H$451,$AD52)+SUMIFS(Dati!$K$2:$K$451,Dati!$H$2:$H$451,$H52,Dati!$A$2:$A$451,$AD52)+SUMIFS(Dati!$C$2:$C$451,Dati!$A$2:$A$451,$H52,Dati!$H$2:$H$451,$AD52)+SUMIFS(Dati!$J$2:$J$451,Dati!$H$2:$H$451,$H52,Dati!$A$2:$A$451,$AD52),"-")</f>
        <v/>
      </c>
      <c r="BC52" s="22">
        <f>IF(AND($H52&lt;&gt;"",$AE52&lt;&gt;"",$H52&lt;&gt;$AE52,IFERROR(VLOOKUP($H52,areaCercaPuntiClassificaSquadra,3,FALSE),-1)=IFERROR(VLOOKUP($AE52,areaCercaPuntiClassificaSquadra,3,FALSE),-2)),SUMIFS(Dati!$D$2:$D$451,Dati!$A$2:$A$451,$H52,Dati!$H$2:$H$451,$AE52)+SUMIFS(Dati!$K$2:$K$451,Dati!$H$2:$H$451,$H52,Dati!$A$2:$A$451,$AE52)+SUMIFS(Dati!$C$2:$C$451,Dati!$A$2:$A$451,$H52,Dati!$H$2:$H$451,$AE52)+SUMIFS(Dati!$J$2:$J$451,Dati!$H$2:$H$451,$H52,Dati!$A$2:$A$451,$AE52),"-")</f>
        <v/>
      </c>
      <c r="BD52" s="22">
        <f>IF(AND($H52&lt;&gt;"",$AF52&lt;&gt;"",$H52&lt;&gt;$AF52,IFERROR(VLOOKUP($H52,areaCercaPuntiClassificaSquadra,3,FALSE),-1)=IFERROR(VLOOKUP($AF52,areaCercaPuntiClassificaSquadra,3,FALSE),-2)),SUMIFS(Dati!$D$2:$D$451,Dati!$A$2:$A$451,$H52,Dati!$H$2:$H$451,$AF52)+SUMIFS(Dati!$K$2:$K$451,Dati!$H$2:$H$451,$H52,Dati!$A$2:$A$451,$AF52)+SUMIFS(Dati!$C$2:$C$451,Dati!$A$2:$A$451,$H52,Dati!$H$2:$H$451,$AF52)+SUMIFS(Dati!$J$2:$J$451,Dati!$H$2:$H$451,$H52,Dati!$A$2:$A$451,$AF52),"-")</f>
        <v/>
      </c>
      <c r="BE52" s="22">
        <f>IF(AND($H52&lt;&gt;"",$AG52&lt;&gt;"",$H52&lt;&gt;$AG52,IFERROR(VLOOKUP($H52,areaCercaPuntiClassificaSquadra,3,FALSE),-1)=IFERROR(VLOOKUP($AG52,areaCercaPuntiClassificaSquadra,3,FALSE),-2)),SUMIFS(Dati!$D$2:$D$451,Dati!$A$2:$A$451,$H52,Dati!$H$2:$H$451,$AG52)+SUMIFS(Dati!$K$2:$K$451,Dati!$H$2:$H$451,$H52,Dati!$A$2:$A$451,$AG52)+SUMIFS(Dati!$C$2:$C$451,Dati!$A$2:$A$451,$H52,Dati!$H$2:$H$451,$AG52)+SUMIFS(Dati!$J$2:$J$451,Dati!$H$2:$H$451,$H52,Dati!$A$2:$A$451,$AG52),"-")</f>
        <v/>
      </c>
      <c r="BF52" s="22">
        <f>IF(AND($H52&lt;&gt;"",$AH52&lt;&gt;"",$H52&lt;&gt;$AH52,IFERROR(VLOOKUP($H52,areaCercaPuntiClassificaSquadra,3,FALSE),-1)=IFERROR(VLOOKUP($AH52,areaCercaPuntiClassificaSquadra,3,FALSE),-2)),SUMIFS(Dati!$D$2:$D$451,Dati!$A$2:$A$451,$H52,Dati!$H$2:$H$451,$AH52)+SUMIFS(Dati!$K$2:$K$451,Dati!$H$2:$H$451,$H52,Dati!$A$2:$A$451,$AH52)+SUMIFS(Dati!$C$2:$C$451,Dati!$A$2:$A$451,$H52,Dati!$H$2:$H$451,$AH52)+SUMIFS(Dati!$J$2:$J$451,Dati!$H$2:$H$451,$H52,Dati!$A$2:$A$451,$AH52),"-")</f>
        <v/>
      </c>
      <c r="BH52" s="21">
        <f>$C52</f>
        <v/>
      </c>
      <c r="BI52" s="22">
        <f>IF(AND($H52&lt;&gt;"",$Y52&lt;&gt;"",$H52&lt;&gt;$Y52,IFERROR(VLOOKUP($H52,areaCercaPuntiClassificaSquadra,3,FALSE),-1)=IFERROR(VLOOKUP($Y52,areaCercaPuntiClassificaSquadra,3,FALSE),-2)),SUMIFS(Dati!$E$2:$E$451,Dati!$A$2:$A$451,$H52,Dati!$H$2:$H$451,$Y52)+SUMIFS(Dati!$L$2:$L$451,Dati!$H$2:$H$451,$H52,Dati!$A$2:$A$451,$Y52),"-")</f>
        <v/>
      </c>
      <c r="BJ52" s="22">
        <f>IF(AND($H52&lt;&gt;"",$Z52&lt;&gt;"",$H52&lt;&gt;$Z52,IFERROR(VLOOKUP($H52,areaCercaPuntiClassificaSquadra,3,FALSE),-1)=IFERROR(VLOOKUP($Z52,areaCercaPuntiClassificaSquadra,3,FALSE),-2)),SUMIFS(Dati!$E$2:$E$451,Dati!$A$2:$A$451,$H52,Dati!$H$2:$H$451,$Z52)+SUMIFS(Dati!$L$2:$L$451,Dati!$H$2:$H$451,$H52,Dati!$A$2:$A$451,$Z52),"-")</f>
        <v/>
      </c>
      <c r="BK52" s="22">
        <f>IF(AND($H52&lt;&gt;"",$AA52&lt;&gt;"",$H52&lt;&gt;$AA52,IFERROR(VLOOKUP($H52,areaCercaPuntiClassificaSquadra,3,FALSE),-1)=IFERROR(VLOOKUP($AA52,areaCercaPuntiClassificaSquadra,3,FALSE),-2)),SUMIFS(Dati!$E$2:$E$451,Dati!$A$2:$A$451,$H52,Dati!$H$2:$H$451,$AA52)+SUMIFS(Dati!$L$2:$L$451,Dati!$H$2:$H$451,$H52,Dati!$A$2:$A$451,$AA52),"-")</f>
        <v/>
      </c>
      <c r="BL52" s="22">
        <f>IF(AND($H52&lt;&gt;"",$AB52&lt;&gt;"",$H52&lt;&gt;$AB52,IFERROR(VLOOKUP($H52,areaCercaPuntiClassificaSquadra,3,FALSE),-1)=IFERROR(VLOOKUP($AB52,areaCercaPuntiClassificaSquadra,3,FALSE),-2)),SUMIFS(Dati!$E$2:$E$451,Dati!$A$2:$A$451,$H52,Dati!$H$2:$H$451,$AB52)+SUMIFS(Dati!$L$2:$L$451,Dati!$H$2:$H$451,$H52,Dati!$A$2:$A$451,$AB52),"-")</f>
        <v/>
      </c>
      <c r="BM52" s="22">
        <f>IF(AND($H52&lt;&gt;"",$AC52&lt;&gt;"",$H52&lt;&gt;$AC52,IFERROR(VLOOKUP($H52,areaCercaPuntiClassificaSquadra,3,FALSE),-1)=IFERROR(VLOOKUP($AC52,areaCercaPuntiClassificaSquadra,3,FALSE),-2)),SUMIFS(Dati!$E$2:$E$451,Dati!$A$2:$A$451,$H52,Dati!$H$2:$H$451,$AC52)+SUMIFS(Dati!$L$2:$L$451,Dati!$H$2:$H$451,$H52,Dati!$A$2:$A$451,$AC52),"-")</f>
        <v/>
      </c>
      <c r="BN52" s="22">
        <f>IF(AND($H52&lt;&gt;"",$AD52&lt;&gt;"",$H52&lt;&gt;$AD52,IFERROR(VLOOKUP($H52,areaCercaPuntiClassificaSquadra,3,FALSE),-1)=IFERROR(VLOOKUP($AD52,areaCercaPuntiClassificaSquadra,3,FALSE),-2)),SUMIFS(Dati!$E$2:$E$451,Dati!$A$2:$A$451,$H52,Dati!$H$2:$H$451,$AD52)+SUMIFS(Dati!$L$2:$L$451,Dati!$H$2:$H$451,$H52,Dati!$A$2:$A$451,$AD52),"-")</f>
        <v/>
      </c>
      <c r="BO52" s="22">
        <f>IF(AND($H52&lt;&gt;"",$AE52&lt;&gt;"",$H52&lt;&gt;$AE52,IFERROR(VLOOKUP($H52,areaCercaPuntiClassificaSquadra,3,FALSE),-1)=IFERROR(VLOOKUP($AE52,areaCercaPuntiClassificaSquadra,3,FALSE),-2)),SUMIFS(Dati!$E$2:$E$451,Dati!$A$2:$A$451,$H52,Dati!$H$2:$H$451,$AE52)+SUMIFS(Dati!$L$2:$L$451,Dati!$H$2:$H$451,$H52,Dati!$A$2:$A$451,$AE52),"-")</f>
        <v/>
      </c>
      <c r="BP52" s="22">
        <f>IF(AND($H52&lt;&gt;"",$AF52&lt;&gt;"",$H52&lt;&gt;$AF52,IFERROR(VLOOKUP($H52,areaCercaPuntiClassificaSquadra,3,FALSE),-1)=IFERROR(VLOOKUP($AF52,areaCercaPuntiClassificaSquadra,3,FALSE),-2)),SUMIFS(Dati!$E$2:$E$451,Dati!$A$2:$A$451,$H52,Dati!$H$2:$H$451,$AF52)+SUMIFS(Dati!$L$2:$L$451,Dati!$H$2:$H$451,$H52,Dati!$A$2:$A$451,$AF52),"-")</f>
        <v/>
      </c>
      <c r="BQ52" s="22">
        <f>IF(AND($H52&lt;&gt;"",$AG52&lt;&gt;"",$H52&lt;&gt;$AG52,IFERROR(VLOOKUP($H52,areaCercaPuntiClassificaSquadra,3,FALSE),-1)=IFERROR(VLOOKUP($AG52,areaCercaPuntiClassificaSquadra,3,FALSE),-2)),SUMIFS(Dati!$E$2:$E$451,Dati!$A$2:$A$451,$H52,Dati!$H$2:$H$451,$AG52)+SUMIFS(Dati!$L$2:$L$451,Dati!$H$2:$H$451,$H52,Dati!$A$2:$A$451,$AG52),"-")</f>
        <v/>
      </c>
      <c r="BR52" s="22">
        <f>IF(AND($H52&lt;&gt;"",$AH52&lt;&gt;"",$H52&lt;&gt;$AH52,IFERROR(VLOOKUP($H52,areaCercaPuntiClassificaSquadra,3,FALSE),-1)=IFERROR(VLOOKUP($AH52,areaCercaPuntiClassificaSquadra,3,FALSE),-2)),SUMIFS(Dati!$E$2:$E$451,Dati!$A$2:$A$451,$H52,Dati!$H$2:$H$451,$AH52)+SUMIFS(Dati!$L$2:$L$451,Dati!$H$2:$H$451,$H52,Dati!$A$2:$A$451,$AH52),"-")</f>
        <v/>
      </c>
      <c r="BT52" s="21">
        <f>$C52</f>
        <v/>
      </c>
      <c r="BU52" s="22">
        <f>IF(AND($H52&lt;&gt;"",$Y52&lt;&gt;"",$H52&lt;&gt;$Y52,IFERROR(VLOOKUP($H52,areaCercaPuntiClassificaSquadra,3,FALSE),-1)=IFERROR(VLOOKUP($Y52,areaCercaPuntiClassificaSquadra,3,FALSE),-2)),SUMIFS(Dati!$F$2:$F$451,Dati!$A$2:$A$451,$H52,Dati!$H$2:$H$451,$Y52)+SUMIFS(Dati!$M$2:$M$451,Dati!$H$2:$H$451,$H52,Dati!$A$2:$A$451,$Y52),"-")</f>
        <v/>
      </c>
      <c r="BV52" s="22">
        <f>IF(AND($H52&lt;&gt;"",$Z52&lt;&gt;"",$H52&lt;&gt;$Z52,IFERROR(VLOOKUP($H52,areaCercaPuntiClassificaSquadra,3,FALSE),-1)=IFERROR(VLOOKUP($Z52,areaCercaPuntiClassificaSquadra,3,FALSE),-2)),SUMIFS(Dati!$F$2:$F$451,Dati!$A$2:$A$451,$H52,Dati!$H$2:$H$451,$Z52)+SUMIFS(Dati!$M$2:$M$451,Dati!$H$2:$H$451,$H52,Dati!$A$2:$A$451,$Z52),"-")</f>
        <v/>
      </c>
      <c r="BW52" s="22">
        <f>IF(AND($H52&lt;&gt;"",$AA52&lt;&gt;"",$H52&lt;&gt;$AA52,IFERROR(VLOOKUP($H52,areaCercaPuntiClassificaSquadra,3,FALSE),-1)=IFERROR(VLOOKUP($AA52,areaCercaPuntiClassificaSquadra,3,FALSE),-2)),SUMIFS(Dati!$F$2:$F$451,Dati!$A$2:$A$451,$H52,Dati!$H$2:$H$451,$AA52)+SUMIFS(Dati!$M$2:$M$451,Dati!$H$2:$H$451,$H52,Dati!$A$2:$A$451,$AA52),"-")</f>
        <v/>
      </c>
      <c r="BX52" s="22">
        <f>IF(AND($H52&lt;&gt;"",$AB52&lt;&gt;"",$H52&lt;&gt;$AB52,IFERROR(VLOOKUP($H52,areaCercaPuntiClassificaSquadra,3,FALSE),-1)=IFERROR(VLOOKUP($AB52,areaCercaPuntiClassificaSquadra,3,FALSE),-2)),SUMIFS(Dati!$F$2:$F$451,Dati!$A$2:$A$451,$H52,Dati!$H$2:$H$451,$AB52)+SUMIFS(Dati!$M$2:$M$451,Dati!$H$2:$H$451,$H52,Dati!$A$2:$A$451,$AB52),"-")</f>
        <v/>
      </c>
      <c r="BY52" s="22">
        <f>IF(AND($H52&lt;&gt;"",$AC52&lt;&gt;"",$H52&lt;&gt;$AC52,IFERROR(VLOOKUP($H52,areaCercaPuntiClassificaSquadra,3,FALSE),-1)=IFERROR(VLOOKUP($AC52,areaCercaPuntiClassificaSquadra,3,FALSE),-2)),SUMIFS(Dati!$F$2:$F$451,Dati!$A$2:$A$451,$H52,Dati!$H$2:$H$451,$AC52)+SUMIFS(Dati!$M$2:$M$451,Dati!$H$2:$H$451,$H52,Dati!$A$2:$A$451,$AC52),"-")</f>
        <v/>
      </c>
      <c r="BZ52" s="22">
        <f>IF(AND($H52&lt;&gt;"",$AD52&lt;&gt;"",$H52&lt;&gt;$AD52,IFERROR(VLOOKUP($H52,areaCercaPuntiClassificaSquadra,3,FALSE),-1)=IFERROR(VLOOKUP($AD52,areaCercaPuntiClassificaSquadra,3,FALSE),-2)),SUMIFS(Dati!$F$2:$F$451,Dati!$A$2:$A$451,$H52,Dati!$H$2:$H$451,$AD52)+SUMIFS(Dati!$M$2:$M$451,Dati!$H$2:$H$451,$H52,Dati!$A$2:$A$451,$AD52),"-")</f>
        <v/>
      </c>
      <c r="CA52" s="22">
        <f>IF(AND($H52&lt;&gt;"",$AE52&lt;&gt;"",$H52&lt;&gt;$AE52,IFERROR(VLOOKUP($H52,areaCercaPuntiClassificaSquadra,3,FALSE),-1)=IFERROR(VLOOKUP($AE52,areaCercaPuntiClassificaSquadra,3,FALSE),-2)),SUMIFS(Dati!$F$2:$F$451,Dati!$A$2:$A$451,$H52,Dati!$H$2:$H$451,$AE52)+SUMIFS(Dati!$M$2:$M$451,Dati!$H$2:$H$451,$H52,Dati!$A$2:$A$451,$AE52),"-")</f>
        <v/>
      </c>
      <c r="CB52" s="22">
        <f>IF(AND($H52&lt;&gt;"",$AF52&lt;&gt;"",$H52&lt;&gt;$AF52,IFERROR(VLOOKUP($H52,areaCercaPuntiClassificaSquadra,3,FALSE),-1)=IFERROR(VLOOKUP($AF52,areaCercaPuntiClassificaSquadra,3,FALSE),-2)),SUMIFS(Dati!$F$2:$F$451,Dati!$A$2:$A$451,$H52,Dati!$H$2:$H$451,$AF52)+SUMIFS(Dati!$M$2:$M$451,Dati!$H$2:$H$451,$H52,Dati!$A$2:$A$451,$AF52),"-")</f>
        <v/>
      </c>
      <c r="CC52" s="22">
        <f>IF(AND($H52&lt;&gt;"",$AG52&lt;&gt;"",$H52&lt;&gt;$AG52,IFERROR(VLOOKUP($H52,areaCercaPuntiClassificaSquadra,3,FALSE),-1)=IFERROR(VLOOKUP($AG52,areaCercaPuntiClassificaSquadra,3,FALSE),-2)),SUMIFS(Dati!$F$2:$F$451,Dati!$A$2:$A$451,$H52,Dati!$H$2:$H$451,$AG52)+SUMIFS(Dati!$M$2:$M$451,Dati!$H$2:$H$451,$H52,Dati!$A$2:$A$451,$AG52),"-")</f>
        <v/>
      </c>
      <c r="CD52" s="22">
        <f>IF(AND($H52&lt;&gt;"",$AH52&lt;&gt;"",$H52&lt;&gt;$AH52,IFERROR(VLOOKUP($H52,areaCercaPuntiClassificaSquadra,3,FALSE),-1)=IFERROR(VLOOKUP($AH52,areaCercaPuntiClassificaSquadra,3,FALSE),-2)),SUMIFS(Dati!$F$2:$F$451,Dati!$A$2:$A$451,$H52,Dati!$H$2:$H$451,$AH52)+SUMIFS(Dati!$M$2:$M$451,Dati!$H$2:$H$451,$H52,Dati!$A$2:$A$451,$AH52),"-")</f>
        <v/>
      </c>
      <c r="CF52" s="22">
        <f>IF($C52="","",SUM(AK52:AT52))</f>
        <v/>
      </c>
    </row>
    <row r="53">
      <c r="B53" s="12" t="inlineStr">
        <is>
          <t>D10</t>
        </is>
      </c>
      <c r="C53" s="13" t="n"/>
      <c r="D53" s="14" t="n"/>
      <c r="E53" s="27" t="inlineStr">
        <is>
          <t>D</t>
        </is>
      </c>
      <c r="G53" s="28">
        <f>IF($C53="","",$E53&amp;(COUNTIFS(I$14:I$113,"&gt;"&amp;I53,E$14:E$113,"="&amp;E53,C$14:C$113,"&lt;&gt;")+COUNTIFS(I$14:I$113,"="&amp;I53,H$14:H$113,"&lt;="&amp;H53,E$14:E$113,"="&amp;E53,C$14:C$113,"&lt;&gt;")))</f>
        <v/>
      </c>
      <c r="H53" s="17">
        <f>IF($C53="","",IFERROR(LEFT($C53,FIND("-",$C53)-1),$C53))</f>
        <v/>
      </c>
      <c r="I53" s="12">
        <f>TEXT(1000000000+J53,"|0000000000|")&amp;TEXT(SUM(AK53:AT53),"0000000000|")&amp;IF(SUM(BU53:CD53)=0,"0000000000|",TEXT(ROUND(SUM(BI53:BR53)/SUM(BU53:CD53),4)*100000,"0000000000|"))&amp;IF(P53=0,"0000000000|",TEXT(ROUND(O53/P53,4)*100000,"0000000000|"))</f>
        <v/>
      </c>
      <c r="J53" s="28">
        <f>L53*constPuntiVittoria+M53*constPuntiSconfitta+N53*constPuntiForfait+IF(D53="",0,D53)</f>
        <v/>
      </c>
      <c r="K53" s="12">
        <f>SUM(L53:N53)</f>
        <v/>
      </c>
      <c r="L53" s="12">
        <f>IF($H53="",0,SUMIF(Dati!$A$2:$A$451,$H53,Dati!$B$2:$B$451)+SUMIF(Dati!$H$2:$H$451,$H53,Dati!$I$2:$I$451))</f>
        <v/>
      </c>
      <c r="M53" s="12">
        <f>IF($H53="",0,SUMIF(Dati!$A$2:$A$451,$H53,Dati!$D$2:$D$451)+SUMIF(Dati!$H$2:$H$451,$H53,Dati!$K$2:$K$451))</f>
        <v/>
      </c>
      <c r="N53" s="12">
        <f>IF($H53="",0,SUMIF(Dati!$A$2:$A$451,$H53,Dati!$C$2:$C$451)+SUMIF(Dati!$H$2:$H$451,$H53,Dati!$J$2:$J$451))</f>
        <v/>
      </c>
      <c r="O53" s="12">
        <f>IF($H53="",0,SUMIF(Dati!$A$2:$A$451,$H53,Dati!$E$2:$E$451)+SUMIF(Dati!$H$2:$H$451,$H53,Dati!$L$2:$L$451))</f>
        <v/>
      </c>
      <c r="P53" s="12">
        <f>IF($H53="",0,SUMIF(Dati!$A$2:$A$451,$H53,Dati!$F$2:$F$451)+SUMIF(Dati!$H$2:$H$451,$H53,Dati!$M$2:$M$451))</f>
        <v/>
      </c>
      <c r="Q53" s="12">
        <f>IF($H53="",0,SUMIF(Dati!$A$2:$A$451,$H53,Dati!$G$2:$G$451)+SUMIF(Dati!$H$2:$H$451,$H53,Dati!$N$2:$N$451))</f>
        <v/>
      </c>
      <c r="R53" s="12">
        <f>IF(K53=0,0,ROUND(O53/K53,2))</f>
        <v/>
      </c>
      <c r="S53" s="12">
        <f>IF(K53=0,0,ROUND(P53/K53,2))</f>
        <v/>
      </c>
      <c r="T53" s="12">
        <f>IF(K53=0,0,ROUND(Q53/K53,2))</f>
        <v/>
      </c>
      <c r="U53" s="12">
        <f>IF(COUNTIFS($E$14:$E$113,$E53,$J$14:$J$113,$J53,$C$14:$C$113,"&lt;&gt;")&lt;=1,"-",SUM(AK53:AT53)&amp;"-"&amp;SUM(AW53:BF53))</f>
        <v/>
      </c>
      <c r="V53" s="18">
        <f>IF(COUNTIFS($E$14:$E$113,$E53,$J$14:$J$113,$J53,$C$14:$C$113,"&lt;&gt;",$CF$14:$CF$113,$CF53)&lt;=1,"-",IF(SUM(BU53:CD53)=0,0,ROUND(SUM(BI53:BR53)/SUM(BU53:CD53),3)))</f>
        <v/>
      </c>
      <c r="W53" s="18">
        <f>IF(COUNTIFS($E$14:$E$113,$E53,$J$14:$J$113,$J53,$C$14:$C$113,"&lt;&gt;",$CF$14:$CF$113,$CF53,$V$14:$V$113,$V53)&lt;=1,"-",IF(P53=0,0,ROUND(O53/P53,3)))</f>
        <v/>
      </c>
      <c r="X53" s="19">
        <f>IF($C53="","",$E53&amp;"#"&amp;COUNTIFS($E$14:$E53,$E53,$C$14:$C53,"&lt;&gt;"))</f>
        <v/>
      </c>
      <c r="Y53" s="20">
        <f>IFERROR(INDEX($H$14:$H$113,MATCH($E53&amp;"#1",$X$14:$X$113,0)),"")</f>
        <v/>
      </c>
      <c r="Z53" s="20">
        <f>IFERROR(INDEX($H$14:$H$113,MATCH($E53&amp;"#2",$X$14:$X$113,0)),"")</f>
        <v/>
      </c>
      <c r="AA53" s="20">
        <f>IFERROR(INDEX($H$14:$H$113,MATCH($E53&amp;"#3",$X$14:$X$113,0)),"")</f>
        <v/>
      </c>
      <c r="AB53" s="20">
        <f>IFERROR(INDEX($H$14:$H$113,MATCH($E53&amp;"#4",$X$14:$X$113,0)),"")</f>
        <v/>
      </c>
      <c r="AC53" s="20">
        <f>IFERROR(INDEX($H$14:$H$113,MATCH($E53&amp;"#5",$X$14:$X$113,0)),"")</f>
        <v/>
      </c>
      <c r="AD53" s="20">
        <f>IFERROR(INDEX($H$14:$H$113,MATCH($E53&amp;"#6",$X$14:$X$113,0)),"")</f>
        <v/>
      </c>
      <c r="AE53" s="20">
        <f>IFERROR(INDEX($H$14:$H$113,MATCH($E53&amp;"#7",$X$14:$X$113,0)),"")</f>
        <v/>
      </c>
      <c r="AF53" s="20">
        <f>IFERROR(INDEX($H$14:$H$113,MATCH($E53&amp;"#8",$X$14:$X$113,0)),"")</f>
        <v/>
      </c>
      <c r="AG53" s="20">
        <f>IFERROR(INDEX($H$14:$H$113,MATCH($E53&amp;"#9",$X$14:$X$113,0)),"")</f>
        <v/>
      </c>
      <c r="AH53" s="20">
        <f>IFERROR(INDEX($H$14:$H$113,MATCH($E53&amp;"#10",$X$14:$X$113,0)),"")</f>
        <v/>
      </c>
      <c r="AJ53" s="21">
        <f>$C53</f>
        <v/>
      </c>
      <c r="AK53" s="22">
        <f>IF(AND($H53&lt;&gt;"",$Y53&lt;&gt;"",$H53&lt;&gt;$Y53,IFERROR(VLOOKUP($H53,areaCercaPuntiClassificaSquadra,3,FALSE),-1)=IFERROR(VLOOKUP($Y53,areaCercaPuntiClassificaSquadra,3,FALSE),-2)),SUMIFS(Dati!$B$2:$B$451,Dati!$A$2:$A$451,$H53,Dati!$H$2:$H$451,$Y53)+SUMIFS(Dati!$I$2:$I$451,Dati!$H$2:$H$451,$H53,Dati!$A$2:$A$451,$Y53),"-")</f>
        <v/>
      </c>
      <c r="AL53" s="22">
        <f>IF(AND($H53&lt;&gt;"",$Z53&lt;&gt;"",$H53&lt;&gt;$Z53,IFERROR(VLOOKUP($H53,areaCercaPuntiClassificaSquadra,3,FALSE),-1)=IFERROR(VLOOKUP($Z53,areaCercaPuntiClassificaSquadra,3,FALSE),-2)),SUMIFS(Dati!$B$2:$B$451,Dati!$A$2:$A$451,$H53,Dati!$H$2:$H$451,$Z53)+SUMIFS(Dati!$I$2:$I$451,Dati!$H$2:$H$451,$H53,Dati!$A$2:$A$451,$Z53),"-")</f>
        <v/>
      </c>
      <c r="AM53" s="22">
        <f>IF(AND($H53&lt;&gt;"",$AA53&lt;&gt;"",$H53&lt;&gt;$AA53,IFERROR(VLOOKUP($H53,areaCercaPuntiClassificaSquadra,3,FALSE),-1)=IFERROR(VLOOKUP($AA53,areaCercaPuntiClassificaSquadra,3,FALSE),-2)),SUMIFS(Dati!$B$2:$B$451,Dati!$A$2:$A$451,$H53,Dati!$H$2:$H$451,$AA53)+SUMIFS(Dati!$I$2:$I$451,Dati!$H$2:$H$451,$H53,Dati!$A$2:$A$451,$AA53),"-")</f>
        <v/>
      </c>
      <c r="AN53" s="22">
        <f>IF(AND($H53&lt;&gt;"",$AB53&lt;&gt;"",$H53&lt;&gt;$AB53,IFERROR(VLOOKUP($H53,areaCercaPuntiClassificaSquadra,3,FALSE),-1)=IFERROR(VLOOKUP($AB53,areaCercaPuntiClassificaSquadra,3,FALSE),-2)),SUMIFS(Dati!$B$2:$B$451,Dati!$A$2:$A$451,$H53,Dati!$H$2:$H$451,$AB53)+SUMIFS(Dati!$I$2:$I$451,Dati!$H$2:$H$451,$H53,Dati!$A$2:$A$451,$AB53),"-")</f>
        <v/>
      </c>
      <c r="AO53" s="22">
        <f>IF(AND($H53&lt;&gt;"",$AC53&lt;&gt;"",$H53&lt;&gt;$AC53,IFERROR(VLOOKUP($H53,areaCercaPuntiClassificaSquadra,3,FALSE),-1)=IFERROR(VLOOKUP($AC53,areaCercaPuntiClassificaSquadra,3,FALSE),-2)),SUMIFS(Dati!$B$2:$B$451,Dati!$A$2:$A$451,$H53,Dati!$H$2:$H$451,$AC53)+SUMIFS(Dati!$I$2:$I$451,Dati!$H$2:$H$451,$H53,Dati!$A$2:$A$451,$AC53),"-")</f>
        <v/>
      </c>
      <c r="AP53" s="22">
        <f>IF(AND($H53&lt;&gt;"",$AD53&lt;&gt;"",$H53&lt;&gt;$AD53,IFERROR(VLOOKUP($H53,areaCercaPuntiClassificaSquadra,3,FALSE),-1)=IFERROR(VLOOKUP($AD53,areaCercaPuntiClassificaSquadra,3,FALSE),-2)),SUMIFS(Dati!$B$2:$B$451,Dati!$A$2:$A$451,$H53,Dati!$H$2:$H$451,$AD53)+SUMIFS(Dati!$I$2:$I$451,Dati!$H$2:$H$451,$H53,Dati!$A$2:$A$451,$AD53),"-")</f>
        <v/>
      </c>
      <c r="AQ53" s="22">
        <f>IF(AND($H53&lt;&gt;"",$AE53&lt;&gt;"",$H53&lt;&gt;$AE53,IFERROR(VLOOKUP($H53,areaCercaPuntiClassificaSquadra,3,FALSE),-1)=IFERROR(VLOOKUP($AE53,areaCercaPuntiClassificaSquadra,3,FALSE),-2)),SUMIFS(Dati!$B$2:$B$451,Dati!$A$2:$A$451,$H53,Dati!$H$2:$H$451,$AE53)+SUMIFS(Dati!$I$2:$I$451,Dati!$H$2:$H$451,$H53,Dati!$A$2:$A$451,$AE53),"-")</f>
        <v/>
      </c>
      <c r="AR53" s="22">
        <f>IF(AND($H53&lt;&gt;"",$AF53&lt;&gt;"",$H53&lt;&gt;$AF53,IFERROR(VLOOKUP($H53,areaCercaPuntiClassificaSquadra,3,FALSE),-1)=IFERROR(VLOOKUP($AF53,areaCercaPuntiClassificaSquadra,3,FALSE),-2)),SUMIFS(Dati!$B$2:$B$451,Dati!$A$2:$A$451,$H53,Dati!$H$2:$H$451,$AF53)+SUMIFS(Dati!$I$2:$I$451,Dati!$H$2:$H$451,$H53,Dati!$A$2:$A$451,$AF53),"-")</f>
        <v/>
      </c>
      <c r="AS53" s="22">
        <f>IF(AND($H53&lt;&gt;"",$AG53&lt;&gt;"",$H53&lt;&gt;$AG53,IFERROR(VLOOKUP($H53,areaCercaPuntiClassificaSquadra,3,FALSE),-1)=IFERROR(VLOOKUP($AG53,areaCercaPuntiClassificaSquadra,3,FALSE),-2)),SUMIFS(Dati!$B$2:$B$451,Dati!$A$2:$A$451,$H53,Dati!$H$2:$H$451,$AG53)+SUMIFS(Dati!$I$2:$I$451,Dati!$H$2:$H$451,$H53,Dati!$A$2:$A$451,$AG53),"-")</f>
        <v/>
      </c>
      <c r="AT53" s="22">
        <f>IF(AND($H53&lt;&gt;"",$AH53&lt;&gt;"",$H53&lt;&gt;$AH53,IFERROR(VLOOKUP($H53,areaCercaPuntiClassificaSquadra,3,FALSE),-1)=IFERROR(VLOOKUP($AH53,areaCercaPuntiClassificaSquadra,3,FALSE),-2)),SUMIFS(Dati!$B$2:$B$451,Dati!$A$2:$A$451,$H53,Dati!$H$2:$H$451,$AH53)+SUMIFS(Dati!$I$2:$I$451,Dati!$H$2:$H$451,$H53,Dati!$A$2:$A$451,$AH53),"-")</f>
        <v/>
      </c>
      <c r="AV53" s="21">
        <f>$C53</f>
        <v/>
      </c>
      <c r="AW53" s="22">
        <f>IF(AND($H53&lt;&gt;"",$Y53&lt;&gt;"",$H53&lt;&gt;$Y53,IFERROR(VLOOKUP($H53,areaCercaPuntiClassificaSquadra,3,FALSE),-1)=IFERROR(VLOOKUP($Y53,areaCercaPuntiClassificaSquadra,3,FALSE),-2)),SUMIFS(Dati!$D$2:$D$451,Dati!$A$2:$A$451,$H53,Dati!$H$2:$H$451,$Y53)+SUMIFS(Dati!$K$2:$K$451,Dati!$H$2:$H$451,$H53,Dati!$A$2:$A$451,$Y53)+SUMIFS(Dati!$C$2:$C$451,Dati!$A$2:$A$451,$H53,Dati!$H$2:$H$451,$Y53)+SUMIFS(Dati!$J$2:$J$451,Dati!$H$2:$H$451,$H53,Dati!$A$2:$A$451,$Y53),"-")</f>
        <v/>
      </c>
      <c r="AX53" s="22">
        <f>IF(AND($H53&lt;&gt;"",$Z53&lt;&gt;"",$H53&lt;&gt;$Z53,IFERROR(VLOOKUP($H53,areaCercaPuntiClassificaSquadra,3,FALSE),-1)=IFERROR(VLOOKUP($Z53,areaCercaPuntiClassificaSquadra,3,FALSE),-2)),SUMIFS(Dati!$D$2:$D$451,Dati!$A$2:$A$451,$H53,Dati!$H$2:$H$451,$Z53)+SUMIFS(Dati!$K$2:$K$451,Dati!$H$2:$H$451,$H53,Dati!$A$2:$A$451,$Z53)+SUMIFS(Dati!$C$2:$C$451,Dati!$A$2:$A$451,$H53,Dati!$H$2:$H$451,$Z53)+SUMIFS(Dati!$J$2:$J$451,Dati!$H$2:$H$451,$H53,Dati!$A$2:$A$451,$Z53),"-")</f>
        <v/>
      </c>
      <c r="AY53" s="22">
        <f>IF(AND($H53&lt;&gt;"",$AA53&lt;&gt;"",$H53&lt;&gt;$AA53,IFERROR(VLOOKUP($H53,areaCercaPuntiClassificaSquadra,3,FALSE),-1)=IFERROR(VLOOKUP($AA53,areaCercaPuntiClassificaSquadra,3,FALSE),-2)),SUMIFS(Dati!$D$2:$D$451,Dati!$A$2:$A$451,$H53,Dati!$H$2:$H$451,$AA53)+SUMIFS(Dati!$K$2:$K$451,Dati!$H$2:$H$451,$H53,Dati!$A$2:$A$451,$AA53)+SUMIFS(Dati!$C$2:$C$451,Dati!$A$2:$A$451,$H53,Dati!$H$2:$H$451,$AA53)+SUMIFS(Dati!$J$2:$J$451,Dati!$H$2:$H$451,$H53,Dati!$A$2:$A$451,$AA53),"-")</f>
        <v/>
      </c>
      <c r="AZ53" s="22">
        <f>IF(AND($H53&lt;&gt;"",$AB53&lt;&gt;"",$H53&lt;&gt;$AB53,IFERROR(VLOOKUP($H53,areaCercaPuntiClassificaSquadra,3,FALSE),-1)=IFERROR(VLOOKUP($AB53,areaCercaPuntiClassificaSquadra,3,FALSE),-2)),SUMIFS(Dati!$D$2:$D$451,Dati!$A$2:$A$451,$H53,Dati!$H$2:$H$451,$AB53)+SUMIFS(Dati!$K$2:$K$451,Dati!$H$2:$H$451,$H53,Dati!$A$2:$A$451,$AB53)+SUMIFS(Dati!$C$2:$C$451,Dati!$A$2:$A$451,$H53,Dati!$H$2:$H$451,$AB53)+SUMIFS(Dati!$J$2:$J$451,Dati!$H$2:$H$451,$H53,Dati!$A$2:$A$451,$AB53),"-")</f>
        <v/>
      </c>
      <c r="BA53" s="22">
        <f>IF(AND($H53&lt;&gt;"",$AC53&lt;&gt;"",$H53&lt;&gt;$AC53,IFERROR(VLOOKUP($H53,areaCercaPuntiClassificaSquadra,3,FALSE),-1)=IFERROR(VLOOKUP($AC53,areaCercaPuntiClassificaSquadra,3,FALSE),-2)),SUMIFS(Dati!$D$2:$D$451,Dati!$A$2:$A$451,$H53,Dati!$H$2:$H$451,$AC53)+SUMIFS(Dati!$K$2:$K$451,Dati!$H$2:$H$451,$H53,Dati!$A$2:$A$451,$AC53)+SUMIFS(Dati!$C$2:$C$451,Dati!$A$2:$A$451,$H53,Dati!$H$2:$H$451,$AC53)+SUMIFS(Dati!$J$2:$J$451,Dati!$H$2:$H$451,$H53,Dati!$A$2:$A$451,$AC53),"-")</f>
        <v/>
      </c>
      <c r="BB53" s="22">
        <f>IF(AND($H53&lt;&gt;"",$AD53&lt;&gt;"",$H53&lt;&gt;$AD53,IFERROR(VLOOKUP($H53,areaCercaPuntiClassificaSquadra,3,FALSE),-1)=IFERROR(VLOOKUP($AD53,areaCercaPuntiClassificaSquadra,3,FALSE),-2)),SUMIFS(Dati!$D$2:$D$451,Dati!$A$2:$A$451,$H53,Dati!$H$2:$H$451,$AD53)+SUMIFS(Dati!$K$2:$K$451,Dati!$H$2:$H$451,$H53,Dati!$A$2:$A$451,$AD53)+SUMIFS(Dati!$C$2:$C$451,Dati!$A$2:$A$451,$H53,Dati!$H$2:$H$451,$AD53)+SUMIFS(Dati!$J$2:$J$451,Dati!$H$2:$H$451,$H53,Dati!$A$2:$A$451,$AD53),"-")</f>
        <v/>
      </c>
      <c r="BC53" s="22">
        <f>IF(AND($H53&lt;&gt;"",$AE53&lt;&gt;"",$H53&lt;&gt;$AE53,IFERROR(VLOOKUP($H53,areaCercaPuntiClassificaSquadra,3,FALSE),-1)=IFERROR(VLOOKUP($AE53,areaCercaPuntiClassificaSquadra,3,FALSE),-2)),SUMIFS(Dati!$D$2:$D$451,Dati!$A$2:$A$451,$H53,Dati!$H$2:$H$451,$AE53)+SUMIFS(Dati!$K$2:$K$451,Dati!$H$2:$H$451,$H53,Dati!$A$2:$A$451,$AE53)+SUMIFS(Dati!$C$2:$C$451,Dati!$A$2:$A$451,$H53,Dati!$H$2:$H$451,$AE53)+SUMIFS(Dati!$J$2:$J$451,Dati!$H$2:$H$451,$H53,Dati!$A$2:$A$451,$AE53),"-")</f>
        <v/>
      </c>
      <c r="BD53" s="22">
        <f>IF(AND($H53&lt;&gt;"",$AF53&lt;&gt;"",$H53&lt;&gt;$AF53,IFERROR(VLOOKUP($H53,areaCercaPuntiClassificaSquadra,3,FALSE),-1)=IFERROR(VLOOKUP($AF53,areaCercaPuntiClassificaSquadra,3,FALSE),-2)),SUMIFS(Dati!$D$2:$D$451,Dati!$A$2:$A$451,$H53,Dati!$H$2:$H$451,$AF53)+SUMIFS(Dati!$K$2:$K$451,Dati!$H$2:$H$451,$H53,Dati!$A$2:$A$451,$AF53)+SUMIFS(Dati!$C$2:$C$451,Dati!$A$2:$A$451,$H53,Dati!$H$2:$H$451,$AF53)+SUMIFS(Dati!$J$2:$J$451,Dati!$H$2:$H$451,$H53,Dati!$A$2:$A$451,$AF53),"-")</f>
        <v/>
      </c>
      <c r="BE53" s="22">
        <f>IF(AND($H53&lt;&gt;"",$AG53&lt;&gt;"",$H53&lt;&gt;$AG53,IFERROR(VLOOKUP($H53,areaCercaPuntiClassificaSquadra,3,FALSE),-1)=IFERROR(VLOOKUP($AG53,areaCercaPuntiClassificaSquadra,3,FALSE),-2)),SUMIFS(Dati!$D$2:$D$451,Dati!$A$2:$A$451,$H53,Dati!$H$2:$H$451,$AG53)+SUMIFS(Dati!$K$2:$K$451,Dati!$H$2:$H$451,$H53,Dati!$A$2:$A$451,$AG53)+SUMIFS(Dati!$C$2:$C$451,Dati!$A$2:$A$451,$H53,Dati!$H$2:$H$451,$AG53)+SUMIFS(Dati!$J$2:$J$451,Dati!$H$2:$H$451,$H53,Dati!$A$2:$A$451,$AG53),"-")</f>
        <v/>
      </c>
      <c r="BF53" s="22">
        <f>IF(AND($H53&lt;&gt;"",$AH53&lt;&gt;"",$H53&lt;&gt;$AH53,IFERROR(VLOOKUP($H53,areaCercaPuntiClassificaSquadra,3,FALSE),-1)=IFERROR(VLOOKUP($AH53,areaCercaPuntiClassificaSquadra,3,FALSE),-2)),SUMIFS(Dati!$D$2:$D$451,Dati!$A$2:$A$451,$H53,Dati!$H$2:$H$451,$AH53)+SUMIFS(Dati!$K$2:$K$451,Dati!$H$2:$H$451,$H53,Dati!$A$2:$A$451,$AH53)+SUMIFS(Dati!$C$2:$C$451,Dati!$A$2:$A$451,$H53,Dati!$H$2:$H$451,$AH53)+SUMIFS(Dati!$J$2:$J$451,Dati!$H$2:$H$451,$H53,Dati!$A$2:$A$451,$AH53),"-")</f>
        <v/>
      </c>
      <c r="BH53" s="21">
        <f>$C53</f>
        <v/>
      </c>
      <c r="BI53" s="22">
        <f>IF(AND($H53&lt;&gt;"",$Y53&lt;&gt;"",$H53&lt;&gt;$Y53,IFERROR(VLOOKUP($H53,areaCercaPuntiClassificaSquadra,3,FALSE),-1)=IFERROR(VLOOKUP($Y53,areaCercaPuntiClassificaSquadra,3,FALSE),-2)),SUMIFS(Dati!$E$2:$E$451,Dati!$A$2:$A$451,$H53,Dati!$H$2:$H$451,$Y53)+SUMIFS(Dati!$L$2:$L$451,Dati!$H$2:$H$451,$H53,Dati!$A$2:$A$451,$Y53),"-")</f>
        <v/>
      </c>
      <c r="BJ53" s="22">
        <f>IF(AND($H53&lt;&gt;"",$Z53&lt;&gt;"",$H53&lt;&gt;$Z53,IFERROR(VLOOKUP($H53,areaCercaPuntiClassificaSquadra,3,FALSE),-1)=IFERROR(VLOOKUP($Z53,areaCercaPuntiClassificaSquadra,3,FALSE),-2)),SUMIFS(Dati!$E$2:$E$451,Dati!$A$2:$A$451,$H53,Dati!$H$2:$H$451,$Z53)+SUMIFS(Dati!$L$2:$L$451,Dati!$H$2:$H$451,$H53,Dati!$A$2:$A$451,$Z53),"-")</f>
        <v/>
      </c>
      <c r="BK53" s="22">
        <f>IF(AND($H53&lt;&gt;"",$AA53&lt;&gt;"",$H53&lt;&gt;$AA53,IFERROR(VLOOKUP($H53,areaCercaPuntiClassificaSquadra,3,FALSE),-1)=IFERROR(VLOOKUP($AA53,areaCercaPuntiClassificaSquadra,3,FALSE),-2)),SUMIFS(Dati!$E$2:$E$451,Dati!$A$2:$A$451,$H53,Dati!$H$2:$H$451,$AA53)+SUMIFS(Dati!$L$2:$L$451,Dati!$H$2:$H$451,$H53,Dati!$A$2:$A$451,$AA53),"-")</f>
        <v/>
      </c>
      <c r="BL53" s="22">
        <f>IF(AND($H53&lt;&gt;"",$AB53&lt;&gt;"",$H53&lt;&gt;$AB53,IFERROR(VLOOKUP($H53,areaCercaPuntiClassificaSquadra,3,FALSE),-1)=IFERROR(VLOOKUP($AB53,areaCercaPuntiClassificaSquadra,3,FALSE),-2)),SUMIFS(Dati!$E$2:$E$451,Dati!$A$2:$A$451,$H53,Dati!$H$2:$H$451,$AB53)+SUMIFS(Dati!$L$2:$L$451,Dati!$H$2:$H$451,$H53,Dati!$A$2:$A$451,$AB53),"-")</f>
        <v/>
      </c>
      <c r="BM53" s="22">
        <f>IF(AND($H53&lt;&gt;"",$AC53&lt;&gt;"",$H53&lt;&gt;$AC53,IFERROR(VLOOKUP($H53,areaCercaPuntiClassificaSquadra,3,FALSE),-1)=IFERROR(VLOOKUP($AC53,areaCercaPuntiClassificaSquadra,3,FALSE),-2)),SUMIFS(Dati!$E$2:$E$451,Dati!$A$2:$A$451,$H53,Dati!$H$2:$H$451,$AC53)+SUMIFS(Dati!$L$2:$L$451,Dati!$H$2:$H$451,$H53,Dati!$A$2:$A$451,$AC53),"-")</f>
        <v/>
      </c>
      <c r="BN53" s="22">
        <f>IF(AND($H53&lt;&gt;"",$AD53&lt;&gt;"",$H53&lt;&gt;$AD53,IFERROR(VLOOKUP($H53,areaCercaPuntiClassificaSquadra,3,FALSE),-1)=IFERROR(VLOOKUP($AD53,areaCercaPuntiClassificaSquadra,3,FALSE),-2)),SUMIFS(Dati!$E$2:$E$451,Dati!$A$2:$A$451,$H53,Dati!$H$2:$H$451,$AD53)+SUMIFS(Dati!$L$2:$L$451,Dati!$H$2:$H$451,$H53,Dati!$A$2:$A$451,$AD53),"-")</f>
        <v/>
      </c>
      <c r="BO53" s="22">
        <f>IF(AND($H53&lt;&gt;"",$AE53&lt;&gt;"",$H53&lt;&gt;$AE53,IFERROR(VLOOKUP($H53,areaCercaPuntiClassificaSquadra,3,FALSE),-1)=IFERROR(VLOOKUP($AE53,areaCercaPuntiClassificaSquadra,3,FALSE),-2)),SUMIFS(Dati!$E$2:$E$451,Dati!$A$2:$A$451,$H53,Dati!$H$2:$H$451,$AE53)+SUMIFS(Dati!$L$2:$L$451,Dati!$H$2:$H$451,$H53,Dati!$A$2:$A$451,$AE53),"-")</f>
        <v/>
      </c>
      <c r="BP53" s="22">
        <f>IF(AND($H53&lt;&gt;"",$AF53&lt;&gt;"",$H53&lt;&gt;$AF53,IFERROR(VLOOKUP($H53,areaCercaPuntiClassificaSquadra,3,FALSE),-1)=IFERROR(VLOOKUP($AF53,areaCercaPuntiClassificaSquadra,3,FALSE),-2)),SUMIFS(Dati!$E$2:$E$451,Dati!$A$2:$A$451,$H53,Dati!$H$2:$H$451,$AF53)+SUMIFS(Dati!$L$2:$L$451,Dati!$H$2:$H$451,$H53,Dati!$A$2:$A$451,$AF53),"-")</f>
        <v/>
      </c>
      <c r="BQ53" s="22">
        <f>IF(AND($H53&lt;&gt;"",$AG53&lt;&gt;"",$H53&lt;&gt;$AG53,IFERROR(VLOOKUP($H53,areaCercaPuntiClassificaSquadra,3,FALSE),-1)=IFERROR(VLOOKUP($AG53,areaCercaPuntiClassificaSquadra,3,FALSE),-2)),SUMIFS(Dati!$E$2:$E$451,Dati!$A$2:$A$451,$H53,Dati!$H$2:$H$451,$AG53)+SUMIFS(Dati!$L$2:$L$451,Dati!$H$2:$H$451,$H53,Dati!$A$2:$A$451,$AG53),"-")</f>
        <v/>
      </c>
      <c r="BR53" s="22">
        <f>IF(AND($H53&lt;&gt;"",$AH53&lt;&gt;"",$H53&lt;&gt;$AH53,IFERROR(VLOOKUP($H53,areaCercaPuntiClassificaSquadra,3,FALSE),-1)=IFERROR(VLOOKUP($AH53,areaCercaPuntiClassificaSquadra,3,FALSE),-2)),SUMIFS(Dati!$E$2:$E$451,Dati!$A$2:$A$451,$H53,Dati!$H$2:$H$451,$AH53)+SUMIFS(Dati!$L$2:$L$451,Dati!$H$2:$H$451,$H53,Dati!$A$2:$A$451,$AH53),"-")</f>
        <v/>
      </c>
      <c r="BT53" s="21">
        <f>$C53</f>
        <v/>
      </c>
      <c r="BU53" s="22">
        <f>IF(AND($H53&lt;&gt;"",$Y53&lt;&gt;"",$H53&lt;&gt;$Y53,IFERROR(VLOOKUP($H53,areaCercaPuntiClassificaSquadra,3,FALSE),-1)=IFERROR(VLOOKUP($Y53,areaCercaPuntiClassificaSquadra,3,FALSE),-2)),SUMIFS(Dati!$F$2:$F$451,Dati!$A$2:$A$451,$H53,Dati!$H$2:$H$451,$Y53)+SUMIFS(Dati!$M$2:$M$451,Dati!$H$2:$H$451,$H53,Dati!$A$2:$A$451,$Y53),"-")</f>
        <v/>
      </c>
      <c r="BV53" s="22">
        <f>IF(AND($H53&lt;&gt;"",$Z53&lt;&gt;"",$H53&lt;&gt;$Z53,IFERROR(VLOOKUP($H53,areaCercaPuntiClassificaSquadra,3,FALSE),-1)=IFERROR(VLOOKUP($Z53,areaCercaPuntiClassificaSquadra,3,FALSE),-2)),SUMIFS(Dati!$F$2:$F$451,Dati!$A$2:$A$451,$H53,Dati!$H$2:$H$451,$Z53)+SUMIFS(Dati!$M$2:$M$451,Dati!$H$2:$H$451,$H53,Dati!$A$2:$A$451,$Z53),"-")</f>
        <v/>
      </c>
      <c r="BW53" s="22">
        <f>IF(AND($H53&lt;&gt;"",$AA53&lt;&gt;"",$H53&lt;&gt;$AA53,IFERROR(VLOOKUP($H53,areaCercaPuntiClassificaSquadra,3,FALSE),-1)=IFERROR(VLOOKUP($AA53,areaCercaPuntiClassificaSquadra,3,FALSE),-2)),SUMIFS(Dati!$F$2:$F$451,Dati!$A$2:$A$451,$H53,Dati!$H$2:$H$451,$AA53)+SUMIFS(Dati!$M$2:$M$451,Dati!$H$2:$H$451,$H53,Dati!$A$2:$A$451,$AA53),"-")</f>
        <v/>
      </c>
      <c r="BX53" s="22">
        <f>IF(AND($H53&lt;&gt;"",$AB53&lt;&gt;"",$H53&lt;&gt;$AB53,IFERROR(VLOOKUP($H53,areaCercaPuntiClassificaSquadra,3,FALSE),-1)=IFERROR(VLOOKUP($AB53,areaCercaPuntiClassificaSquadra,3,FALSE),-2)),SUMIFS(Dati!$F$2:$F$451,Dati!$A$2:$A$451,$H53,Dati!$H$2:$H$451,$AB53)+SUMIFS(Dati!$M$2:$M$451,Dati!$H$2:$H$451,$H53,Dati!$A$2:$A$451,$AB53),"-")</f>
        <v/>
      </c>
      <c r="BY53" s="22">
        <f>IF(AND($H53&lt;&gt;"",$AC53&lt;&gt;"",$H53&lt;&gt;$AC53,IFERROR(VLOOKUP($H53,areaCercaPuntiClassificaSquadra,3,FALSE),-1)=IFERROR(VLOOKUP($AC53,areaCercaPuntiClassificaSquadra,3,FALSE),-2)),SUMIFS(Dati!$F$2:$F$451,Dati!$A$2:$A$451,$H53,Dati!$H$2:$H$451,$AC53)+SUMIFS(Dati!$M$2:$M$451,Dati!$H$2:$H$451,$H53,Dati!$A$2:$A$451,$AC53),"-")</f>
        <v/>
      </c>
      <c r="BZ53" s="22">
        <f>IF(AND($H53&lt;&gt;"",$AD53&lt;&gt;"",$H53&lt;&gt;$AD53,IFERROR(VLOOKUP($H53,areaCercaPuntiClassificaSquadra,3,FALSE),-1)=IFERROR(VLOOKUP($AD53,areaCercaPuntiClassificaSquadra,3,FALSE),-2)),SUMIFS(Dati!$F$2:$F$451,Dati!$A$2:$A$451,$H53,Dati!$H$2:$H$451,$AD53)+SUMIFS(Dati!$M$2:$M$451,Dati!$H$2:$H$451,$H53,Dati!$A$2:$A$451,$AD53),"-")</f>
        <v/>
      </c>
      <c r="CA53" s="22">
        <f>IF(AND($H53&lt;&gt;"",$AE53&lt;&gt;"",$H53&lt;&gt;$AE53,IFERROR(VLOOKUP($H53,areaCercaPuntiClassificaSquadra,3,FALSE),-1)=IFERROR(VLOOKUP($AE53,areaCercaPuntiClassificaSquadra,3,FALSE),-2)),SUMIFS(Dati!$F$2:$F$451,Dati!$A$2:$A$451,$H53,Dati!$H$2:$H$451,$AE53)+SUMIFS(Dati!$M$2:$M$451,Dati!$H$2:$H$451,$H53,Dati!$A$2:$A$451,$AE53),"-")</f>
        <v/>
      </c>
      <c r="CB53" s="22">
        <f>IF(AND($H53&lt;&gt;"",$AF53&lt;&gt;"",$H53&lt;&gt;$AF53,IFERROR(VLOOKUP($H53,areaCercaPuntiClassificaSquadra,3,FALSE),-1)=IFERROR(VLOOKUP($AF53,areaCercaPuntiClassificaSquadra,3,FALSE),-2)),SUMIFS(Dati!$F$2:$F$451,Dati!$A$2:$A$451,$H53,Dati!$H$2:$H$451,$AF53)+SUMIFS(Dati!$M$2:$M$451,Dati!$H$2:$H$451,$H53,Dati!$A$2:$A$451,$AF53),"-")</f>
        <v/>
      </c>
      <c r="CC53" s="22">
        <f>IF(AND($H53&lt;&gt;"",$AG53&lt;&gt;"",$H53&lt;&gt;$AG53,IFERROR(VLOOKUP($H53,areaCercaPuntiClassificaSquadra,3,FALSE),-1)=IFERROR(VLOOKUP($AG53,areaCercaPuntiClassificaSquadra,3,FALSE),-2)),SUMIFS(Dati!$F$2:$F$451,Dati!$A$2:$A$451,$H53,Dati!$H$2:$H$451,$AG53)+SUMIFS(Dati!$M$2:$M$451,Dati!$H$2:$H$451,$H53,Dati!$A$2:$A$451,$AG53),"-")</f>
        <v/>
      </c>
      <c r="CD53" s="22">
        <f>IF(AND($H53&lt;&gt;"",$AH53&lt;&gt;"",$H53&lt;&gt;$AH53,IFERROR(VLOOKUP($H53,areaCercaPuntiClassificaSquadra,3,FALSE),-1)=IFERROR(VLOOKUP($AH53,areaCercaPuntiClassificaSquadra,3,FALSE),-2)),SUMIFS(Dati!$F$2:$F$451,Dati!$A$2:$A$451,$H53,Dati!$H$2:$H$451,$AH53)+SUMIFS(Dati!$M$2:$M$451,Dati!$H$2:$H$451,$H53,Dati!$A$2:$A$451,$AH53),"-")</f>
        <v/>
      </c>
      <c r="CF53" s="22">
        <f>IF($C53="","",SUM(AK53:AT53))</f>
        <v/>
      </c>
    </row>
    <row r="54">
      <c r="B54" s="12" t="inlineStr">
        <is>
          <t>E01</t>
        </is>
      </c>
      <c r="C54" s="13" t="n"/>
      <c r="D54" s="14" t="n"/>
      <c r="E54" s="29" t="inlineStr">
        <is>
          <t>E</t>
        </is>
      </c>
      <c r="G54" s="30">
        <f>IF($C54="","",$E54&amp;(COUNTIFS(I$14:I$113,"&gt;"&amp;I54,E$14:E$113,"="&amp;E54,C$14:C$113,"&lt;&gt;")+COUNTIFS(I$14:I$113,"="&amp;I54,H$14:H$113,"&lt;="&amp;H54,E$14:E$113,"="&amp;E54,C$14:C$113,"&lt;&gt;")))</f>
        <v/>
      </c>
      <c r="H54" s="17">
        <f>IF($C54="","",IFERROR(LEFT($C54,FIND("-",$C54)-1),$C54))</f>
        <v/>
      </c>
      <c r="I54" s="12">
        <f>TEXT(1000000000+J54,"|0000000000|")&amp;TEXT(SUM(AK54:AT54),"0000000000|")&amp;IF(SUM(BU54:CD54)=0,"0000000000|",TEXT(ROUND(SUM(BI54:BR54)/SUM(BU54:CD54),4)*100000,"0000000000|"))&amp;IF(P54=0,"0000000000|",TEXT(ROUND(O54/P54,4)*100000,"0000000000|"))</f>
        <v/>
      </c>
      <c r="J54" s="30">
        <f>L54*constPuntiVittoria+M54*constPuntiSconfitta+N54*constPuntiForfait+IF(D54="",0,D54)</f>
        <v/>
      </c>
      <c r="K54" s="12">
        <f>SUM(L54:N54)</f>
        <v/>
      </c>
      <c r="L54" s="12">
        <f>IF($H54="",0,SUMIF(Dati!$A$2:$A$451,$H54,Dati!$B$2:$B$451)+SUMIF(Dati!$H$2:$H$451,$H54,Dati!$I$2:$I$451))</f>
        <v/>
      </c>
      <c r="M54" s="12">
        <f>IF($H54="",0,SUMIF(Dati!$A$2:$A$451,$H54,Dati!$D$2:$D$451)+SUMIF(Dati!$H$2:$H$451,$H54,Dati!$K$2:$K$451))</f>
        <v/>
      </c>
      <c r="N54" s="12">
        <f>IF($H54="",0,SUMIF(Dati!$A$2:$A$451,$H54,Dati!$C$2:$C$451)+SUMIF(Dati!$H$2:$H$451,$H54,Dati!$J$2:$J$451))</f>
        <v/>
      </c>
      <c r="O54" s="12">
        <f>IF($H54="",0,SUMIF(Dati!$A$2:$A$451,$H54,Dati!$E$2:$E$451)+SUMIF(Dati!$H$2:$H$451,$H54,Dati!$L$2:$L$451))</f>
        <v/>
      </c>
      <c r="P54" s="12">
        <f>IF($H54="",0,SUMIF(Dati!$A$2:$A$451,$H54,Dati!$F$2:$F$451)+SUMIF(Dati!$H$2:$H$451,$H54,Dati!$M$2:$M$451))</f>
        <v/>
      </c>
      <c r="Q54" s="12">
        <f>IF($H54="",0,SUMIF(Dati!$A$2:$A$451,$H54,Dati!$G$2:$G$451)+SUMIF(Dati!$H$2:$H$451,$H54,Dati!$N$2:$N$451))</f>
        <v/>
      </c>
      <c r="R54" s="12">
        <f>IF(K54=0,0,ROUND(O54/K54,2))</f>
        <v/>
      </c>
      <c r="S54" s="12">
        <f>IF(K54=0,0,ROUND(P54/K54,2))</f>
        <v/>
      </c>
      <c r="T54" s="12">
        <f>IF(K54=0,0,ROUND(Q54/K54,2))</f>
        <v/>
      </c>
      <c r="U54" s="12">
        <f>IF(COUNTIFS($E$14:$E$113,$E54,$J$14:$J$113,$J54,$C$14:$C$113,"&lt;&gt;")&lt;=1,"-",SUM(AK54:AT54)&amp;"-"&amp;SUM(AW54:BF54))</f>
        <v/>
      </c>
      <c r="V54" s="18">
        <f>IF(COUNTIFS($E$14:$E$113,$E54,$J$14:$J$113,$J54,$C$14:$C$113,"&lt;&gt;",$CF$14:$CF$113,$CF54)&lt;=1,"-",IF(SUM(BU54:CD54)=0,0,ROUND(SUM(BI54:BR54)/SUM(BU54:CD54),3)))</f>
        <v/>
      </c>
      <c r="W54" s="18">
        <f>IF(COUNTIFS($E$14:$E$113,$E54,$J$14:$J$113,$J54,$C$14:$C$113,"&lt;&gt;",$CF$14:$CF$113,$CF54,$V$14:$V$113,$V54)&lt;=1,"-",IF(P54=0,0,ROUND(O54/P54,3)))</f>
        <v/>
      </c>
      <c r="X54" s="19">
        <f>IF($C54="","",$E54&amp;"#"&amp;COUNTIFS($E$14:$E54,$E54,$C$14:$C54,"&lt;&gt;"))</f>
        <v/>
      </c>
      <c r="Y54" s="20">
        <f>IFERROR(INDEX($H$14:$H$113,MATCH($E54&amp;"#1",$X$14:$X$113,0)),"")</f>
        <v/>
      </c>
      <c r="Z54" s="20">
        <f>IFERROR(INDEX($H$14:$H$113,MATCH($E54&amp;"#2",$X$14:$X$113,0)),"")</f>
        <v/>
      </c>
      <c r="AA54" s="20">
        <f>IFERROR(INDEX($H$14:$H$113,MATCH($E54&amp;"#3",$X$14:$X$113,0)),"")</f>
        <v/>
      </c>
      <c r="AB54" s="20">
        <f>IFERROR(INDEX($H$14:$H$113,MATCH($E54&amp;"#4",$X$14:$X$113,0)),"")</f>
        <v/>
      </c>
      <c r="AC54" s="20">
        <f>IFERROR(INDEX($H$14:$H$113,MATCH($E54&amp;"#5",$X$14:$X$113,0)),"")</f>
        <v/>
      </c>
      <c r="AD54" s="20">
        <f>IFERROR(INDEX($H$14:$H$113,MATCH($E54&amp;"#6",$X$14:$X$113,0)),"")</f>
        <v/>
      </c>
      <c r="AE54" s="20">
        <f>IFERROR(INDEX($H$14:$H$113,MATCH($E54&amp;"#7",$X$14:$X$113,0)),"")</f>
        <v/>
      </c>
      <c r="AF54" s="20">
        <f>IFERROR(INDEX($H$14:$H$113,MATCH($E54&amp;"#8",$X$14:$X$113,0)),"")</f>
        <v/>
      </c>
      <c r="AG54" s="20">
        <f>IFERROR(INDEX($H$14:$H$113,MATCH($E54&amp;"#9",$X$14:$X$113,0)),"")</f>
        <v/>
      </c>
      <c r="AH54" s="20">
        <f>IFERROR(INDEX($H$14:$H$113,MATCH($E54&amp;"#10",$X$14:$X$113,0)),"")</f>
        <v/>
      </c>
      <c r="AJ54" s="21">
        <f>$C54</f>
        <v/>
      </c>
      <c r="AK54" s="22">
        <f>IF(AND($H54&lt;&gt;"",$Y54&lt;&gt;"",$H54&lt;&gt;$Y54,IFERROR(VLOOKUP($H54,areaCercaPuntiClassificaSquadra,3,FALSE),-1)=IFERROR(VLOOKUP($Y54,areaCercaPuntiClassificaSquadra,3,FALSE),-2)),SUMIFS(Dati!$B$2:$B$451,Dati!$A$2:$A$451,$H54,Dati!$H$2:$H$451,$Y54)+SUMIFS(Dati!$I$2:$I$451,Dati!$H$2:$H$451,$H54,Dati!$A$2:$A$451,$Y54),"-")</f>
        <v/>
      </c>
      <c r="AL54" s="22">
        <f>IF(AND($H54&lt;&gt;"",$Z54&lt;&gt;"",$H54&lt;&gt;$Z54,IFERROR(VLOOKUP($H54,areaCercaPuntiClassificaSquadra,3,FALSE),-1)=IFERROR(VLOOKUP($Z54,areaCercaPuntiClassificaSquadra,3,FALSE),-2)),SUMIFS(Dati!$B$2:$B$451,Dati!$A$2:$A$451,$H54,Dati!$H$2:$H$451,$Z54)+SUMIFS(Dati!$I$2:$I$451,Dati!$H$2:$H$451,$H54,Dati!$A$2:$A$451,$Z54),"-")</f>
        <v/>
      </c>
      <c r="AM54" s="22">
        <f>IF(AND($H54&lt;&gt;"",$AA54&lt;&gt;"",$H54&lt;&gt;$AA54,IFERROR(VLOOKUP($H54,areaCercaPuntiClassificaSquadra,3,FALSE),-1)=IFERROR(VLOOKUP($AA54,areaCercaPuntiClassificaSquadra,3,FALSE),-2)),SUMIFS(Dati!$B$2:$B$451,Dati!$A$2:$A$451,$H54,Dati!$H$2:$H$451,$AA54)+SUMIFS(Dati!$I$2:$I$451,Dati!$H$2:$H$451,$H54,Dati!$A$2:$A$451,$AA54),"-")</f>
        <v/>
      </c>
      <c r="AN54" s="22">
        <f>IF(AND($H54&lt;&gt;"",$AB54&lt;&gt;"",$H54&lt;&gt;$AB54,IFERROR(VLOOKUP($H54,areaCercaPuntiClassificaSquadra,3,FALSE),-1)=IFERROR(VLOOKUP($AB54,areaCercaPuntiClassificaSquadra,3,FALSE),-2)),SUMIFS(Dati!$B$2:$B$451,Dati!$A$2:$A$451,$H54,Dati!$H$2:$H$451,$AB54)+SUMIFS(Dati!$I$2:$I$451,Dati!$H$2:$H$451,$H54,Dati!$A$2:$A$451,$AB54),"-")</f>
        <v/>
      </c>
      <c r="AO54" s="22">
        <f>IF(AND($H54&lt;&gt;"",$AC54&lt;&gt;"",$H54&lt;&gt;$AC54,IFERROR(VLOOKUP($H54,areaCercaPuntiClassificaSquadra,3,FALSE),-1)=IFERROR(VLOOKUP($AC54,areaCercaPuntiClassificaSquadra,3,FALSE),-2)),SUMIFS(Dati!$B$2:$B$451,Dati!$A$2:$A$451,$H54,Dati!$H$2:$H$451,$AC54)+SUMIFS(Dati!$I$2:$I$451,Dati!$H$2:$H$451,$H54,Dati!$A$2:$A$451,$AC54),"-")</f>
        <v/>
      </c>
      <c r="AP54" s="22">
        <f>IF(AND($H54&lt;&gt;"",$AD54&lt;&gt;"",$H54&lt;&gt;$AD54,IFERROR(VLOOKUP($H54,areaCercaPuntiClassificaSquadra,3,FALSE),-1)=IFERROR(VLOOKUP($AD54,areaCercaPuntiClassificaSquadra,3,FALSE),-2)),SUMIFS(Dati!$B$2:$B$451,Dati!$A$2:$A$451,$H54,Dati!$H$2:$H$451,$AD54)+SUMIFS(Dati!$I$2:$I$451,Dati!$H$2:$H$451,$H54,Dati!$A$2:$A$451,$AD54),"-")</f>
        <v/>
      </c>
      <c r="AQ54" s="22">
        <f>IF(AND($H54&lt;&gt;"",$AE54&lt;&gt;"",$H54&lt;&gt;$AE54,IFERROR(VLOOKUP($H54,areaCercaPuntiClassificaSquadra,3,FALSE),-1)=IFERROR(VLOOKUP($AE54,areaCercaPuntiClassificaSquadra,3,FALSE),-2)),SUMIFS(Dati!$B$2:$B$451,Dati!$A$2:$A$451,$H54,Dati!$H$2:$H$451,$AE54)+SUMIFS(Dati!$I$2:$I$451,Dati!$H$2:$H$451,$H54,Dati!$A$2:$A$451,$AE54),"-")</f>
        <v/>
      </c>
      <c r="AR54" s="22">
        <f>IF(AND($H54&lt;&gt;"",$AF54&lt;&gt;"",$H54&lt;&gt;$AF54,IFERROR(VLOOKUP($H54,areaCercaPuntiClassificaSquadra,3,FALSE),-1)=IFERROR(VLOOKUP($AF54,areaCercaPuntiClassificaSquadra,3,FALSE),-2)),SUMIFS(Dati!$B$2:$B$451,Dati!$A$2:$A$451,$H54,Dati!$H$2:$H$451,$AF54)+SUMIFS(Dati!$I$2:$I$451,Dati!$H$2:$H$451,$H54,Dati!$A$2:$A$451,$AF54),"-")</f>
        <v/>
      </c>
      <c r="AS54" s="22">
        <f>IF(AND($H54&lt;&gt;"",$AG54&lt;&gt;"",$H54&lt;&gt;$AG54,IFERROR(VLOOKUP($H54,areaCercaPuntiClassificaSquadra,3,FALSE),-1)=IFERROR(VLOOKUP($AG54,areaCercaPuntiClassificaSquadra,3,FALSE),-2)),SUMIFS(Dati!$B$2:$B$451,Dati!$A$2:$A$451,$H54,Dati!$H$2:$H$451,$AG54)+SUMIFS(Dati!$I$2:$I$451,Dati!$H$2:$H$451,$H54,Dati!$A$2:$A$451,$AG54),"-")</f>
        <v/>
      </c>
      <c r="AT54" s="22">
        <f>IF(AND($H54&lt;&gt;"",$AH54&lt;&gt;"",$H54&lt;&gt;$AH54,IFERROR(VLOOKUP($H54,areaCercaPuntiClassificaSquadra,3,FALSE),-1)=IFERROR(VLOOKUP($AH54,areaCercaPuntiClassificaSquadra,3,FALSE),-2)),SUMIFS(Dati!$B$2:$B$451,Dati!$A$2:$A$451,$H54,Dati!$H$2:$H$451,$AH54)+SUMIFS(Dati!$I$2:$I$451,Dati!$H$2:$H$451,$H54,Dati!$A$2:$A$451,$AH54),"-")</f>
        <v/>
      </c>
      <c r="AV54" s="21">
        <f>$C54</f>
        <v/>
      </c>
      <c r="AW54" s="22">
        <f>IF(AND($H54&lt;&gt;"",$Y54&lt;&gt;"",$H54&lt;&gt;$Y54,IFERROR(VLOOKUP($H54,areaCercaPuntiClassificaSquadra,3,FALSE),-1)=IFERROR(VLOOKUP($Y54,areaCercaPuntiClassificaSquadra,3,FALSE),-2)),SUMIFS(Dati!$D$2:$D$451,Dati!$A$2:$A$451,$H54,Dati!$H$2:$H$451,$Y54)+SUMIFS(Dati!$K$2:$K$451,Dati!$H$2:$H$451,$H54,Dati!$A$2:$A$451,$Y54)+SUMIFS(Dati!$C$2:$C$451,Dati!$A$2:$A$451,$H54,Dati!$H$2:$H$451,$Y54)+SUMIFS(Dati!$J$2:$J$451,Dati!$H$2:$H$451,$H54,Dati!$A$2:$A$451,$Y54),"-")</f>
        <v/>
      </c>
      <c r="AX54" s="22">
        <f>IF(AND($H54&lt;&gt;"",$Z54&lt;&gt;"",$H54&lt;&gt;$Z54,IFERROR(VLOOKUP($H54,areaCercaPuntiClassificaSquadra,3,FALSE),-1)=IFERROR(VLOOKUP($Z54,areaCercaPuntiClassificaSquadra,3,FALSE),-2)),SUMIFS(Dati!$D$2:$D$451,Dati!$A$2:$A$451,$H54,Dati!$H$2:$H$451,$Z54)+SUMIFS(Dati!$K$2:$K$451,Dati!$H$2:$H$451,$H54,Dati!$A$2:$A$451,$Z54)+SUMIFS(Dati!$C$2:$C$451,Dati!$A$2:$A$451,$H54,Dati!$H$2:$H$451,$Z54)+SUMIFS(Dati!$J$2:$J$451,Dati!$H$2:$H$451,$H54,Dati!$A$2:$A$451,$Z54),"-")</f>
        <v/>
      </c>
      <c r="AY54" s="22">
        <f>IF(AND($H54&lt;&gt;"",$AA54&lt;&gt;"",$H54&lt;&gt;$AA54,IFERROR(VLOOKUP($H54,areaCercaPuntiClassificaSquadra,3,FALSE),-1)=IFERROR(VLOOKUP($AA54,areaCercaPuntiClassificaSquadra,3,FALSE),-2)),SUMIFS(Dati!$D$2:$D$451,Dati!$A$2:$A$451,$H54,Dati!$H$2:$H$451,$AA54)+SUMIFS(Dati!$K$2:$K$451,Dati!$H$2:$H$451,$H54,Dati!$A$2:$A$451,$AA54)+SUMIFS(Dati!$C$2:$C$451,Dati!$A$2:$A$451,$H54,Dati!$H$2:$H$451,$AA54)+SUMIFS(Dati!$J$2:$J$451,Dati!$H$2:$H$451,$H54,Dati!$A$2:$A$451,$AA54),"-")</f>
        <v/>
      </c>
      <c r="AZ54" s="22">
        <f>IF(AND($H54&lt;&gt;"",$AB54&lt;&gt;"",$H54&lt;&gt;$AB54,IFERROR(VLOOKUP($H54,areaCercaPuntiClassificaSquadra,3,FALSE),-1)=IFERROR(VLOOKUP($AB54,areaCercaPuntiClassificaSquadra,3,FALSE),-2)),SUMIFS(Dati!$D$2:$D$451,Dati!$A$2:$A$451,$H54,Dati!$H$2:$H$451,$AB54)+SUMIFS(Dati!$K$2:$K$451,Dati!$H$2:$H$451,$H54,Dati!$A$2:$A$451,$AB54)+SUMIFS(Dati!$C$2:$C$451,Dati!$A$2:$A$451,$H54,Dati!$H$2:$H$451,$AB54)+SUMIFS(Dati!$J$2:$J$451,Dati!$H$2:$H$451,$H54,Dati!$A$2:$A$451,$AB54),"-")</f>
        <v/>
      </c>
      <c r="BA54" s="22">
        <f>IF(AND($H54&lt;&gt;"",$AC54&lt;&gt;"",$H54&lt;&gt;$AC54,IFERROR(VLOOKUP($H54,areaCercaPuntiClassificaSquadra,3,FALSE),-1)=IFERROR(VLOOKUP($AC54,areaCercaPuntiClassificaSquadra,3,FALSE),-2)),SUMIFS(Dati!$D$2:$D$451,Dati!$A$2:$A$451,$H54,Dati!$H$2:$H$451,$AC54)+SUMIFS(Dati!$K$2:$K$451,Dati!$H$2:$H$451,$H54,Dati!$A$2:$A$451,$AC54)+SUMIFS(Dati!$C$2:$C$451,Dati!$A$2:$A$451,$H54,Dati!$H$2:$H$451,$AC54)+SUMIFS(Dati!$J$2:$J$451,Dati!$H$2:$H$451,$H54,Dati!$A$2:$A$451,$AC54),"-")</f>
        <v/>
      </c>
      <c r="BB54" s="22">
        <f>IF(AND($H54&lt;&gt;"",$AD54&lt;&gt;"",$H54&lt;&gt;$AD54,IFERROR(VLOOKUP($H54,areaCercaPuntiClassificaSquadra,3,FALSE),-1)=IFERROR(VLOOKUP($AD54,areaCercaPuntiClassificaSquadra,3,FALSE),-2)),SUMIFS(Dati!$D$2:$D$451,Dati!$A$2:$A$451,$H54,Dati!$H$2:$H$451,$AD54)+SUMIFS(Dati!$K$2:$K$451,Dati!$H$2:$H$451,$H54,Dati!$A$2:$A$451,$AD54)+SUMIFS(Dati!$C$2:$C$451,Dati!$A$2:$A$451,$H54,Dati!$H$2:$H$451,$AD54)+SUMIFS(Dati!$J$2:$J$451,Dati!$H$2:$H$451,$H54,Dati!$A$2:$A$451,$AD54),"-")</f>
        <v/>
      </c>
      <c r="BC54" s="22">
        <f>IF(AND($H54&lt;&gt;"",$AE54&lt;&gt;"",$H54&lt;&gt;$AE54,IFERROR(VLOOKUP($H54,areaCercaPuntiClassificaSquadra,3,FALSE),-1)=IFERROR(VLOOKUP($AE54,areaCercaPuntiClassificaSquadra,3,FALSE),-2)),SUMIFS(Dati!$D$2:$D$451,Dati!$A$2:$A$451,$H54,Dati!$H$2:$H$451,$AE54)+SUMIFS(Dati!$K$2:$K$451,Dati!$H$2:$H$451,$H54,Dati!$A$2:$A$451,$AE54)+SUMIFS(Dati!$C$2:$C$451,Dati!$A$2:$A$451,$H54,Dati!$H$2:$H$451,$AE54)+SUMIFS(Dati!$J$2:$J$451,Dati!$H$2:$H$451,$H54,Dati!$A$2:$A$451,$AE54),"-")</f>
        <v/>
      </c>
      <c r="BD54" s="22">
        <f>IF(AND($H54&lt;&gt;"",$AF54&lt;&gt;"",$H54&lt;&gt;$AF54,IFERROR(VLOOKUP($H54,areaCercaPuntiClassificaSquadra,3,FALSE),-1)=IFERROR(VLOOKUP($AF54,areaCercaPuntiClassificaSquadra,3,FALSE),-2)),SUMIFS(Dati!$D$2:$D$451,Dati!$A$2:$A$451,$H54,Dati!$H$2:$H$451,$AF54)+SUMIFS(Dati!$K$2:$K$451,Dati!$H$2:$H$451,$H54,Dati!$A$2:$A$451,$AF54)+SUMIFS(Dati!$C$2:$C$451,Dati!$A$2:$A$451,$H54,Dati!$H$2:$H$451,$AF54)+SUMIFS(Dati!$J$2:$J$451,Dati!$H$2:$H$451,$H54,Dati!$A$2:$A$451,$AF54),"-")</f>
        <v/>
      </c>
      <c r="BE54" s="22">
        <f>IF(AND($H54&lt;&gt;"",$AG54&lt;&gt;"",$H54&lt;&gt;$AG54,IFERROR(VLOOKUP($H54,areaCercaPuntiClassificaSquadra,3,FALSE),-1)=IFERROR(VLOOKUP($AG54,areaCercaPuntiClassificaSquadra,3,FALSE),-2)),SUMIFS(Dati!$D$2:$D$451,Dati!$A$2:$A$451,$H54,Dati!$H$2:$H$451,$AG54)+SUMIFS(Dati!$K$2:$K$451,Dati!$H$2:$H$451,$H54,Dati!$A$2:$A$451,$AG54)+SUMIFS(Dati!$C$2:$C$451,Dati!$A$2:$A$451,$H54,Dati!$H$2:$H$451,$AG54)+SUMIFS(Dati!$J$2:$J$451,Dati!$H$2:$H$451,$H54,Dati!$A$2:$A$451,$AG54),"-")</f>
        <v/>
      </c>
      <c r="BF54" s="22">
        <f>IF(AND($H54&lt;&gt;"",$AH54&lt;&gt;"",$H54&lt;&gt;$AH54,IFERROR(VLOOKUP($H54,areaCercaPuntiClassificaSquadra,3,FALSE),-1)=IFERROR(VLOOKUP($AH54,areaCercaPuntiClassificaSquadra,3,FALSE),-2)),SUMIFS(Dati!$D$2:$D$451,Dati!$A$2:$A$451,$H54,Dati!$H$2:$H$451,$AH54)+SUMIFS(Dati!$K$2:$K$451,Dati!$H$2:$H$451,$H54,Dati!$A$2:$A$451,$AH54)+SUMIFS(Dati!$C$2:$C$451,Dati!$A$2:$A$451,$H54,Dati!$H$2:$H$451,$AH54)+SUMIFS(Dati!$J$2:$J$451,Dati!$H$2:$H$451,$H54,Dati!$A$2:$A$451,$AH54),"-")</f>
        <v/>
      </c>
      <c r="BH54" s="21">
        <f>$C54</f>
        <v/>
      </c>
      <c r="BI54" s="22">
        <f>IF(AND($H54&lt;&gt;"",$Y54&lt;&gt;"",$H54&lt;&gt;$Y54,IFERROR(VLOOKUP($H54,areaCercaPuntiClassificaSquadra,3,FALSE),-1)=IFERROR(VLOOKUP($Y54,areaCercaPuntiClassificaSquadra,3,FALSE),-2)),SUMIFS(Dati!$E$2:$E$451,Dati!$A$2:$A$451,$H54,Dati!$H$2:$H$451,$Y54)+SUMIFS(Dati!$L$2:$L$451,Dati!$H$2:$H$451,$H54,Dati!$A$2:$A$451,$Y54),"-")</f>
        <v/>
      </c>
      <c r="BJ54" s="22">
        <f>IF(AND($H54&lt;&gt;"",$Z54&lt;&gt;"",$H54&lt;&gt;$Z54,IFERROR(VLOOKUP($H54,areaCercaPuntiClassificaSquadra,3,FALSE),-1)=IFERROR(VLOOKUP($Z54,areaCercaPuntiClassificaSquadra,3,FALSE),-2)),SUMIFS(Dati!$E$2:$E$451,Dati!$A$2:$A$451,$H54,Dati!$H$2:$H$451,$Z54)+SUMIFS(Dati!$L$2:$L$451,Dati!$H$2:$H$451,$H54,Dati!$A$2:$A$451,$Z54),"-")</f>
        <v/>
      </c>
      <c r="BK54" s="22">
        <f>IF(AND($H54&lt;&gt;"",$AA54&lt;&gt;"",$H54&lt;&gt;$AA54,IFERROR(VLOOKUP($H54,areaCercaPuntiClassificaSquadra,3,FALSE),-1)=IFERROR(VLOOKUP($AA54,areaCercaPuntiClassificaSquadra,3,FALSE),-2)),SUMIFS(Dati!$E$2:$E$451,Dati!$A$2:$A$451,$H54,Dati!$H$2:$H$451,$AA54)+SUMIFS(Dati!$L$2:$L$451,Dati!$H$2:$H$451,$H54,Dati!$A$2:$A$451,$AA54),"-")</f>
        <v/>
      </c>
      <c r="BL54" s="22">
        <f>IF(AND($H54&lt;&gt;"",$AB54&lt;&gt;"",$H54&lt;&gt;$AB54,IFERROR(VLOOKUP($H54,areaCercaPuntiClassificaSquadra,3,FALSE),-1)=IFERROR(VLOOKUP($AB54,areaCercaPuntiClassificaSquadra,3,FALSE),-2)),SUMIFS(Dati!$E$2:$E$451,Dati!$A$2:$A$451,$H54,Dati!$H$2:$H$451,$AB54)+SUMIFS(Dati!$L$2:$L$451,Dati!$H$2:$H$451,$H54,Dati!$A$2:$A$451,$AB54),"-")</f>
        <v/>
      </c>
      <c r="BM54" s="22">
        <f>IF(AND($H54&lt;&gt;"",$AC54&lt;&gt;"",$H54&lt;&gt;$AC54,IFERROR(VLOOKUP($H54,areaCercaPuntiClassificaSquadra,3,FALSE),-1)=IFERROR(VLOOKUP($AC54,areaCercaPuntiClassificaSquadra,3,FALSE),-2)),SUMIFS(Dati!$E$2:$E$451,Dati!$A$2:$A$451,$H54,Dati!$H$2:$H$451,$AC54)+SUMIFS(Dati!$L$2:$L$451,Dati!$H$2:$H$451,$H54,Dati!$A$2:$A$451,$AC54),"-")</f>
        <v/>
      </c>
      <c r="BN54" s="22">
        <f>IF(AND($H54&lt;&gt;"",$AD54&lt;&gt;"",$H54&lt;&gt;$AD54,IFERROR(VLOOKUP($H54,areaCercaPuntiClassificaSquadra,3,FALSE),-1)=IFERROR(VLOOKUP($AD54,areaCercaPuntiClassificaSquadra,3,FALSE),-2)),SUMIFS(Dati!$E$2:$E$451,Dati!$A$2:$A$451,$H54,Dati!$H$2:$H$451,$AD54)+SUMIFS(Dati!$L$2:$L$451,Dati!$H$2:$H$451,$H54,Dati!$A$2:$A$451,$AD54),"-")</f>
        <v/>
      </c>
      <c r="BO54" s="22">
        <f>IF(AND($H54&lt;&gt;"",$AE54&lt;&gt;"",$H54&lt;&gt;$AE54,IFERROR(VLOOKUP($H54,areaCercaPuntiClassificaSquadra,3,FALSE),-1)=IFERROR(VLOOKUP($AE54,areaCercaPuntiClassificaSquadra,3,FALSE),-2)),SUMIFS(Dati!$E$2:$E$451,Dati!$A$2:$A$451,$H54,Dati!$H$2:$H$451,$AE54)+SUMIFS(Dati!$L$2:$L$451,Dati!$H$2:$H$451,$H54,Dati!$A$2:$A$451,$AE54),"-")</f>
        <v/>
      </c>
      <c r="BP54" s="22">
        <f>IF(AND($H54&lt;&gt;"",$AF54&lt;&gt;"",$H54&lt;&gt;$AF54,IFERROR(VLOOKUP($H54,areaCercaPuntiClassificaSquadra,3,FALSE),-1)=IFERROR(VLOOKUP($AF54,areaCercaPuntiClassificaSquadra,3,FALSE),-2)),SUMIFS(Dati!$E$2:$E$451,Dati!$A$2:$A$451,$H54,Dati!$H$2:$H$451,$AF54)+SUMIFS(Dati!$L$2:$L$451,Dati!$H$2:$H$451,$H54,Dati!$A$2:$A$451,$AF54),"-")</f>
        <v/>
      </c>
      <c r="BQ54" s="22">
        <f>IF(AND($H54&lt;&gt;"",$AG54&lt;&gt;"",$H54&lt;&gt;$AG54,IFERROR(VLOOKUP($H54,areaCercaPuntiClassificaSquadra,3,FALSE),-1)=IFERROR(VLOOKUP($AG54,areaCercaPuntiClassificaSquadra,3,FALSE),-2)),SUMIFS(Dati!$E$2:$E$451,Dati!$A$2:$A$451,$H54,Dati!$H$2:$H$451,$AG54)+SUMIFS(Dati!$L$2:$L$451,Dati!$H$2:$H$451,$H54,Dati!$A$2:$A$451,$AG54),"-")</f>
        <v/>
      </c>
      <c r="BR54" s="22">
        <f>IF(AND($H54&lt;&gt;"",$AH54&lt;&gt;"",$H54&lt;&gt;$AH54,IFERROR(VLOOKUP($H54,areaCercaPuntiClassificaSquadra,3,FALSE),-1)=IFERROR(VLOOKUP($AH54,areaCercaPuntiClassificaSquadra,3,FALSE),-2)),SUMIFS(Dati!$E$2:$E$451,Dati!$A$2:$A$451,$H54,Dati!$H$2:$H$451,$AH54)+SUMIFS(Dati!$L$2:$L$451,Dati!$H$2:$H$451,$H54,Dati!$A$2:$A$451,$AH54),"-")</f>
        <v/>
      </c>
      <c r="BT54" s="21">
        <f>$C54</f>
        <v/>
      </c>
      <c r="BU54" s="22">
        <f>IF(AND($H54&lt;&gt;"",$Y54&lt;&gt;"",$H54&lt;&gt;$Y54,IFERROR(VLOOKUP($H54,areaCercaPuntiClassificaSquadra,3,FALSE),-1)=IFERROR(VLOOKUP($Y54,areaCercaPuntiClassificaSquadra,3,FALSE),-2)),SUMIFS(Dati!$F$2:$F$451,Dati!$A$2:$A$451,$H54,Dati!$H$2:$H$451,$Y54)+SUMIFS(Dati!$M$2:$M$451,Dati!$H$2:$H$451,$H54,Dati!$A$2:$A$451,$Y54),"-")</f>
        <v/>
      </c>
      <c r="BV54" s="22">
        <f>IF(AND($H54&lt;&gt;"",$Z54&lt;&gt;"",$H54&lt;&gt;$Z54,IFERROR(VLOOKUP($H54,areaCercaPuntiClassificaSquadra,3,FALSE),-1)=IFERROR(VLOOKUP($Z54,areaCercaPuntiClassificaSquadra,3,FALSE),-2)),SUMIFS(Dati!$F$2:$F$451,Dati!$A$2:$A$451,$H54,Dati!$H$2:$H$451,$Z54)+SUMIFS(Dati!$M$2:$M$451,Dati!$H$2:$H$451,$H54,Dati!$A$2:$A$451,$Z54),"-")</f>
        <v/>
      </c>
      <c r="BW54" s="22">
        <f>IF(AND($H54&lt;&gt;"",$AA54&lt;&gt;"",$H54&lt;&gt;$AA54,IFERROR(VLOOKUP($H54,areaCercaPuntiClassificaSquadra,3,FALSE),-1)=IFERROR(VLOOKUP($AA54,areaCercaPuntiClassificaSquadra,3,FALSE),-2)),SUMIFS(Dati!$F$2:$F$451,Dati!$A$2:$A$451,$H54,Dati!$H$2:$H$451,$AA54)+SUMIFS(Dati!$M$2:$M$451,Dati!$H$2:$H$451,$H54,Dati!$A$2:$A$451,$AA54),"-")</f>
        <v/>
      </c>
      <c r="BX54" s="22">
        <f>IF(AND($H54&lt;&gt;"",$AB54&lt;&gt;"",$H54&lt;&gt;$AB54,IFERROR(VLOOKUP($H54,areaCercaPuntiClassificaSquadra,3,FALSE),-1)=IFERROR(VLOOKUP($AB54,areaCercaPuntiClassificaSquadra,3,FALSE),-2)),SUMIFS(Dati!$F$2:$F$451,Dati!$A$2:$A$451,$H54,Dati!$H$2:$H$451,$AB54)+SUMIFS(Dati!$M$2:$M$451,Dati!$H$2:$H$451,$H54,Dati!$A$2:$A$451,$AB54),"-")</f>
        <v/>
      </c>
      <c r="BY54" s="22">
        <f>IF(AND($H54&lt;&gt;"",$AC54&lt;&gt;"",$H54&lt;&gt;$AC54,IFERROR(VLOOKUP($H54,areaCercaPuntiClassificaSquadra,3,FALSE),-1)=IFERROR(VLOOKUP($AC54,areaCercaPuntiClassificaSquadra,3,FALSE),-2)),SUMIFS(Dati!$F$2:$F$451,Dati!$A$2:$A$451,$H54,Dati!$H$2:$H$451,$AC54)+SUMIFS(Dati!$M$2:$M$451,Dati!$H$2:$H$451,$H54,Dati!$A$2:$A$451,$AC54),"-")</f>
        <v/>
      </c>
      <c r="BZ54" s="22">
        <f>IF(AND($H54&lt;&gt;"",$AD54&lt;&gt;"",$H54&lt;&gt;$AD54,IFERROR(VLOOKUP($H54,areaCercaPuntiClassificaSquadra,3,FALSE),-1)=IFERROR(VLOOKUP($AD54,areaCercaPuntiClassificaSquadra,3,FALSE),-2)),SUMIFS(Dati!$F$2:$F$451,Dati!$A$2:$A$451,$H54,Dati!$H$2:$H$451,$AD54)+SUMIFS(Dati!$M$2:$M$451,Dati!$H$2:$H$451,$H54,Dati!$A$2:$A$451,$AD54),"-")</f>
        <v/>
      </c>
      <c r="CA54" s="22">
        <f>IF(AND($H54&lt;&gt;"",$AE54&lt;&gt;"",$H54&lt;&gt;$AE54,IFERROR(VLOOKUP($H54,areaCercaPuntiClassificaSquadra,3,FALSE),-1)=IFERROR(VLOOKUP($AE54,areaCercaPuntiClassificaSquadra,3,FALSE),-2)),SUMIFS(Dati!$F$2:$F$451,Dati!$A$2:$A$451,$H54,Dati!$H$2:$H$451,$AE54)+SUMIFS(Dati!$M$2:$M$451,Dati!$H$2:$H$451,$H54,Dati!$A$2:$A$451,$AE54),"-")</f>
        <v/>
      </c>
      <c r="CB54" s="22">
        <f>IF(AND($H54&lt;&gt;"",$AF54&lt;&gt;"",$H54&lt;&gt;$AF54,IFERROR(VLOOKUP($H54,areaCercaPuntiClassificaSquadra,3,FALSE),-1)=IFERROR(VLOOKUP($AF54,areaCercaPuntiClassificaSquadra,3,FALSE),-2)),SUMIFS(Dati!$F$2:$F$451,Dati!$A$2:$A$451,$H54,Dati!$H$2:$H$451,$AF54)+SUMIFS(Dati!$M$2:$M$451,Dati!$H$2:$H$451,$H54,Dati!$A$2:$A$451,$AF54),"-")</f>
        <v/>
      </c>
      <c r="CC54" s="22">
        <f>IF(AND($H54&lt;&gt;"",$AG54&lt;&gt;"",$H54&lt;&gt;$AG54,IFERROR(VLOOKUP($H54,areaCercaPuntiClassificaSquadra,3,FALSE),-1)=IFERROR(VLOOKUP($AG54,areaCercaPuntiClassificaSquadra,3,FALSE),-2)),SUMIFS(Dati!$F$2:$F$451,Dati!$A$2:$A$451,$H54,Dati!$H$2:$H$451,$AG54)+SUMIFS(Dati!$M$2:$M$451,Dati!$H$2:$H$451,$H54,Dati!$A$2:$A$451,$AG54),"-")</f>
        <v/>
      </c>
      <c r="CD54" s="22">
        <f>IF(AND($H54&lt;&gt;"",$AH54&lt;&gt;"",$H54&lt;&gt;$AH54,IFERROR(VLOOKUP($H54,areaCercaPuntiClassificaSquadra,3,FALSE),-1)=IFERROR(VLOOKUP($AH54,areaCercaPuntiClassificaSquadra,3,FALSE),-2)),SUMIFS(Dati!$F$2:$F$451,Dati!$A$2:$A$451,$H54,Dati!$H$2:$H$451,$AH54)+SUMIFS(Dati!$M$2:$M$451,Dati!$H$2:$H$451,$H54,Dati!$A$2:$A$451,$AH54),"-")</f>
        <v/>
      </c>
      <c r="CF54" s="22">
        <f>IF($C54="","",SUM(AK54:AT54))</f>
        <v/>
      </c>
    </row>
    <row r="55">
      <c r="B55" s="12" t="inlineStr">
        <is>
          <t>E02</t>
        </is>
      </c>
      <c r="C55" s="13" t="n"/>
      <c r="D55" s="14" t="n"/>
      <c r="E55" s="29" t="inlineStr">
        <is>
          <t>E</t>
        </is>
      </c>
      <c r="G55" s="30">
        <f>IF($C55="","",$E55&amp;(COUNTIFS(I$14:I$113,"&gt;"&amp;I55,E$14:E$113,"="&amp;E55,C$14:C$113,"&lt;&gt;")+COUNTIFS(I$14:I$113,"="&amp;I55,H$14:H$113,"&lt;="&amp;H55,E$14:E$113,"="&amp;E55,C$14:C$113,"&lt;&gt;")))</f>
        <v/>
      </c>
      <c r="H55" s="17">
        <f>IF($C55="","",IFERROR(LEFT($C55,FIND("-",$C55)-1),$C55))</f>
        <v/>
      </c>
      <c r="I55" s="12">
        <f>TEXT(1000000000+J55,"|0000000000|")&amp;TEXT(SUM(AK55:AT55),"0000000000|")&amp;IF(SUM(BU55:CD55)=0,"0000000000|",TEXT(ROUND(SUM(BI55:BR55)/SUM(BU55:CD55),4)*100000,"0000000000|"))&amp;IF(P55=0,"0000000000|",TEXT(ROUND(O55/P55,4)*100000,"0000000000|"))</f>
        <v/>
      </c>
      <c r="J55" s="30">
        <f>L55*constPuntiVittoria+M55*constPuntiSconfitta+N55*constPuntiForfait+IF(D55="",0,D55)</f>
        <v/>
      </c>
      <c r="K55" s="12">
        <f>SUM(L55:N55)</f>
        <v/>
      </c>
      <c r="L55" s="12">
        <f>IF($H55="",0,SUMIF(Dati!$A$2:$A$451,$H55,Dati!$B$2:$B$451)+SUMIF(Dati!$H$2:$H$451,$H55,Dati!$I$2:$I$451))</f>
        <v/>
      </c>
      <c r="M55" s="12">
        <f>IF($H55="",0,SUMIF(Dati!$A$2:$A$451,$H55,Dati!$D$2:$D$451)+SUMIF(Dati!$H$2:$H$451,$H55,Dati!$K$2:$K$451))</f>
        <v/>
      </c>
      <c r="N55" s="12">
        <f>IF($H55="",0,SUMIF(Dati!$A$2:$A$451,$H55,Dati!$C$2:$C$451)+SUMIF(Dati!$H$2:$H$451,$H55,Dati!$J$2:$J$451))</f>
        <v/>
      </c>
      <c r="O55" s="12">
        <f>IF($H55="",0,SUMIF(Dati!$A$2:$A$451,$H55,Dati!$E$2:$E$451)+SUMIF(Dati!$H$2:$H$451,$H55,Dati!$L$2:$L$451))</f>
        <v/>
      </c>
      <c r="P55" s="12">
        <f>IF($H55="",0,SUMIF(Dati!$A$2:$A$451,$H55,Dati!$F$2:$F$451)+SUMIF(Dati!$H$2:$H$451,$H55,Dati!$M$2:$M$451))</f>
        <v/>
      </c>
      <c r="Q55" s="12">
        <f>IF($H55="",0,SUMIF(Dati!$A$2:$A$451,$H55,Dati!$G$2:$G$451)+SUMIF(Dati!$H$2:$H$451,$H55,Dati!$N$2:$N$451))</f>
        <v/>
      </c>
      <c r="R55" s="12">
        <f>IF(K55=0,0,ROUND(O55/K55,2))</f>
        <v/>
      </c>
      <c r="S55" s="12">
        <f>IF(K55=0,0,ROUND(P55/K55,2))</f>
        <v/>
      </c>
      <c r="T55" s="12">
        <f>IF(K55=0,0,ROUND(Q55/K55,2))</f>
        <v/>
      </c>
      <c r="U55" s="12">
        <f>IF(COUNTIFS($E$14:$E$113,$E55,$J$14:$J$113,$J55,$C$14:$C$113,"&lt;&gt;")&lt;=1,"-",SUM(AK55:AT55)&amp;"-"&amp;SUM(AW55:BF55))</f>
        <v/>
      </c>
      <c r="V55" s="18">
        <f>IF(COUNTIFS($E$14:$E$113,$E55,$J$14:$J$113,$J55,$C$14:$C$113,"&lt;&gt;",$CF$14:$CF$113,$CF55)&lt;=1,"-",IF(SUM(BU55:CD55)=0,0,ROUND(SUM(BI55:BR55)/SUM(BU55:CD55),3)))</f>
        <v/>
      </c>
      <c r="W55" s="18">
        <f>IF(COUNTIFS($E$14:$E$113,$E55,$J$14:$J$113,$J55,$C$14:$C$113,"&lt;&gt;",$CF$14:$CF$113,$CF55,$V$14:$V$113,$V55)&lt;=1,"-",IF(P55=0,0,ROUND(O55/P55,3)))</f>
        <v/>
      </c>
      <c r="X55" s="19">
        <f>IF($C55="","",$E55&amp;"#"&amp;COUNTIFS($E$14:$E55,$E55,$C$14:$C55,"&lt;&gt;"))</f>
        <v/>
      </c>
      <c r="Y55" s="20">
        <f>IFERROR(INDEX($H$14:$H$113,MATCH($E55&amp;"#1",$X$14:$X$113,0)),"")</f>
        <v/>
      </c>
      <c r="Z55" s="20">
        <f>IFERROR(INDEX($H$14:$H$113,MATCH($E55&amp;"#2",$X$14:$X$113,0)),"")</f>
        <v/>
      </c>
      <c r="AA55" s="20">
        <f>IFERROR(INDEX($H$14:$H$113,MATCH($E55&amp;"#3",$X$14:$X$113,0)),"")</f>
        <v/>
      </c>
      <c r="AB55" s="20">
        <f>IFERROR(INDEX($H$14:$H$113,MATCH($E55&amp;"#4",$X$14:$X$113,0)),"")</f>
        <v/>
      </c>
      <c r="AC55" s="20">
        <f>IFERROR(INDEX($H$14:$H$113,MATCH($E55&amp;"#5",$X$14:$X$113,0)),"")</f>
        <v/>
      </c>
      <c r="AD55" s="20">
        <f>IFERROR(INDEX($H$14:$H$113,MATCH($E55&amp;"#6",$X$14:$X$113,0)),"")</f>
        <v/>
      </c>
      <c r="AE55" s="20">
        <f>IFERROR(INDEX($H$14:$H$113,MATCH($E55&amp;"#7",$X$14:$X$113,0)),"")</f>
        <v/>
      </c>
      <c r="AF55" s="20">
        <f>IFERROR(INDEX($H$14:$H$113,MATCH($E55&amp;"#8",$X$14:$X$113,0)),"")</f>
        <v/>
      </c>
      <c r="AG55" s="20">
        <f>IFERROR(INDEX($H$14:$H$113,MATCH($E55&amp;"#9",$X$14:$X$113,0)),"")</f>
        <v/>
      </c>
      <c r="AH55" s="20">
        <f>IFERROR(INDEX($H$14:$H$113,MATCH($E55&amp;"#10",$X$14:$X$113,0)),"")</f>
        <v/>
      </c>
      <c r="AJ55" s="21">
        <f>$C55</f>
        <v/>
      </c>
      <c r="AK55" s="22">
        <f>IF(AND($H55&lt;&gt;"",$Y55&lt;&gt;"",$H55&lt;&gt;$Y55,IFERROR(VLOOKUP($H55,areaCercaPuntiClassificaSquadra,3,FALSE),-1)=IFERROR(VLOOKUP($Y55,areaCercaPuntiClassificaSquadra,3,FALSE),-2)),SUMIFS(Dati!$B$2:$B$451,Dati!$A$2:$A$451,$H55,Dati!$H$2:$H$451,$Y55)+SUMIFS(Dati!$I$2:$I$451,Dati!$H$2:$H$451,$H55,Dati!$A$2:$A$451,$Y55),"-")</f>
        <v/>
      </c>
      <c r="AL55" s="22">
        <f>IF(AND($H55&lt;&gt;"",$Z55&lt;&gt;"",$H55&lt;&gt;$Z55,IFERROR(VLOOKUP($H55,areaCercaPuntiClassificaSquadra,3,FALSE),-1)=IFERROR(VLOOKUP($Z55,areaCercaPuntiClassificaSquadra,3,FALSE),-2)),SUMIFS(Dati!$B$2:$B$451,Dati!$A$2:$A$451,$H55,Dati!$H$2:$H$451,$Z55)+SUMIFS(Dati!$I$2:$I$451,Dati!$H$2:$H$451,$H55,Dati!$A$2:$A$451,$Z55),"-")</f>
        <v/>
      </c>
      <c r="AM55" s="22">
        <f>IF(AND($H55&lt;&gt;"",$AA55&lt;&gt;"",$H55&lt;&gt;$AA55,IFERROR(VLOOKUP($H55,areaCercaPuntiClassificaSquadra,3,FALSE),-1)=IFERROR(VLOOKUP($AA55,areaCercaPuntiClassificaSquadra,3,FALSE),-2)),SUMIFS(Dati!$B$2:$B$451,Dati!$A$2:$A$451,$H55,Dati!$H$2:$H$451,$AA55)+SUMIFS(Dati!$I$2:$I$451,Dati!$H$2:$H$451,$H55,Dati!$A$2:$A$451,$AA55),"-")</f>
        <v/>
      </c>
      <c r="AN55" s="22">
        <f>IF(AND($H55&lt;&gt;"",$AB55&lt;&gt;"",$H55&lt;&gt;$AB55,IFERROR(VLOOKUP($H55,areaCercaPuntiClassificaSquadra,3,FALSE),-1)=IFERROR(VLOOKUP($AB55,areaCercaPuntiClassificaSquadra,3,FALSE),-2)),SUMIFS(Dati!$B$2:$B$451,Dati!$A$2:$A$451,$H55,Dati!$H$2:$H$451,$AB55)+SUMIFS(Dati!$I$2:$I$451,Dati!$H$2:$H$451,$H55,Dati!$A$2:$A$451,$AB55),"-")</f>
        <v/>
      </c>
      <c r="AO55" s="22">
        <f>IF(AND($H55&lt;&gt;"",$AC55&lt;&gt;"",$H55&lt;&gt;$AC55,IFERROR(VLOOKUP($H55,areaCercaPuntiClassificaSquadra,3,FALSE),-1)=IFERROR(VLOOKUP($AC55,areaCercaPuntiClassificaSquadra,3,FALSE),-2)),SUMIFS(Dati!$B$2:$B$451,Dati!$A$2:$A$451,$H55,Dati!$H$2:$H$451,$AC55)+SUMIFS(Dati!$I$2:$I$451,Dati!$H$2:$H$451,$H55,Dati!$A$2:$A$451,$AC55),"-")</f>
        <v/>
      </c>
      <c r="AP55" s="22">
        <f>IF(AND($H55&lt;&gt;"",$AD55&lt;&gt;"",$H55&lt;&gt;$AD55,IFERROR(VLOOKUP($H55,areaCercaPuntiClassificaSquadra,3,FALSE),-1)=IFERROR(VLOOKUP($AD55,areaCercaPuntiClassificaSquadra,3,FALSE),-2)),SUMIFS(Dati!$B$2:$B$451,Dati!$A$2:$A$451,$H55,Dati!$H$2:$H$451,$AD55)+SUMIFS(Dati!$I$2:$I$451,Dati!$H$2:$H$451,$H55,Dati!$A$2:$A$451,$AD55),"-")</f>
        <v/>
      </c>
      <c r="AQ55" s="22">
        <f>IF(AND($H55&lt;&gt;"",$AE55&lt;&gt;"",$H55&lt;&gt;$AE55,IFERROR(VLOOKUP($H55,areaCercaPuntiClassificaSquadra,3,FALSE),-1)=IFERROR(VLOOKUP($AE55,areaCercaPuntiClassificaSquadra,3,FALSE),-2)),SUMIFS(Dati!$B$2:$B$451,Dati!$A$2:$A$451,$H55,Dati!$H$2:$H$451,$AE55)+SUMIFS(Dati!$I$2:$I$451,Dati!$H$2:$H$451,$H55,Dati!$A$2:$A$451,$AE55),"-")</f>
        <v/>
      </c>
      <c r="AR55" s="22">
        <f>IF(AND($H55&lt;&gt;"",$AF55&lt;&gt;"",$H55&lt;&gt;$AF55,IFERROR(VLOOKUP($H55,areaCercaPuntiClassificaSquadra,3,FALSE),-1)=IFERROR(VLOOKUP($AF55,areaCercaPuntiClassificaSquadra,3,FALSE),-2)),SUMIFS(Dati!$B$2:$B$451,Dati!$A$2:$A$451,$H55,Dati!$H$2:$H$451,$AF55)+SUMIFS(Dati!$I$2:$I$451,Dati!$H$2:$H$451,$H55,Dati!$A$2:$A$451,$AF55),"-")</f>
        <v/>
      </c>
      <c r="AS55" s="22">
        <f>IF(AND($H55&lt;&gt;"",$AG55&lt;&gt;"",$H55&lt;&gt;$AG55,IFERROR(VLOOKUP($H55,areaCercaPuntiClassificaSquadra,3,FALSE),-1)=IFERROR(VLOOKUP($AG55,areaCercaPuntiClassificaSquadra,3,FALSE),-2)),SUMIFS(Dati!$B$2:$B$451,Dati!$A$2:$A$451,$H55,Dati!$H$2:$H$451,$AG55)+SUMIFS(Dati!$I$2:$I$451,Dati!$H$2:$H$451,$H55,Dati!$A$2:$A$451,$AG55),"-")</f>
        <v/>
      </c>
      <c r="AT55" s="22">
        <f>IF(AND($H55&lt;&gt;"",$AH55&lt;&gt;"",$H55&lt;&gt;$AH55,IFERROR(VLOOKUP($H55,areaCercaPuntiClassificaSquadra,3,FALSE),-1)=IFERROR(VLOOKUP($AH55,areaCercaPuntiClassificaSquadra,3,FALSE),-2)),SUMIFS(Dati!$B$2:$B$451,Dati!$A$2:$A$451,$H55,Dati!$H$2:$H$451,$AH55)+SUMIFS(Dati!$I$2:$I$451,Dati!$H$2:$H$451,$H55,Dati!$A$2:$A$451,$AH55),"-")</f>
        <v/>
      </c>
      <c r="AV55" s="21">
        <f>$C55</f>
        <v/>
      </c>
      <c r="AW55" s="22">
        <f>IF(AND($H55&lt;&gt;"",$Y55&lt;&gt;"",$H55&lt;&gt;$Y55,IFERROR(VLOOKUP($H55,areaCercaPuntiClassificaSquadra,3,FALSE),-1)=IFERROR(VLOOKUP($Y55,areaCercaPuntiClassificaSquadra,3,FALSE),-2)),SUMIFS(Dati!$D$2:$D$451,Dati!$A$2:$A$451,$H55,Dati!$H$2:$H$451,$Y55)+SUMIFS(Dati!$K$2:$K$451,Dati!$H$2:$H$451,$H55,Dati!$A$2:$A$451,$Y55)+SUMIFS(Dati!$C$2:$C$451,Dati!$A$2:$A$451,$H55,Dati!$H$2:$H$451,$Y55)+SUMIFS(Dati!$J$2:$J$451,Dati!$H$2:$H$451,$H55,Dati!$A$2:$A$451,$Y55),"-")</f>
        <v/>
      </c>
      <c r="AX55" s="22">
        <f>IF(AND($H55&lt;&gt;"",$Z55&lt;&gt;"",$H55&lt;&gt;$Z55,IFERROR(VLOOKUP($H55,areaCercaPuntiClassificaSquadra,3,FALSE),-1)=IFERROR(VLOOKUP($Z55,areaCercaPuntiClassificaSquadra,3,FALSE),-2)),SUMIFS(Dati!$D$2:$D$451,Dati!$A$2:$A$451,$H55,Dati!$H$2:$H$451,$Z55)+SUMIFS(Dati!$K$2:$K$451,Dati!$H$2:$H$451,$H55,Dati!$A$2:$A$451,$Z55)+SUMIFS(Dati!$C$2:$C$451,Dati!$A$2:$A$451,$H55,Dati!$H$2:$H$451,$Z55)+SUMIFS(Dati!$J$2:$J$451,Dati!$H$2:$H$451,$H55,Dati!$A$2:$A$451,$Z55),"-")</f>
        <v/>
      </c>
      <c r="AY55" s="22">
        <f>IF(AND($H55&lt;&gt;"",$AA55&lt;&gt;"",$H55&lt;&gt;$AA55,IFERROR(VLOOKUP($H55,areaCercaPuntiClassificaSquadra,3,FALSE),-1)=IFERROR(VLOOKUP($AA55,areaCercaPuntiClassificaSquadra,3,FALSE),-2)),SUMIFS(Dati!$D$2:$D$451,Dati!$A$2:$A$451,$H55,Dati!$H$2:$H$451,$AA55)+SUMIFS(Dati!$K$2:$K$451,Dati!$H$2:$H$451,$H55,Dati!$A$2:$A$451,$AA55)+SUMIFS(Dati!$C$2:$C$451,Dati!$A$2:$A$451,$H55,Dati!$H$2:$H$451,$AA55)+SUMIFS(Dati!$J$2:$J$451,Dati!$H$2:$H$451,$H55,Dati!$A$2:$A$451,$AA55),"-")</f>
        <v/>
      </c>
      <c r="AZ55" s="22">
        <f>IF(AND($H55&lt;&gt;"",$AB55&lt;&gt;"",$H55&lt;&gt;$AB55,IFERROR(VLOOKUP($H55,areaCercaPuntiClassificaSquadra,3,FALSE),-1)=IFERROR(VLOOKUP($AB55,areaCercaPuntiClassificaSquadra,3,FALSE),-2)),SUMIFS(Dati!$D$2:$D$451,Dati!$A$2:$A$451,$H55,Dati!$H$2:$H$451,$AB55)+SUMIFS(Dati!$K$2:$K$451,Dati!$H$2:$H$451,$H55,Dati!$A$2:$A$451,$AB55)+SUMIFS(Dati!$C$2:$C$451,Dati!$A$2:$A$451,$H55,Dati!$H$2:$H$451,$AB55)+SUMIFS(Dati!$J$2:$J$451,Dati!$H$2:$H$451,$H55,Dati!$A$2:$A$451,$AB55),"-")</f>
        <v/>
      </c>
      <c r="BA55" s="22">
        <f>IF(AND($H55&lt;&gt;"",$AC55&lt;&gt;"",$H55&lt;&gt;$AC55,IFERROR(VLOOKUP($H55,areaCercaPuntiClassificaSquadra,3,FALSE),-1)=IFERROR(VLOOKUP($AC55,areaCercaPuntiClassificaSquadra,3,FALSE),-2)),SUMIFS(Dati!$D$2:$D$451,Dati!$A$2:$A$451,$H55,Dati!$H$2:$H$451,$AC55)+SUMIFS(Dati!$K$2:$K$451,Dati!$H$2:$H$451,$H55,Dati!$A$2:$A$451,$AC55)+SUMIFS(Dati!$C$2:$C$451,Dati!$A$2:$A$451,$H55,Dati!$H$2:$H$451,$AC55)+SUMIFS(Dati!$J$2:$J$451,Dati!$H$2:$H$451,$H55,Dati!$A$2:$A$451,$AC55),"-")</f>
        <v/>
      </c>
      <c r="BB55" s="22">
        <f>IF(AND($H55&lt;&gt;"",$AD55&lt;&gt;"",$H55&lt;&gt;$AD55,IFERROR(VLOOKUP($H55,areaCercaPuntiClassificaSquadra,3,FALSE),-1)=IFERROR(VLOOKUP($AD55,areaCercaPuntiClassificaSquadra,3,FALSE),-2)),SUMIFS(Dati!$D$2:$D$451,Dati!$A$2:$A$451,$H55,Dati!$H$2:$H$451,$AD55)+SUMIFS(Dati!$K$2:$K$451,Dati!$H$2:$H$451,$H55,Dati!$A$2:$A$451,$AD55)+SUMIFS(Dati!$C$2:$C$451,Dati!$A$2:$A$451,$H55,Dati!$H$2:$H$451,$AD55)+SUMIFS(Dati!$J$2:$J$451,Dati!$H$2:$H$451,$H55,Dati!$A$2:$A$451,$AD55),"-")</f>
        <v/>
      </c>
      <c r="BC55" s="22">
        <f>IF(AND($H55&lt;&gt;"",$AE55&lt;&gt;"",$H55&lt;&gt;$AE55,IFERROR(VLOOKUP($H55,areaCercaPuntiClassificaSquadra,3,FALSE),-1)=IFERROR(VLOOKUP($AE55,areaCercaPuntiClassificaSquadra,3,FALSE),-2)),SUMIFS(Dati!$D$2:$D$451,Dati!$A$2:$A$451,$H55,Dati!$H$2:$H$451,$AE55)+SUMIFS(Dati!$K$2:$K$451,Dati!$H$2:$H$451,$H55,Dati!$A$2:$A$451,$AE55)+SUMIFS(Dati!$C$2:$C$451,Dati!$A$2:$A$451,$H55,Dati!$H$2:$H$451,$AE55)+SUMIFS(Dati!$J$2:$J$451,Dati!$H$2:$H$451,$H55,Dati!$A$2:$A$451,$AE55),"-")</f>
        <v/>
      </c>
      <c r="BD55" s="22">
        <f>IF(AND($H55&lt;&gt;"",$AF55&lt;&gt;"",$H55&lt;&gt;$AF55,IFERROR(VLOOKUP($H55,areaCercaPuntiClassificaSquadra,3,FALSE),-1)=IFERROR(VLOOKUP($AF55,areaCercaPuntiClassificaSquadra,3,FALSE),-2)),SUMIFS(Dati!$D$2:$D$451,Dati!$A$2:$A$451,$H55,Dati!$H$2:$H$451,$AF55)+SUMIFS(Dati!$K$2:$K$451,Dati!$H$2:$H$451,$H55,Dati!$A$2:$A$451,$AF55)+SUMIFS(Dati!$C$2:$C$451,Dati!$A$2:$A$451,$H55,Dati!$H$2:$H$451,$AF55)+SUMIFS(Dati!$J$2:$J$451,Dati!$H$2:$H$451,$H55,Dati!$A$2:$A$451,$AF55),"-")</f>
        <v/>
      </c>
      <c r="BE55" s="22">
        <f>IF(AND($H55&lt;&gt;"",$AG55&lt;&gt;"",$H55&lt;&gt;$AG55,IFERROR(VLOOKUP($H55,areaCercaPuntiClassificaSquadra,3,FALSE),-1)=IFERROR(VLOOKUP($AG55,areaCercaPuntiClassificaSquadra,3,FALSE),-2)),SUMIFS(Dati!$D$2:$D$451,Dati!$A$2:$A$451,$H55,Dati!$H$2:$H$451,$AG55)+SUMIFS(Dati!$K$2:$K$451,Dati!$H$2:$H$451,$H55,Dati!$A$2:$A$451,$AG55)+SUMIFS(Dati!$C$2:$C$451,Dati!$A$2:$A$451,$H55,Dati!$H$2:$H$451,$AG55)+SUMIFS(Dati!$J$2:$J$451,Dati!$H$2:$H$451,$H55,Dati!$A$2:$A$451,$AG55),"-")</f>
        <v/>
      </c>
      <c r="BF55" s="22">
        <f>IF(AND($H55&lt;&gt;"",$AH55&lt;&gt;"",$H55&lt;&gt;$AH55,IFERROR(VLOOKUP($H55,areaCercaPuntiClassificaSquadra,3,FALSE),-1)=IFERROR(VLOOKUP($AH55,areaCercaPuntiClassificaSquadra,3,FALSE),-2)),SUMIFS(Dati!$D$2:$D$451,Dati!$A$2:$A$451,$H55,Dati!$H$2:$H$451,$AH55)+SUMIFS(Dati!$K$2:$K$451,Dati!$H$2:$H$451,$H55,Dati!$A$2:$A$451,$AH55)+SUMIFS(Dati!$C$2:$C$451,Dati!$A$2:$A$451,$H55,Dati!$H$2:$H$451,$AH55)+SUMIFS(Dati!$J$2:$J$451,Dati!$H$2:$H$451,$H55,Dati!$A$2:$A$451,$AH55),"-")</f>
        <v/>
      </c>
      <c r="BH55" s="21">
        <f>$C55</f>
        <v/>
      </c>
      <c r="BI55" s="22">
        <f>IF(AND($H55&lt;&gt;"",$Y55&lt;&gt;"",$H55&lt;&gt;$Y55,IFERROR(VLOOKUP($H55,areaCercaPuntiClassificaSquadra,3,FALSE),-1)=IFERROR(VLOOKUP($Y55,areaCercaPuntiClassificaSquadra,3,FALSE),-2)),SUMIFS(Dati!$E$2:$E$451,Dati!$A$2:$A$451,$H55,Dati!$H$2:$H$451,$Y55)+SUMIFS(Dati!$L$2:$L$451,Dati!$H$2:$H$451,$H55,Dati!$A$2:$A$451,$Y55),"-")</f>
        <v/>
      </c>
      <c r="BJ55" s="22">
        <f>IF(AND($H55&lt;&gt;"",$Z55&lt;&gt;"",$H55&lt;&gt;$Z55,IFERROR(VLOOKUP($H55,areaCercaPuntiClassificaSquadra,3,FALSE),-1)=IFERROR(VLOOKUP($Z55,areaCercaPuntiClassificaSquadra,3,FALSE),-2)),SUMIFS(Dati!$E$2:$E$451,Dati!$A$2:$A$451,$H55,Dati!$H$2:$H$451,$Z55)+SUMIFS(Dati!$L$2:$L$451,Dati!$H$2:$H$451,$H55,Dati!$A$2:$A$451,$Z55),"-")</f>
        <v/>
      </c>
      <c r="BK55" s="22">
        <f>IF(AND($H55&lt;&gt;"",$AA55&lt;&gt;"",$H55&lt;&gt;$AA55,IFERROR(VLOOKUP($H55,areaCercaPuntiClassificaSquadra,3,FALSE),-1)=IFERROR(VLOOKUP($AA55,areaCercaPuntiClassificaSquadra,3,FALSE),-2)),SUMIFS(Dati!$E$2:$E$451,Dati!$A$2:$A$451,$H55,Dati!$H$2:$H$451,$AA55)+SUMIFS(Dati!$L$2:$L$451,Dati!$H$2:$H$451,$H55,Dati!$A$2:$A$451,$AA55),"-")</f>
        <v/>
      </c>
      <c r="BL55" s="22">
        <f>IF(AND($H55&lt;&gt;"",$AB55&lt;&gt;"",$H55&lt;&gt;$AB55,IFERROR(VLOOKUP($H55,areaCercaPuntiClassificaSquadra,3,FALSE),-1)=IFERROR(VLOOKUP($AB55,areaCercaPuntiClassificaSquadra,3,FALSE),-2)),SUMIFS(Dati!$E$2:$E$451,Dati!$A$2:$A$451,$H55,Dati!$H$2:$H$451,$AB55)+SUMIFS(Dati!$L$2:$L$451,Dati!$H$2:$H$451,$H55,Dati!$A$2:$A$451,$AB55),"-")</f>
        <v/>
      </c>
      <c r="BM55" s="22">
        <f>IF(AND($H55&lt;&gt;"",$AC55&lt;&gt;"",$H55&lt;&gt;$AC55,IFERROR(VLOOKUP($H55,areaCercaPuntiClassificaSquadra,3,FALSE),-1)=IFERROR(VLOOKUP($AC55,areaCercaPuntiClassificaSquadra,3,FALSE),-2)),SUMIFS(Dati!$E$2:$E$451,Dati!$A$2:$A$451,$H55,Dati!$H$2:$H$451,$AC55)+SUMIFS(Dati!$L$2:$L$451,Dati!$H$2:$H$451,$H55,Dati!$A$2:$A$451,$AC55),"-")</f>
        <v/>
      </c>
      <c r="BN55" s="22">
        <f>IF(AND($H55&lt;&gt;"",$AD55&lt;&gt;"",$H55&lt;&gt;$AD55,IFERROR(VLOOKUP($H55,areaCercaPuntiClassificaSquadra,3,FALSE),-1)=IFERROR(VLOOKUP($AD55,areaCercaPuntiClassificaSquadra,3,FALSE),-2)),SUMIFS(Dati!$E$2:$E$451,Dati!$A$2:$A$451,$H55,Dati!$H$2:$H$451,$AD55)+SUMIFS(Dati!$L$2:$L$451,Dati!$H$2:$H$451,$H55,Dati!$A$2:$A$451,$AD55),"-")</f>
        <v/>
      </c>
      <c r="BO55" s="22">
        <f>IF(AND($H55&lt;&gt;"",$AE55&lt;&gt;"",$H55&lt;&gt;$AE55,IFERROR(VLOOKUP($H55,areaCercaPuntiClassificaSquadra,3,FALSE),-1)=IFERROR(VLOOKUP($AE55,areaCercaPuntiClassificaSquadra,3,FALSE),-2)),SUMIFS(Dati!$E$2:$E$451,Dati!$A$2:$A$451,$H55,Dati!$H$2:$H$451,$AE55)+SUMIFS(Dati!$L$2:$L$451,Dati!$H$2:$H$451,$H55,Dati!$A$2:$A$451,$AE55),"-")</f>
        <v/>
      </c>
      <c r="BP55" s="22">
        <f>IF(AND($H55&lt;&gt;"",$AF55&lt;&gt;"",$H55&lt;&gt;$AF55,IFERROR(VLOOKUP($H55,areaCercaPuntiClassificaSquadra,3,FALSE),-1)=IFERROR(VLOOKUP($AF55,areaCercaPuntiClassificaSquadra,3,FALSE),-2)),SUMIFS(Dati!$E$2:$E$451,Dati!$A$2:$A$451,$H55,Dati!$H$2:$H$451,$AF55)+SUMIFS(Dati!$L$2:$L$451,Dati!$H$2:$H$451,$H55,Dati!$A$2:$A$451,$AF55),"-")</f>
        <v/>
      </c>
      <c r="BQ55" s="22">
        <f>IF(AND($H55&lt;&gt;"",$AG55&lt;&gt;"",$H55&lt;&gt;$AG55,IFERROR(VLOOKUP($H55,areaCercaPuntiClassificaSquadra,3,FALSE),-1)=IFERROR(VLOOKUP($AG55,areaCercaPuntiClassificaSquadra,3,FALSE),-2)),SUMIFS(Dati!$E$2:$E$451,Dati!$A$2:$A$451,$H55,Dati!$H$2:$H$451,$AG55)+SUMIFS(Dati!$L$2:$L$451,Dati!$H$2:$H$451,$H55,Dati!$A$2:$A$451,$AG55),"-")</f>
        <v/>
      </c>
      <c r="BR55" s="22">
        <f>IF(AND($H55&lt;&gt;"",$AH55&lt;&gt;"",$H55&lt;&gt;$AH55,IFERROR(VLOOKUP($H55,areaCercaPuntiClassificaSquadra,3,FALSE),-1)=IFERROR(VLOOKUP($AH55,areaCercaPuntiClassificaSquadra,3,FALSE),-2)),SUMIFS(Dati!$E$2:$E$451,Dati!$A$2:$A$451,$H55,Dati!$H$2:$H$451,$AH55)+SUMIFS(Dati!$L$2:$L$451,Dati!$H$2:$H$451,$H55,Dati!$A$2:$A$451,$AH55),"-")</f>
        <v/>
      </c>
      <c r="BT55" s="21">
        <f>$C55</f>
        <v/>
      </c>
      <c r="BU55" s="22">
        <f>IF(AND($H55&lt;&gt;"",$Y55&lt;&gt;"",$H55&lt;&gt;$Y55,IFERROR(VLOOKUP($H55,areaCercaPuntiClassificaSquadra,3,FALSE),-1)=IFERROR(VLOOKUP($Y55,areaCercaPuntiClassificaSquadra,3,FALSE),-2)),SUMIFS(Dati!$F$2:$F$451,Dati!$A$2:$A$451,$H55,Dati!$H$2:$H$451,$Y55)+SUMIFS(Dati!$M$2:$M$451,Dati!$H$2:$H$451,$H55,Dati!$A$2:$A$451,$Y55),"-")</f>
        <v/>
      </c>
      <c r="BV55" s="22">
        <f>IF(AND($H55&lt;&gt;"",$Z55&lt;&gt;"",$H55&lt;&gt;$Z55,IFERROR(VLOOKUP($H55,areaCercaPuntiClassificaSquadra,3,FALSE),-1)=IFERROR(VLOOKUP($Z55,areaCercaPuntiClassificaSquadra,3,FALSE),-2)),SUMIFS(Dati!$F$2:$F$451,Dati!$A$2:$A$451,$H55,Dati!$H$2:$H$451,$Z55)+SUMIFS(Dati!$M$2:$M$451,Dati!$H$2:$H$451,$H55,Dati!$A$2:$A$451,$Z55),"-")</f>
        <v/>
      </c>
      <c r="BW55" s="22">
        <f>IF(AND($H55&lt;&gt;"",$AA55&lt;&gt;"",$H55&lt;&gt;$AA55,IFERROR(VLOOKUP($H55,areaCercaPuntiClassificaSquadra,3,FALSE),-1)=IFERROR(VLOOKUP($AA55,areaCercaPuntiClassificaSquadra,3,FALSE),-2)),SUMIFS(Dati!$F$2:$F$451,Dati!$A$2:$A$451,$H55,Dati!$H$2:$H$451,$AA55)+SUMIFS(Dati!$M$2:$M$451,Dati!$H$2:$H$451,$H55,Dati!$A$2:$A$451,$AA55),"-")</f>
        <v/>
      </c>
      <c r="BX55" s="22">
        <f>IF(AND($H55&lt;&gt;"",$AB55&lt;&gt;"",$H55&lt;&gt;$AB55,IFERROR(VLOOKUP($H55,areaCercaPuntiClassificaSquadra,3,FALSE),-1)=IFERROR(VLOOKUP($AB55,areaCercaPuntiClassificaSquadra,3,FALSE),-2)),SUMIFS(Dati!$F$2:$F$451,Dati!$A$2:$A$451,$H55,Dati!$H$2:$H$451,$AB55)+SUMIFS(Dati!$M$2:$M$451,Dati!$H$2:$H$451,$H55,Dati!$A$2:$A$451,$AB55),"-")</f>
        <v/>
      </c>
      <c r="BY55" s="22">
        <f>IF(AND($H55&lt;&gt;"",$AC55&lt;&gt;"",$H55&lt;&gt;$AC55,IFERROR(VLOOKUP($H55,areaCercaPuntiClassificaSquadra,3,FALSE),-1)=IFERROR(VLOOKUP($AC55,areaCercaPuntiClassificaSquadra,3,FALSE),-2)),SUMIFS(Dati!$F$2:$F$451,Dati!$A$2:$A$451,$H55,Dati!$H$2:$H$451,$AC55)+SUMIFS(Dati!$M$2:$M$451,Dati!$H$2:$H$451,$H55,Dati!$A$2:$A$451,$AC55),"-")</f>
        <v/>
      </c>
      <c r="BZ55" s="22">
        <f>IF(AND($H55&lt;&gt;"",$AD55&lt;&gt;"",$H55&lt;&gt;$AD55,IFERROR(VLOOKUP($H55,areaCercaPuntiClassificaSquadra,3,FALSE),-1)=IFERROR(VLOOKUP($AD55,areaCercaPuntiClassificaSquadra,3,FALSE),-2)),SUMIFS(Dati!$F$2:$F$451,Dati!$A$2:$A$451,$H55,Dati!$H$2:$H$451,$AD55)+SUMIFS(Dati!$M$2:$M$451,Dati!$H$2:$H$451,$H55,Dati!$A$2:$A$451,$AD55),"-")</f>
        <v/>
      </c>
      <c r="CA55" s="22">
        <f>IF(AND($H55&lt;&gt;"",$AE55&lt;&gt;"",$H55&lt;&gt;$AE55,IFERROR(VLOOKUP($H55,areaCercaPuntiClassificaSquadra,3,FALSE),-1)=IFERROR(VLOOKUP($AE55,areaCercaPuntiClassificaSquadra,3,FALSE),-2)),SUMIFS(Dati!$F$2:$F$451,Dati!$A$2:$A$451,$H55,Dati!$H$2:$H$451,$AE55)+SUMIFS(Dati!$M$2:$M$451,Dati!$H$2:$H$451,$H55,Dati!$A$2:$A$451,$AE55),"-")</f>
        <v/>
      </c>
      <c r="CB55" s="22">
        <f>IF(AND($H55&lt;&gt;"",$AF55&lt;&gt;"",$H55&lt;&gt;$AF55,IFERROR(VLOOKUP($H55,areaCercaPuntiClassificaSquadra,3,FALSE),-1)=IFERROR(VLOOKUP($AF55,areaCercaPuntiClassificaSquadra,3,FALSE),-2)),SUMIFS(Dati!$F$2:$F$451,Dati!$A$2:$A$451,$H55,Dati!$H$2:$H$451,$AF55)+SUMIFS(Dati!$M$2:$M$451,Dati!$H$2:$H$451,$H55,Dati!$A$2:$A$451,$AF55),"-")</f>
        <v/>
      </c>
      <c r="CC55" s="22">
        <f>IF(AND($H55&lt;&gt;"",$AG55&lt;&gt;"",$H55&lt;&gt;$AG55,IFERROR(VLOOKUP($H55,areaCercaPuntiClassificaSquadra,3,FALSE),-1)=IFERROR(VLOOKUP($AG55,areaCercaPuntiClassificaSquadra,3,FALSE),-2)),SUMIFS(Dati!$F$2:$F$451,Dati!$A$2:$A$451,$H55,Dati!$H$2:$H$451,$AG55)+SUMIFS(Dati!$M$2:$M$451,Dati!$H$2:$H$451,$H55,Dati!$A$2:$A$451,$AG55),"-")</f>
        <v/>
      </c>
      <c r="CD55" s="22">
        <f>IF(AND($H55&lt;&gt;"",$AH55&lt;&gt;"",$H55&lt;&gt;$AH55,IFERROR(VLOOKUP($H55,areaCercaPuntiClassificaSquadra,3,FALSE),-1)=IFERROR(VLOOKUP($AH55,areaCercaPuntiClassificaSquadra,3,FALSE),-2)),SUMIFS(Dati!$F$2:$F$451,Dati!$A$2:$A$451,$H55,Dati!$H$2:$H$451,$AH55)+SUMIFS(Dati!$M$2:$M$451,Dati!$H$2:$H$451,$H55,Dati!$A$2:$A$451,$AH55),"-")</f>
        <v/>
      </c>
      <c r="CF55" s="22">
        <f>IF($C55="","",SUM(AK55:AT55))</f>
        <v/>
      </c>
    </row>
    <row r="56">
      <c r="B56" s="12" t="inlineStr">
        <is>
          <t>E03</t>
        </is>
      </c>
      <c r="C56" s="13" t="n"/>
      <c r="D56" s="14" t="n"/>
      <c r="E56" s="29" t="inlineStr">
        <is>
          <t>E</t>
        </is>
      </c>
      <c r="G56" s="30">
        <f>IF($C56="","",$E56&amp;(COUNTIFS(I$14:I$113,"&gt;"&amp;I56,E$14:E$113,"="&amp;E56,C$14:C$113,"&lt;&gt;")+COUNTIFS(I$14:I$113,"="&amp;I56,H$14:H$113,"&lt;="&amp;H56,E$14:E$113,"="&amp;E56,C$14:C$113,"&lt;&gt;")))</f>
        <v/>
      </c>
      <c r="H56" s="17">
        <f>IF($C56="","",IFERROR(LEFT($C56,FIND("-",$C56)-1),$C56))</f>
        <v/>
      </c>
      <c r="I56" s="12">
        <f>TEXT(1000000000+J56,"|0000000000|")&amp;TEXT(SUM(AK56:AT56),"0000000000|")&amp;IF(SUM(BU56:CD56)=0,"0000000000|",TEXT(ROUND(SUM(BI56:BR56)/SUM(BU56:CD56),4)*100000,"0000000000|"))&amp;IF(P56=0,"0000000000|",TEXT(ROUND(O56/P56,4)*100000,"0000000000|"))</f>
        <v/>
      </c>
      <c r="J56" s="30">
        <f>L56*constPuntiVittoria+M56*constPuntiSconfitta+N56*constPuntiForfait+IF(D56="",0,D56)</f>
        <v/>
      </c>
      <c r="K56" s="12">
        <f>SUM(L56:N56)</f>
        <v/>
      </c>
      <c r="L56" s="12">
        <f>IF($H56="",0,SUMIF(Dati!$A$2:$A$451,$H56,Dati!$B$2:$B$451)+SUMIF(Dati!$H$2:$H$451,$H56,Dati!$I$2:$I$451))</f>
        <v/>
      </c>
      <c r="M56" s="12">
        <f>IF($H56="",0,SUMIF(Dati!$A$2:$A$451,$H56,Dati!$D$2:$D$451)+SUMIF(Dati!$H$2:$H$451,$H56,Dati!$K$2:$K$451))</f>
        <v/>
      </c>
      <c r="N56" s="12">
        <f>IF($H56="",0,SUMIF(Dati!$A$2:$A$451,$H56,Dati!$C$2:$C$451)+SUMIF(Dati!$H$2:$H$451,$H56,Dati!$J$2:$J$451))</f>
        <v/>
      </c>
      <c r="O56" s="12">
        <f>IF($H56="",0,SUMIF(Dati!$A$2:$A$451,$H56,Dati!$E$2:$E$451)+SUMIF(Dati!$H$2:$H$451,$H56,Dati!$L$2:$L$451))</f>
        <v/>
      </c>
      <c r="P56" s="12">
        <f>IF($H56="",0,SUMIF(Dati!$A$2:$A$451,$H56,Dati!$F$2:$F$451)+SUMIF(Dati!$H$2:$H$451,$H56,Dati!$M$2:$M$451))</f>
        <v/>
      </c>
      <c r="Q56" s="12">
        <f>IF($H56="",0,SUMIF(Dati!$A$2:$A$451,$H56,Dati!$G$2:$G$451)+SUMIF(Dati!$H$2:$H$451,$H56,Dati!$N$2:$N$451))</f>
        <v/>
      </c>
      <c r="R56" s="12">
        <f>IF(K56=0,0,ROUND(O56/K56,2))</f>
        <v/>
      </c>
      <c r="S56" s="12">
        <f>IF(K56=0,0,ROUND(P56/K56,2))</f>
        <v/>
      </c>
      <c r="T56" s="12">
        <f>IF(K56=0,0,ROUND(Q56/K56,2))</f>
        <v/>
      </c>
      <c r="U56" s="12">
        <f>IF(COUNTIFS($E$14:$E$113,$E56,$J$14:$J$113,$J56,$C$14:$C$113,"&lt;&gt;")&lt;=1,"-",SUM(AK56:AT56)&amp;"-"&amp;SUM(AW56:BF56))</f>
        <v/>
      </c>
      <c r="V56" s="18">
        <f>IF(COUNTIFS($E$14:$E$113,$E56,$J$14:$J$113,$J56,$C$14:$C$113,"&lt;&gt;",$CF$14:$CF$113,$CF56)&lt;=1,"-",IF(SUM(BU56:CD56)=0,0,ROUND(SUM(BI56:BR56)/SUM(BU56:CD56),3)))</f>
        <v/>
      </c>
      <c r="W56" s="18">
        <f>IF(COUNTIFS($E$14:$E$113,$E56,$J$14:$J$113,$J56,$C$14:$C$113,"&lt;&gt;",$CF$14:$CF$113,$CF56,$V$14:$V$113,$V56)&lt;=1,"-",IF(P56=0,0,ROUND(O56/P56,3)))</f>
        <v/>
      </c>
      <c r="X56" s="19">
        <f>IF($C56="","",$E56&amp;"#"&amp;COUNTIFS($E$14:$E56,$E56,$C$14:$C56,"&lt;&gt;"))</f>
        <v/>
      </c>
      <c r="Y56" s="20">
        <f>IFERROR(INDEX($H$14:$H$113,MATCH($E56&amp;"#1",$X$14:$X$113,0)),"")</f>
        <v/>
      </c>
      <c r="Z56" s="20">
        <f>IFERROR(INDEX($H$14:$H$113,MATCH($E56&amp;"#2",$X$14:$X$113,0)),"")</f>
        <v/>
      </c>
      <c r="AA56" s="20">
        <f>IFERROR(INDEX($H$14:$H$113,MATCH($E56&amp;"#3",$X$14:$X$113,0)),"")</f>
        <v/>
      </c>
      <c r="AB56" s="20">
        <f>IFERROR(INDEX($H$14:$H$113,MATCH($E56&amp;"#4",$X$14:$X$113,0)),"")</f>
        <v/>
      </c>
      <c r="AC56" s="20">
        <f>IFERROR(INDEX($H$14:$H$113,MATCH($E56&amp;"#5",$X$14:$X$113,0)),"")</f>
        <v/>
      </c>
      <c r="AD56" s="20">
        <f>IFERROR(INDEX($H$14:$H$113,MATCH($E56&amp;"#6",$X$14:$X$113,0)),"")</f>
        <v/>
      </c>
      <c r="AE56" s="20">
        <f>IFERROR(INDEX($H$14:$H$113,MATCH($E56&amp;"#7",$X$14:$X$113,0)),"")</f>
        <v/>
      </c>
      <c r="AF56" s="20">
        <f>IFERROR(INDEX($H$14:$H$113,MATCH($E56&amp;"#8",$X$14:$X$113,0)),"")</f>
        <v/>
      </c>
      <c r="AG56" s="20">
        <f>IFERROR(INDEX($H$14:$H$113,MATCH($E56&amp;"#9",$X$14:$X$113,0)),"")</f>
        <v/>
      </c>
      <c r="AH56" s="20">
        <f>IFERROR(INDEX($H$14:$H$113,MATCH($E56&amp;"#10",$X$14:$X$113,0)),"")</f>
        <v/>
      </c>
      <c r="AJ56" s="21">
        <f>$C56</f>
        <v/>
      </c>
      <c r="AK56" s="22">
        <f>IF(AND($H56&lt;&gt;"",$Y56&lt;&gt;"",$H56&lt;&gt;$Y56,IFERROR(VLOOKUP($H56,areaCercaPuntiClassificaSquadra,3,FALSE),-1)=IFERROR(VLOOKUP($Y56,areaCercaPuntiClassificaSquadra,3,FALSE),-2)),SUMIFS(Dati!$B$2:$B$451,Dati!$A$2:$A$451,$H56,Dati!$H$2:$H$451,$Y56)+SUMIFS(Dati!$I$2:$I$451,Dati!$H$2:$H$451,$H56,Dati!$A$2:$A$451,$Y56),"-")</f>
        <v/>
      </c>
      <c r="AL56" s="22">
        <f>IF(AND($H56&lt;&gt;"",$Z56&lt;&gt;"",$H56&lt;&gt;$Z56,IFERROR(VLOOKUP($H56,areaCercaPuntiClassificaSquadra,3,FALSE),-1)=IFERROR(VLOOKUP($Z56,areaCercaPuntiClassificaSquadra,3,FALSE),-2)),SUMIFS(Dati!$B$2:$B$451,Dati!$A$2:$A$451,$H56,Dati!$H$2:$H$451,$Z56)+SUMIFS(Dati!$I$2:$I$451,Dati!$H$2:$H$451,$H56,Dati!$A$2:$A$451,$Z56),"-")</f>
        <v/>
      </c>
      <c r="AM56" s="22">
        <f>IF(AND($H56&lt;&gt;"",$AA56&lt;&gt;"",$H56&lt;&gt;$AA56,IFERROR(VLOOKUP($H56,areaCercaPuntiClassificaSquadra,3,FALSE),-1)=IFERROR(VLOOKUP($AA56,areaCercaPuntiClassificaSquadra,3,FALSE),-2)),SUMIFS(Dati!$B$2:$B$451,Dati!$A$2:$A$451,$H56,Dati!$H$2:$H$451,$AA56)+SUMIFS(Dati!$I$2:$I$451,Dati!$H$2:$H$451,$H56,Dati!$A$2:$A$451,$AA56),"-")</f>
        <v/>
      </c>
      <c r="AN56" s="22">
        <f>IF(AND($H56&lt;&gt;"",$AB56&lt;&gt;"",$H56&lt;&gt;$AB56,IFERROR(VLOOKUP($H56,areaCercaPuntiClassificaSquadra,3,FALSE),-1)=IFERROR(VLOOKUP($AB56,areaCercaPuntiClassificaSquadra,3,FALSE),-2)),SUMIFS(Dati!$B$2:$B$451,Dati!$A$2:$A$451,$H56,Dati!$H$2:$H$451,$AB56)+SUMIFS(Dati!$I$2:$I$451,Dati!$H$2:$H$451,$H56,Dati!$A$2:$A$451,$AB56),"-")</f>
        <v/>
      </c>
      <c r="AO56" s="22">
        <f>IF(AND($H56&lt;&gt;"",$AC56&lt;&gt;"",$H56&lt;&gt;$AC56,IFERROR(VLOOKUP($H56,areaCercaPuntiClassificaSquadra,3,FALSE),-1)=IFERROR(VLOOKUP($AC56,areaCercaPuntiClassificaSquadra,3,FALSE),-2)),SUMIFS(Dati!$B$2:$B$451,Dati!$A$2:$A$451,$H56,Dati!$H$2:$H$451,$AC56)+SUMIFS(Dati!$I$2:$I$451,Dati!$H$2:$H$451,$H56,Dati!$A$2:$A$451,$AC56),"-")</f>
        <v/>
      </c>
      <c r="AP56" s="22">
        <f>IF(AND($H56&lt;&gt;"",$AD56&lt;&gt;"",$H56&lt;&gt;$AD56,IFERROR(VLOOKUP($H56,areaCercaPuntiClassificaSquadra,3,FALSE),-1)=IFERROR(VLOOKUP($AD56,areaCercaPuntiClassificaSquadra,3,FALSE),-2)),SUMIFS(Dati!$B$2:$B$451,Dati!$A$2:$A$451,$H56,Dati!$H$2:$H$451,$AD56)+SUMIFS(Dati!$I$2:$I$451,Dati!$H$2:$H$451,$H56,Dati!$A$2:$A$451,$AD56),"-")</f>
        <v/>
      </c>
      <c r="AQ56" s="22">
        <f>IF(AND($H56&lt;&gt;"",$AE56&lt;&gt;"",$H56&lt;&gt;$AE56,IFERROR(VLOOKUP($H56,areaCercaPuntiClassificaSquadra,3,FALSE),-1)=IFERROR(VLOOKUP($AE56,areaCercaPuntiClassificaSquadra,3,FALSE),-2)),SUMIFS(Dati!$B$2:$B$451,Dati!$A$2:$A$451,$H56,Dati!$H$2:$H$451,$AE56)+SUMIFS(Dati!$I$2:$I$451,Dati!$H$2:$H$451,$H56,Dati!$A$2:$A$451,$AE56),"-")</f>
        <v/>
      </c>
      <c r="AR56" s="22">
        <f>IF(AND($H56&lt;&gt;"",$AF56&lt;&gt;"",$H56&lt;&gt;$AF56,IFERROR(VLOOKUP($H56,areaCercaPuntiClassificaSquadra,3,FALSE),-1)=IFERROR(VLOOKUP($AF56,areaCercaPuntiClassificaSquadra,3,FALSE),-2)),SUMIFS(Dati!$B$2:$B$451,Dati!$A$2:$A$451,$H56,Dati!$H$2:$H$451,$AF56)+SUMIFS(Dati!$I$2:$I$451,Dati!$H$2:$H$451,$H56,Dati!$A$2:$A$451,$AF56),"-")</f>
        <v/>
      </c>
      <c r="AS56" s="22">
        <f>IF(AND($H56&lt;&gt;"",$AG56&lt;&gt;"",$H56&lt;&gt;$AG56,IFERROR(VLOOKUP($H56,areaCercaPuntiClassificaSquadra,3,FALSE),-1)=IFERROR(VLOOKUP($AG56,areaCercaPuntiClassificaSquadra,3,FALSE),-2)),SUMIFS(Dati!$B$2:$B$451,Dati!$A$2:$A$451,$H56,Dati!$H$2:$H$451,$AG56)+SUMIFS(Dati!$I$2:$I$451,Dati!$H$2:$H$451,$H56,Dati!$A$2:$A$451,$AG56),"-")</f>
        <v/>
      </c>
      <c r="AT56" s="22">
        <f>IF(AND($H56&lt;&gt;"",$AH56&lt;&gt;"",$H56&lt;&gt;$AH56,IFERROR(VLOOKUP($H56,areaCercaPuntiClassificaSquadra,3,FALSE),-1)=IFERROR(VLOOKUP($AH56,areaCercaPuntiClassificaSquadra,3,FALSE),-2)),SUMIFS(Dati!$B$2:$B$451,Dati!$A$2:$A$451,$H56,Dati!$H$2:$H$451,$AH56)+SUMIFS(Dati!$I$2:$I$451,Dati!$H$2:$H$451,$H56,Dati!$A$2:$A$451,$AH56),"-")</f>
        <v/>
      </c>
      <c r="AV56" s="21">
        <f>$C56</f>
        <v/>
      </c>
      <c r="AW56" s="22">
        <f>IF(AND($H56&lt;&gt;"",$Y56&lt;&gt;"",$H56&lt;&gt;$Y56,IFERROR(VLOOKUP($H56,areaCercaPuntiClassificaSquadra,3,FALSE),-1)=IFERROR(VLOOKUP($Y56,areaCercaPuntiClassificaSquadra,3,FALSE),-2)),SUMIFS(Dati!$D$2:$D$451,Dati!$A$2:$A$451,$H56,Dati!$H$2:$H$451,$Y56)+SUMIFS(Dati!$K$2:$K$451,Dati!$H$2:$H$451,$H56,Dati!$A$2:$A$451,$Y56)+SUMIFS(Dati!$C$2:$C$451,Dati!$A$2:$A$451,$H56,Dati!$H$2:$H$451,$Y56)+SUMIFS(Dati!$J$2:$J$451,Dati!$H$2:$H$451,$H56,Dati!$A$2:$A$451,$Y56),"-")</f>
        <v/>
      </c>
      <c r="AX56" s="22">
        <f>IF(AND($H56&lt;&gt;"",$Z56&lt;&gt;"",$H56&lt;&gt;$Z56,IFERROR(VLOOKUP($H56,areaCercaPuntiClassificaSquadra,3,FALSE),-1)=IFERROR(VLOOKUP($Z56,areaCercaPuntiClassificaSquadra,3,FALSE),-2)),SUMIFS(Dati!$D$2:$D$451,Dati!$A$2:$A$451,$H56,Dati!$H$2:$H$451,$Z56)+SUMIFS(Dati!$K$2:$K$451,Dati!$H$2:$H$451,$H56,Dati!$A$2:$A$451,$Z56)+SUMIFS(Dati!$C$2:$C$451,Dati!$A$2:$A$451,$H56,Dati!$H$2:$H$451,$Z56)+SUMIFS(Dati!$J$2:$J$451,Dati!$H$2:$H$451,$H56,Dati!$A$2:$A$451,$Z56),"-")</f>
        <v/>
      </c>
      <c r="AY56" s="22">
        <f>IF(AND($H56&lt;&gt;"",$AA56&lt;&gt;"",$H56&lt;&gt;$AA56,IFERROR(VLOOKUP($H56,areaCercaPuntiClassificaSquadra,3,FALSE),-1)=IFERROR(VLOOKUP($AA56,areaCercaPuntiClassificaSquadra,3,FALSE),-2)),SUMIFS(Dati!$D$2:$D$451,Dati!$A$2:$A$451,$H56,Dati!$H$2:$H$451,$AA56)+SUMIFS(Dati!$K$2:$K$451,Dati!$H$2:$H$451,$H56,Dati!$A$2:$A$451,$AA56)+SUMIFS(Dati!$C$2:$C$451,Dati!$A$2:$A$451,$H56,Dati!$H$2:$H$451,$AA56)+SUMIFS(Dati!$J$2:$J$451,Dati!$H$2:$H$451,$H56,Dati!$A$2:$A$451,$AA56),"-")</f>
        <v/>
      </c>
      <c r="AZ56" s="22">
        <f>IF(AND($H56&lt;&gt;"",$AB56&lt;&gt;"",$H56&lt;&gt;$AB56,IFERROR(VLOOKUP($H56,areaCercaPuntiClassificaSquadra,3,FALSE),-1)=IFERROR(VLOOKUP($AB56,areaCercaPuntiClassificaSquadra,3,FALSE),-2)),SUMIFS(Dati!$D$2:$D$451,Dati!$A$2:$A$451,$H56,Dati!$H$2:$H$451,$AB56)+SUMIFS(Dati!$K$2:$K$451,Dati!$H$2:$H$451,$H56,Dati!$A$2:$A$451,$AB56)+SUMIFS(Dati!$C$2:$C$451,Dati!$A$2:$A$451,$H56,Dati!$H$2:$H$451,$AB56)+SUMIFS(Dati!$J$2:$J$451,Dati!$H$2:$H$451,$H56,Dati!$A$2:$A$451,$AB56),"-")</f>
        <v/>
      </c>
      <c r="BA56" s="22">
        <f>IF(AND($H56&lt;&gt;"",$AC56&lt;&gt;"",$H56&lt;&gt;$AC56,IFERROR(VLOOKUP($H56,areaCercaPuntiClassificaSquadra,3,FALSE),-1)=IFERROR(VLOOKUP($AC56,areaCercaPuntiClassificaSquadra,3,FALSE),-2)),SUMIFS(Dati!$D$2:$D$451,Dati!$A$2:$A$451,$H56,Dati!$H$2:$H$451,$AC56)+SUMIFS(Dati!$K$2:$K$451,Dati!$H$2:$H$451,$H56,Dati!$A$2:$A$451,$AC56)+SUMIFS(Dati!$C$2:$C$451,Dati!$A$2:$A$451,$H56,Dati!$H$2:$H$451,$AC56)+SUMIFS(Dati!$J$2:$J$451,Dati!$H$2:$H$451,$H56,Dati!$A$2:$A$451,$AC56),"-")</f>
        <v/>
      </c>
      <c r="BB56" s="22">
        <f>IF(AND($H56&lt;&gt;"",$AD56&lt;&gt;"",$H56&lt;&gt;$AD56,IFERROR(VLOOKUP($H56,areaCercaPuntiClassificaSquadra,3,FALSE),-1)=IFERROR(VLOOKUP($AD56,areaCercaPuntiClassificaSquadra,3,FALSE),-2)),SUMIFS(Dati!$D$2:$D$451,Dati!$A$2:$A$451,$H56,Dati!$H$2:$H$451,$AD56)+SUMIFS(Dati!$K$2:$K$451,Dati!$H$2:$H$451,$H56,Dati!$A$2:$A$451,$AD56)+SUMIFS(Dati!$C$2:$C$451,Dati!$A$2:$A$451,$H56,Dati!$H$2:$H$451,$AD56)+SUMIFS(Dati!$J$2:$J$451,Dati!$H$2:$H$451,$H56,Dati!$A$2:$A$451,$AD56),"-")</f>
        <v/>
      </c>
      <c r="BC56" s="22">
        <f>IF(AND($H56&lt;&gt;"",$AE56&lt;&gt;"",$H56&lt;&gt;$AE56,IFERROR(VLOOKUP($H56,areaCercaPuntiClassificaSquadra,3,FALSE),-1)=IFERROR(VLOOKUP($AE56,areaCercaPuntiClassificaSquadra,3,FALSE),-2)),SUMIFS(Dati!$D$2:$D$451,Dati!$A$2:$A$451,$H56,Dati!$H$2:$H$451,$AE56)+SUMIFS(Dati!$K$2:$K$451,Dati!$H$2:$H$451,$H56,Dati!$A$2:$A$451,$AE56)+SUMIFS(Dati!$C$2:$C$451,Dati!$A$2:$A$451,$H56,Dati!$H$2:$H$451,$AE56)+SUMIFS(Dati!$J$2:$J$451,Dati!$H$2:$H$451,$H56,Dati!$A$2:$A$451,$AE56),"-")</f>
        <v/>
      </c>
      <c r="BD56" s="22">
        <f>IF(AND($H56&lt;&gt;"",$AF56&lt;&gt;"",$H56&lt;&gt;$AF56,IFERROR(VLOOKUP($H56,areaCercaPuntiClassificaSquadra,3,FALSE),-1)=IFERROR(VLOOKUP($AF56,areaCercaPuntiClassificaSquadra,3,FALSE),-2)),SUMIFS(Dati!$D$2:$D$451,Dati!$A$2:$A$451,$H56,Dati!$H$2:$H$451,$AF56)+SUMIFS(Dati!$K$2:$K$451,Dati!$H$2:$H$451,$H56,Dati!$A$2:$A$451,$AF56)+SUMIFS(Dati!$C$2:$C$451,Dati!$A$2:$A$451,$H56,Dati!$H$2:$H$451,$AF56)+SUMIFS(Dati!$J$2:$J$451,Dati!$H$2:$H$451,$H56,Dati!$A$2:$A$451,$AF56),"-")</f>
        <v/>
      </c>
      <c r="BE56" s="22">
        <f>IF(AND($H56&lt;&gt;"",$AG56&lt;&gt;"",$H56&lt;&gt;$AG56,IFERROR(VLOOKUP($H56,areaCercaPuntiClassificaSquadra,3,FALSE),-1)=IFERROR(VLOOKUP($AG56,areaCercaPuntiClassificaSquadra,3,FALSE),-2)),SUMIFS(Dati!$D$2:$D$451,Dati!$A$2:$A$451,$H56,Dati!$H$2:$H$451,$AG56)+SUMIFS(Dati!$K$2:$K$451,Dati!$H$2:$H$451,$H56,Dati!$A$2:$A$451,$AG56)+SUMIFS(Dati!$C$2:$C$451,Dati!$A$2:$A$451,$H56,Dati!$H$2:$H$451,$AG56)+SUMIFS(Dati!$J$2:$J$451,Dati!$H$2:$H$451,$H56,Dati!$A$2:$A$451,$AG56),"-")</f>
        <v/>
      </c>
      <c r="BF56" s="22">
        <f>IF(AND($H56&lt;&gt;"",$AH56&lt;&gt;"",$H56&lt;&gt;$AH56,IFERROR(VLOOKUP($H56,areaCercaPuntiClassificaSquadra,3,FALSE),-1)=IFERROR(VLOOKUP($AH56,areaCercaPuntiClassificaSquadra,3,FALSE),-2)),SUMIFS(Dati!$D$2:$D$451,Dati!$A$2:$A$451,$H56,Dati!$H$2:$H$451,$AH56)+SUMIFS(Dati!$K$2:$K$451,Dati!$H$2:$H$451,$H56,Dati!$A$2:$A$451,$AH56)+SUMIFS(Dati!$C$2:$C$451,Dati!$A$2:$A$451,$H56,Dati!$H$2:$H$451,$AH56)+SUMIFS(Dati!$J$2:$J$451,Dati!$H$2:$H$451,$H56,Dati!$A$2:$A$451,$AH56),"-")</f>
        <v/>
      </c>
      <c r="BH56" s="21">
        <f>$C56</f>
        <v/>
      </c>
      <c r="BI56" s="22">
        <f>IF(AND($H56&lt;&gt;"",$Y56&lt;&gt;"",$H56&lt;&gt;$Y56,IFERROR(VLOOKUP($H56,areaCercaPuntiClassificaSquadra,3,FALSE),-1)=IFERROR(VLOOKUP($Y56,areaCercaPuntiClassificaSquadra,3,FALSE),-2)),SUMIFS(Dati!$E$2:$E$451,Dati!$A$2:$A$451,$H56,Dati!$H$2:$H$451,$Y56)+SUMIFS(Dati!$L$2:$L$451,Dati!$H$2:$H$451,$H56,Dati!$A$2:$A$451,$Y56),"-")</f>
        <v/>
      </c>
      <c r="BJ56" s="22">
        <f>IF(AND($H56&lt;&gt;"",$Z56&lt;&gt;"",$H56&lt;&gt;$Z56,IFERROR(VLOOKUP($H56,areaCercaPuntiClassificaSquadra,3,FALSE),-1)=IFERROR(VLOOKUP($Z56,areaCercaPuntiClassificaSquadra,3,FALSE),-2)),SUMIFS(Dati!$E$2:$E$451,Dati!$A$2:$A$451,$H56,Dati!$H$2:$H$451,$Z56)+SUMIFS(Dati!$L$2:$L$451,Dati!$H$2:$H$451,$H56,Dati!$A$2:$A$451,$Z56),"-")</f>
        <v/>
      </c>
      <c r="BK56" s="22">
        <f>IF(AND($H56&lt;&gt;"",$AA56&lt;&gt;"",$H56&lt;&gt;$AA56,IFERROR(VLOOKUP($H56,areaCercaPuntiClassificaSquadra,3,FALSE),-1)=IFERROR(VLOOKUP($AA56,areaCercaPuntiClassificaSquadra,3,FALSE),-2)),SUMIFS(Dati!$E$2:$E$451,Dati!$A$2:$A$451,$H56,Dati!$H$2:$H$451,$AA56)+SUMIFS(Dati!$L$2:$L$451,Dati!$H$2:$H$451,$H56,Dati!$A$2:$A$451,$AA56),"-")</f>
        <v/>
      </c>
      <c r="BL56" s="22">
        <f>IF(AND($H56&lt;&gt;"",$AB56&lt;&gt;"",$H56&lt;&gt;$AB56,IFERROR(VLOOKUP($H56,areaCercaPuntiClassificaSquadra,3,FALSE),-1)=IFERROR(VLOOKUP($AB56,areaCercaPuntiClassificaSquadra,3,FALSE),-2)),SUMIFS(Dati!$E$2:$E$451,Dati!$A$2:$A$451,$H56,Dati!$H$2:$H$451,$AB56)+SUMIFS(Dati!$L$2:$L$451,Dati!$H$2:$H$451,$H56,Dati!$A$2:$A$451,$AB56),"-")</f>
        <v/>
      </c>
      <c r="BM56" s="22">
        <f>IF(AND($H56&lt;&gt;"",$AC56&lt;&gt;"",$H56&lt;&gt;$AC56,IFERROR(VLOOKUP($H56,areaCercaPuntiClassificaSquadra,3,FALSE),-1)=IFERROR(VLOOKUP($AC56,areaCercaPuntiClassificaSquadra,3,FALSE),-2)),SUMIFS(Dati!$E$2:$E$451,Dati!$A$2:$A$451,$H56,Dati!$H$2:$H$451,$AC56)+SUMIFS(Dati!$L$2:$L$451,Dati!$H$2:$H$451,$H56,Dati!$A$2:$A$451,$AC56),"-")</f>
        <v/>
      </c>
      <c r="BN56" s="22">
        <f>IF(AND($H56&lt;&gt;"",$AD56&lt;&gt;"",$H56&lt;&gt;$AD56,IFERROR(VLOOKUP($H56,areaCercaPuntiClassificaSquadra,3,FALSE),-1)=IFERROR(VLOOKUP($AD56,areaCercaPuntiClassificaSquadra,3,FALSE),-2)),SUMIFS(Dati!$E$2:$E$451,Dati!$A$2:$A$451,$H56,Dati!$H$2:$H$451,$AD56)+SUMIFS(Dati!$L$2:$L$451,Dati!$H$2:$H$451,$H56,Dati!$A$2:$A$451,$AD56),"-")</f>
        <v/>
      </c>
      <c r="BO56" s="22">
        <f>IF(AND($H56&lt;&gt;"",$AE56&lt;&gt;"",$H56&lt;&gt;$AE56,IFERROR(VLOOKUP($H56,areaCercaPuntiClassificaSquadra,3,FALSE),-1)=IFERROR(VLOOKUP($AE56,areaCercaPuntiClassificaSquadra,3,FALSE),-2)),SUMIFS(Dati!$E$2:$E$451,Dati!$A$2:$A$451,$H56,Dati!$H$2:$H$451,$AE56)+SUMIFS(Dati!$L$2:$L$451,Dati!$H$2:$H$451,$H56,Dati!$A$2:$A$451,$AE56),"-")</f>
        <v/>
      </c>
      <c r="BP56" s="22">
        <f>IF(AND($H56&lt;&gt;"",$AF56&lt;&gt;"",$H56&lt;&gt;$AF56,IFERROR(VLOOKUP($H56,areaCercaPuntiClassificaSquadra,3,FALSE),-1)=IFERROR(VLOOKUP($AF56,areaCercaPuntiClassificaSquadra,3,FALSE),-2)),SUMIFS(Dati!$E$2:$E$451,Dati!$A$2:$A$451,$H56,Dati!$H$2:$H$451,$AF56)+SUMIFS(Dati!$L$2:$L$451,Dati!$H$2:$H$451,$H56,Dati!$A$2:$A$451,$AF56),"-")</f>
        <v/>
      </c>
      <c r="BQ56" s="22">
        <f>IF(AND($H56&lt;&gt;"",$AG56&lt;&gt;"",$H56&lt;&gt;$AG56,IFERROR(VLOOKUP($H56,areaCercaPuntiClassificaSquadra,3,FALSE),-1)=IFERROR(VLOOKUP($AG56,areaCercaPuntiClassificaSquadra,3,FALSE),-2)),SUMIFS(Dati!$E$2:$E$451,Dati!$A$2:$A$451,$H56,Dati!$H$2:$H$451,$AG56)+SUMIFS(Dati!$L$2:$L$451,Dati!$H$2:$H$451,$H56,Dati!$A$2:$A$451,$AG56),"-")</f>
        <v/>
      </c>
      <c r="BR56" s="22">
        <f>IF(AND($H56&lt;&gt;"",$AH56&lt;&gt;"",$H56&lt;&gt;$AH56,IFERROR(VLOOKUP($H56,areaCercaPuntiClassificaSquadra,3,FALSE),-1)=IFERROR(VLOOKUP($AH56,areaCercaPuntiClassificaSquadra,3,FALSE),-2)),SUMIFS(Dati!$E$2:$E$451,Dati!$A$2:$A$451,$H56,Dati!$H$2:$H$451,$AH56)+SUMIFS(Dati!$L$2:$L$451,Dati!$H$2:$H$451,$H56,Dati!$A$2:$A$451,$AH56),"-")</f>
        <v/>
      </c>
      <c r="BT56" s="21">
        <f>$C56</f>
        <v/>
      </c>
      <c r="BU56" s="22">
        <f>IF(AND($H56&lt;&gt;"",$Y56&lt;&gt;"",$H56&lt;&gt;$Y56,IFERROR(VLOOKUP($H56,areaCercaPuntiClassificaSquadra,3,FALSE),-1)=IFERROR(VLOOKUP($Y56,areaCercaPuntiClassificaSquadra,3,FALSE),-2)),SUMIFS(Dati!$F$2:$F$451,Dati!$A$2:$A$451,$H56,Dati!$H$2:$H$451,$Y56)+SUMIFS(Dati!$M$2:$M$451,Dati!$H$2:$H$451,$H56,Dati!$A$2:$A$451,$Y56),"-")</f>
        <v/>
      </c>
      <c r="BV56" s="22">
        <f>IF(AND($H56&lt;&gt;"",$Z56&lt;&gt;"",$H56&lt;&gt;$Z56,IFERROR(VLOOKUP($H56,areaCercaPuntiClassificaSquadra,3,FALSE),-1)=IFERROR(VLOOKUP($Z56,areaCercaPuntiClassificaSquadra,3,FALSE),-2)),SUMIFS(Dati!$F$2:$F$451,Dati!$A$2:$A$451,$H56,Dati!$H$2:$H$451,$Z56)+SUMIFS(Dati!$M$2:$M$451,Dati!$H$2:$H$451,$H56,Dati!$A$2:$A$451,$Z56),"-")</f>
        <v/>
      </c>
      <c r="BW56" s="22">
        <f>IF(AND($H56&lt;&gt;"",$AA56&lt;&gt;"",$H56&lt;&gt;$AA56,IFERROR(VLOOKUP($H56,areaCercaPuntiClassificaSquadra,3,FALSE),-1)=IFERROR(VLOOKUP($AA56,areaCercaPuntiClassificaSquadra,3,FALSE),-2)),SUMIFS(Dati!$F$2:$F$451,Dati!$A$2:$A$451,$H56,Dati!$H$2:$H$451,$AA56)+SUMIFS(Dati!$M$2:$M$451,Dati!$H$2:$H$451,$H56,Dati!$A$2:$A$451,$AA56),"-")</f>
        <v/>
      </c>
      <c r="BX56" s="22">
        <f>IF(AND($H56&lt;&gt;"",$AB56&lt;&gt;"",$H56&lt;&gt;$AB56,IFERROR(VLOOKUP($H56,areaCercaPuntiClassificaSquadra,3,FALSE),-1)=IFERROR(VLOOKUP($AB56,areaCercaPuntiClassificaSquadra,3,FALSE),-2)),SUMIFS(Dati!$F$2:$F$451,Dati!$A$2:$A$451,$H56,Dati!$H$2:$H$451,$AB56)+SUMIFS(Dati!$M$2:$M$451,Dati!$H$2:$H$451,$H56,Dati!$A$2:$A$451,$AB56),"-")</f>
        <v/>
      </c>
      <c r="BY56" s="22">
        <f>IF(AND($H56&lt;&gt;"",$AC56&lt;&gt;"",$H56&lt;&gt;$AC56,IFERROR(VLOOKUP($H56,areaCercaPuntiClassificaSquadra,3,FALSE),-1)=IFERROR(VLOOKUP($AC56,areaCercaPuntiClassificaSquadra,3,FALSE),-2)),SUMIFS(Dati!$F$2:$F$451,Dati!$A$2:$A$451,$H56,Dati!$H$2:$H$451,$AC56)+SUMIFS(Dati!$M$2:$M$451,Dati!$H$2:$H$451,$H56,Dati!$A$2:$A$451,$AC56),"-")</f>
        <v/>
      </c>
      <c r="BZ56" s="22">
        <f>IF(AND($H56&lt;&gt;"",$AD56&lt;&gt;"",$H56&lt;&gt;$AD56,IFERROR(VLOOKUP($H56,areaCercaPuntiClassificaSquadra,3,FALSE),-1)=IFERROR(VLOOKUP($AD56,areaCercaPuntiClassificaSquadra,3,FALSE),-2)),SUMIFS(Dati!$F$2:$F$451,Dati!$A$2:$A$451,$H56,Dati!$H$2:$H$451,$AD56)+SUMIFS(Dati!$M$2:$M$451,Dati!$H$2:$H$451,$H56,Dati!$A$2:$A$451,$AD56),"-")</f>
        <v/>
      </c>
      <c r="CA56" s="22">
        <f>IF(AND($H56&lt;&gt;"",$AE56&lt;&gt;"",$H56&lt;&gt;$AE56,IFERROR(VLOOKUP($H56,areaCercaPuntiClassificaSquadra,3,FALSE),-1)=IFERROR(VLOOKUP($AE56,areaCercaPuntiClassificaSquadra,3,FALSE),-2)),SUMIFS(Dati!$F$2:$F$451,Dati!$A$2:$A$451,$H56,Dati!$H$2:$H$451,$AE56)+SUMIFS(Dati!$M$2:$M$451,Dati!$H$2:$H$451,$H56,Dati!$A$2:$A$451,$AE56),"-")</f>
        <v/>
      </c>
      <c r="CB56" s="22">
        <f>IF(AND($H56&lt;&gt;"",$AF56&lt;&gt;"",$H56&lt;&gt;$AF56,IFERROR(VLOOKUP($H56,areaCercaPuntiClassificaSquadra,3,FALSE),-1)=IFERROR(VLOOKUP($AF56,areaCercaPuntiClassificaSquadra,3,FALSE),-2)),SUMIFS(Dati!$F$2:$F$451,Dati!$A$2:$A$451,$H56,Dati!$H$2:$H$451,$AF56)+SUMIFS(Dati!$M$2:$M$451,Dati!$H$2:$H$451,$H56,Dati!$A$2:$A$451,$AF56),"-")</f>
        <v/>
      </c>
      <c r="CC56" s="22">
        <f>IF(AND($H56&lt;&gt;"",$AG56&lt;&gt;"",$H56&lt;&gt;$AG56,IFERROR(VLOOKUP($H56,areaCercaPuntiClassificaSquadra,3,FALSE),-1)=IFERROR(VLOOKUP($AG56,areaCercaPuntiClassificaSquadra,3,FALSE),-2)),SUMIFS(Dati!$F$2:$F$451,Dati!$A$2:$A$451,$H56,Dati!$H$2:$H$451,$AG56)+SUMIFS(Dati!$M$2:$M$451,Dati!$H$2:$H$451,$H56,Dati!$A$2:$A$451,$AG56),"-")</f>
        <v/>
      </c>
      <c r="CD56" s="22">
        <f>IF(AND($H56&lt;&gt;"",$AH56&lt;&gt;"",$H56&lt;&gt;$AH56,IFERROR(VLOOKUP($H56,areaCercaPuntiClassificaSquadra,3,FALSE),-1)=IFERROR(VLOOKUP($AH56,areaCercaPuntiClassificaSquadra,3,FALSE),-2)),SUMIFS(Dati!$F$2:$F$451,Dati!$A$2:$A$451,$H56,Dati!$H$2:$H$451,$AH56)+SUMIFS(Dati!$M$2:$M$451,Dati!$H$2:$H$451,$H56,Dati!$A$2:$A$451,$AH56),"-")</f>
        <v/>
      </c>
      <c r="CF56" s="22">
        <f>IF($C56="","",SUM(AK56:AT56))</f>
        <v/>
      </c>
    </row>
    <row r="57">
      <c r="B57" s="12" t="inlineStr">
        <is>
          <t>E04</t>
        </is>
      </c>
      <c r="C57" s="13" t="n"/>
      <c r="D57" s="14" t="n"/>
      <c r="E57" s="29" t="inlineStr">
        <is>
          <t>E</t>
        </is>
      </c>
      <c r="G57" s="30">
        <f>IF($C57="","",$E57&amp;(COUNTIFS(I$14:I$113,"&gt;"&amp;I57,E$14:E$113,"="&amp;E57,C$14:C$113,"&lt;&gt;")+COUNTIFS(I$14:I$113,"="&amp;I57,H$14:H$113,"&lt;="&amp;H57,E$14:E$113,"="&amp;E57,C$14:C$113,"&lt;&gt;")))</f>
        <v/>
      </c>
      <c r="H57" s="17">
        <f>IF($C57="","",IFERROR(LEFT($C57,FIND("-",$C57)-1),$C57))</f>
        <v/>
      </c>
      <c r="I57" s="12">
        <f>TEXT(1000000000+J57,"|0000000000|")&amp;TEXT(SUM(AK57:AT57),"0000000000|")&amp;IF(SUM(BU57:CD57)=0,"0000000000|",TEXT(ROUND(SUM(BI57:BR57)/SUM(BU57:CD57),4)*100000,"0000000000|"))&amp;IF(P57=0,"0000000000|",TEXT(ROUND(O57/P57,4)*100000,"0000000000|"))</f>
        <v/>
      </c>
      <c r="J57" s="30">
        <f>L57*constPuntiVittoria+M57*constPuntiSconfitta+N57*constPuntiForfait+IF(D57="",0,D57)</f>
        <v/>
      </c>
      <c r="K57" s="12">
        <f>SUM(L57:N57)</f>
        <v/>
      </c>
      <c r="L57" s="12">
        <f>IF($H57="",0,SUMIF(Dati!$A$2:$A$451,$H57,Dati!$B$2:$B$451)+SUMIF(Dati!$H$2:$H$451,$H57,Dati!$I$2:$I$451))</f>
        <v/>
      </c>
      <c r="M57" s="12">
        <f>IF($H57="",0,SUMIF(Dati!$A$2:$A$451,$H57,Dati!$D$2:$D$451)+SUMIF(Dati!$H$2:$H$451,$H57,Dati!$K$2:$K$451))</f>
        <v/>
      </c>
      <c r="N57" s="12">
        <f>IF($H57="",0,SUMIF(Dati!$A$2:$A$451,$H57,Dati!$C$2:$C$451)+SUMIF(Dati!$H$2:$H$451,$H57,Dati!$J$2:$J$451))</f>
        <v/>
      </c>
      <c r="O57" s="12">
        <f>IF($H57="",0,SUMIF(Dati!$A$2:$A$451,$H57,Dati!$E$2:$E$451)+SUMIF(Dati!$H$2:$H$451,$H57,Dati!$L$2:$L$451))</f>
        <v/>
      </c>
      <c r="P57" s="12">
        <f>IF($H57="",0,SUMIF(Dati!$A$2:$A$451,$H57,Dati!$F$2:$F$451)+SUMIF(Dati!$H$2:$H$451,$H57,Dati!$M$2:$M$451))</f>
        <v/>
      </c>
      <c r="Q57" s="12">
        <f>IF($H57="",0,SUMIF(Dati!$A$2:$A$451,$H57,Dati!$G$2:$G$451)+SUMIF(Dati!$H$2:$H$451,$H57,Dati!$N$2:$N$451))</f>
        <v/>
      </c>
      <c r="R57" s="12">
        <f>IF(K57=0,0,ROUND(O57/K57,2))</f>
        <v/>
      </c>
      <c r="S57" s="12">
        <f>IF(K57=0,0,ROUND(P57/K57,2))</f>
        <v/>
      </c>
      <c r="T57" s="12">
        <f>IF(K57=0,0,ROUND(Q57/K57,2))</f>
        <v/>
      </c>
      <c r="U57" s="12">
        <f>IF(COUNTIFS($E$14:$E$113,$E57,$J$14:$J$113,$J57,$C$14:$C$113,"&lt;&gt;")&lt;=1,"-",SUM(AK57:AT57)&amp;"-"&amp;SUM(AW57:BF57))</f>
        <v/>
      </c>
      <c r="V57" s="18">
        <f>IF(COUNTIFS($E$14:$E$113,$E57,$J$14:$J$113,$J57,$C$14:$C$113,"&lt;&gt;",$CF$14:$CF$113,$CF57)&lt;=1,"-",IF(SUM(BU57:CD57)=0,0,ROUND(SUM(BI57:BR57)/SUM(BU57:CD57),3)))</f>
        <v/>
      </c>
      <c r="W57" s="18">
        <f>IF(COUNTIFS($E$14:$E$113,$E57,$J$14:$J$113,$J57,$C$14:$C$113,"&lt;&gt;",$CF$14:$CF$113,$CF57,$V$14:$V$113,$V57)&lt;=1,"-",IF(P57=0,0,ROUND(O57/P57,3)))</f>
        <v/>
      </c>
      <c r="X57" s="19">
        <f>IF($C57="","",$E57&amp;"#"&amp;COUNTIFS($E$14:$E57,$E57,$C$14:$C57,"&lt;&gt;"))</f>
        <v/>
      </c>
      <c r="Y57" s="20">
        <f>IFERROR(INDEX($H$14:$H$113,MATCH($E57&amp;"#1",$X$14:$X$113,0)),"")</f>
        <v/>
      </c>
      <c r="Z57" s="20">
        <f>IFERROR(INDEX($H$14:$H$113,MATCH($E57&amp;"#2",$X$14:$X$113,0)),"")</f>
        <v/>
      </c>
      <c r="AA57" s="20">
        <f>IFERROR(INDEX($H$14:$H$113,MATCH($E57&amp;"#3",$X$14:$X$113,0)),"")</f>
        <v/>
      </c>
      <c r="AB57" s="20">
        <f>IFERROR(INDEX($H$14:$H$113,MATCH($E57&amp;"#4",$X$14:$X$113,0)),"")</f>
        <v/>
      </c>
      <c r="AC57" s="20">
        <f>IFERROR(INDEX($H$14:$H$113,MATCH($E57&amp;"#5",$X$14:$X$113,0)),"")</f>
        <v/>
      </c>
      <c r="AD57" s="20">
        <f>IFERROR(INDEX($H$14:$H$113,MATCH($E57&amp;"#6",$X$14:$X$113,0)),"")</f>
        <v/>
      </c>
      <c r="AE57" s="20">
        <f>IFERROR(INDEX($H$14:$H$113,MATCH($E57&amp;"#7",$X$14:$X$113,0)),"")</f>
        <v/>
      </c>
      <c r="AF57" s="20">
        <f>IFERROR(INDEX($H$14:$H$113,MATCH($E57&amp;"#8",$X$14:$X$113,0)),"")</f>
        <v/>
      </c>
      <c r="AG57" s="20">
        <f>IFERROR(INDEX($H$14:$H$113,MATCH($E57&amp;"#9",$X$14:$X$113,0)),"")</f>
        <v/>
      </c>
      <c r="AH57" s="20">
        <f>IFERROR(INDEX($H$14:$H$113,MATCH($E57&amp;"#10",$X$14:$X$113,0)),"")</f>
        <v/>
      </c>
      <c r="AJ57" s="21">
        <f>$C57</f>
        <v/>
      </c>
      <c r="AK57" s="22">
        <f>IF(AND($H57&lt;&gt;"",$Y57&lt;&gt;"",$H57&lt;&gt;$Y57,IFERROR(VLOOKUP($H57,areaCercaPuntiClassificaSquadra,3,FALSE),-1)=IFERROR(VLOOKUP($Y57,areaCercaPuntiClassificaSquadra,3,FALSE),-2)),SUMIFS(Dati!$B$2:$B$451,Dati!$A$2:$A$451,$H57,Dati!$H$2:$H$451,$Y57)+SUMIFS(Dati!$I$2:$I$451,Dati!$H$2:$H$451,$H57,Dati!$A$2:$A$451,$Y57),"-")</f>
        <v/>
      </c>
      <c r="AL57" s="22">
        <f>IF(AND($H57&lt;&gt;"",$Z57&lt;&gt;"",$H57&lt;&gt;$Z57,IFERROR(VLOOKUP($H57,areaCercaPuntiClassificaSquadra,3,FALSE),-1)=IFERROR(VLOOKUP($Z57,areaCercaPuntiClassificaSquadra,3,FALSE),-2)),SUMIFS(Dati!$B$2:$B$451,Dati!$A$2:$A$451,$H57,Dati!$H$2:$H$451,$Z57)+SUMIFS(Dati!$I$2:$I$451,Dati!$H$2:$H$451,$H57,Dati!$A$2:$A$451,$Z57),"-")</f>
        <v/>
      </c>
      <c r="AM57" s="22">
        <f>IF(AND($H57&lt;&gt;"",$AA57&lt;&gt;"",$H57&lt;&gt;$AA57,IFERROR(VLOOKUP($H57,areaCercaPuntiClassificaSquadra,3,FALSE),-1)=IFERROR(VLOOKUP($AA57,areaCercaPuntiClassificaSquadra,3,FALSE),-2)),SUMIFS(Dati!$B$2:$B$451,Dati!$A$2:$A$451,$H57,Dati!$H$2:$H$451,$AA57)+SUMIFS(Dati!$I$2:$I$451,Dati!$H$2:$H$451,$H57,Dati!$A$2:$A$451,$AA57),"-")</f>
        <v/>
      </c>
      <c r="AN57" s="22">
        <f>IF(AND($H57&lt;&gt;"",$AB57&lt;&gt;"",$H57&lt;&gt;$AB57,IFERROR(VLOOKUP($H57,areaCercaPuntiClassificaSquadra,3,FALSE),-1)=IFERROR(VLOOKUP($AB57,areaCercaPuntiClassificaSquadra,3,FALSE),-2)),SUMIFS(Dati!$B$2:$B$451,Dati!$A$2:$A$451,$H57,Dati!$H$2:$H$451,$AB57)+SUMIFS(Dati!$I$2:$I$451,Dati!$H$2:$H$451,$H57,Dati!$A$2:$A$451,$AB57),"-")</f>
        <v/>
      </c>
      <c r="AO57" s="22">
        <f>IF(AND($H57&lt;&gt;"",$AC57&lt;&gt;"",$H57&lt;&gt;$AC57,IFERROR(VLOOKUP($H57,areaCercaPuntiClassificaSquadra,3,FALSE),-1)=IFERROR(VLOOKUP($AC57,areaCercaPuntiClassificaSquadra,3,FALSE),-2)),SUMIFS(Dati!$B$2:$B$451,Dati!$A$2:$A$451,$H57,Dati!$H$2:$H$451,$AC57)+SUMIFS(Dati!$I$2:$I$451,Dati!$H$2:$H$451,$H57,Dati!$A$2:$A$451,$AC57),"-")</f>
        <v/>
      </c>
      <c r="AP57" s="22">
        <f>IF(AND($H57&lt;&gt;"",$AD57&lt;&gt;"",$H57&lt;&gt;$AD57,IFERROR(VLOOKUP($H57,areaCercaPuntiClassificaSquadra,3,FALSE),-1)=IFERROR(VLOOKUP($AD57,areaCercaPuntiClassificaSquadra,3,FALSE),-2)),SUMIFS(Dati!$B$2:$B$451,Dati!$A$2:$A$451,$H57,Dati!$H$2:$H$451,$AD57)+SUMIFS(Dati!$I$2:$I$451,Dati!$H$2:$H$451,$H57,Dati!$A$2:$A$451,$AD57),"-")</f>
        <v/>
      </c>
      <c r="AQ57" s="22">
        <f>IF(AND($H57&lt;&gt;"",$AE57&lt;&gt;"",$H57&lt;&gt;$AE57,IFERROR(VLOOKUP($H57,areaCercaPuntiClassificaSquadra,3,FALSE),-1)=IFERROR(VLOOKUP($AE57,areaCercaPuntiClassificaSquadra,3,FALSE),-2)),SUMIFS(Dati!$B$2:$B$451,Dati!$A$2:$A$451,$H57,Dati!$H$2:$H$451,$AE57)+SUMIFS(Dati!$I$2:$I$451,Dati!$H$2:$H$451,$H57,Dati!$A$2:$A$451,$AE57),"-")</f>
        <v/>
      </c>
      <c r="AR57" s="22">
        <f>IF(AND($H57&lt;&gt;"",$AF57&lt;&gt;"",$H57&lt;&gt;$AF57,IFERROR(VLOOKUP($H57,areaCercaPuntiClassificaSquadra,3,FALSE),-1)=IFERROR(VLOOKUP($AF57,areaCercaPuntiClassificaSquadra,3,FALSE),-2)),SUMIFS(Dati!$B$2:$B$451,Dati!$A$2:$A$451,$H57,Dati!$H$2:$H$451,$AF57)+SUMIFS(Dati!$I$2:$I$451,Dati!$H$2:$H$451,$H57,Dati!$A$2:$A$451,$AF57),"-")</f>
        <v/>
      </c>
      <c r="AS57" s="22">
        <f>IF(AND($H57&lt;&gt;"",$AG57&lt;&gt;"",$H57&lt;&gt;$AG57,IFERROR(VLOOKUP($H57,areaCercaPuntiClassificaSquadra,3,FALSE),-1)=IFERROR(VLOOKUP($AG57,areaCercaPuntiClassificaSquadra,3,FALSE),-2)),SUMIFS(Dati!$B$2:$B$451,Dati!$A$2:$A$451,$H57,Dati!$H$2:$H$451,$AG57)+SUMIFS(Dati!$I$2:$I$451,Dati!$H$2:$H$451,$H57,Dati!$A$2:$A$451,$AG57),"-")</f>
        <v/>
      </c>
      <c r="AT57" s="22">
        <f>IF(AND($H57&lt;&gt;"",$AH57&lt;&gt;"",$H57&lt;&gt;$AH57,IFERROR(VLOOKUP($H57,areaCercaPuntiClassificaSquadra,3,FALSE),-1)=IFERROR(VLOOKUP($AH57,areaCercaPuntiClassificaSquadra,3,FALSE),-2)),SUMIFS(Dati!$B$2:$B$451,Dati!$A$2:$A$451,$H57,Dati!$H$2:$H$451,$AH57)+SUMIFS(Dati!$I$2:$I$451,Dati!$H$2:$H$451,$H57,Dati!$A$2:$A$451,$AH57),"-")</f>
        <v/>
      </c>
      <c r="AV57" s="21">
        <f>$C57</f>
        <v/>
      </c>
      <c r="AW57" s="22">
        <f>IF(AND($H57&lt;&gt;"",$Y57&lt;&gt;"",$H57&lt;&gt;$Y57,IFERROR(VLOOKUP($H57,areaCercaPuntiClassificaSquadra,3,FALSE),-1)=IFERROR(VLOOKUP($Y57,areaCercaPuntiClassificaSquadra,3,FALSE),-2)),SUMIFS(Dati!$D$2:$D$451,Dati!$A$2:$A$451,$H57,Dati!$H$2:$H$451,$Y57)+SUMIFS(Dati!$K$2:$K$451,Dati!$H$2:$H$451,$H57,Dati!$A$2:$A$451,$Y57)+SUMIFS(Dati!$C$2:$C$451,Dati!$A$2:$A$451,$H57,Dati!$H$2:$H$451,$Y57)+SUMIFS(Dati!$J$2:$J$451,Dati!$H$2:$H$451,$H57,Dati!$A$2:$A$451,$Y57),"-")</f>
        <v/>
      </c>
      <c r="AX57" s="22">
        <f>IF(AND($H57&lt;&gt;"",$Z57&lt;&gt;"",$H57&lt;&gt;$Z57,IFERROR(VLOOKUP($H57,areaCercaPuntiClassificaSquadra,3,FALSE),-1)=IFERROR(VLOOKUP($Z57,areaCercaPuntiClassificaSquadra,3,FALSE),-2)),SUMIFS(Dati!$D$2:$D$451,Dati!$A$2:$A$451,$H57,Dati!$H$2:$H$451,$Z57)+SUMIFS(Dati!$K$2:$K$451,Dati!$H$2:$H$451,$H57,Dati!$A$2:$A$451,$Z57)+SUMIFS(Dati!$C$2:$C$451,Dati!$A$2:$A$451,$H57,Dati!$H$2:$H$451,$Z57)+SUMIFS(Dati!$J$2:$J$451,Dati!$H$2:$H$451,$H57,Dati!$A$2:$A$451,$Z57),"-")</f>
        <v/>
      </c>
      <c r="AY57" s="22">
        <f>IF(AND($H57&lt;&gt;"",$AA57&lt;&gt;"",$H57&lt;&gt;$AA57,IFERROR(VLOOKUP($H57,areaCercaPuntiClassificaSquadra,3,FALSE),-1)=IFERROR(VLOOKUP($AA57,areaCercaPuntiClassificaSquadra,3,FALSE),-2)),SUMIFS(Dati!$D$2:$D$451,Dati!$A$2:$A$451,$H57,Dati!$H$2:$H$451,$AA57)+SUMIFS(Dati!$K$2:$K$451,Dati!$H$2:$H$451,$H57,Dati!$A$2:$A$451,$AA57)+SUMIFS(Dati!$C$2:$C$451,Dati!$A$2:$A$451,$H57,Dati!$H$2:$H$451,$AA57)+SUMIFS(Dati!$J$2:$J$451,Dati!$H$2:$H$451,$H57,Dati!$A$2:$A$451,$AA57),"-")</f>
        <v/>
      </c>
      <c r="AZ57" s="22">
        <f>IF(AND($H57&lt;&gt;"",$AB57&lt;&gt;"",$H57&lt;&gt;$AB57,IFERROR(VLOOKUP($H57,areaCercaPuntiClassificaSquadra,3,FALSE),-1)=IFERROR(VLOOKUP($AB57,areaCercaPuntiClassificaSquadra,3,FALSE),-2)),SUMIFS(Dati!$D$2:$D$451,Dati!$A$2:$A$451,$H57,Dati!$H$2:$H$451,$AB57)+SUMIFS(Dati!$K$2:$K$451,Dati!$H$2:$H$451,$H57,Dati!$A$2:$A$451,$AB57)+SUMIFS(Dati!$C$2:$C$451,Dati!$A$2:$A$451,$H57,Dati!$H$2:$H$451,$AB57)+SUMIFS(Dati!$J$2:$J$451,Dati!$H$2:$H$451,$H57,Dati!$A$2:$A$451,$AB57),"-")</f>
        <v/>
      </c>
      <c r="BA57" s="22">
        <f>IF(AND($H57&lt;&gt;"",$AC57&lt;&gt;"",$H57&lt;&gt;$AC57,IFERROR(VLOOKUP($H57,areaCercaPuntiClassificaSquadra,3,FALSE),-1)=IFERROR(VLOOKUP($AC57,areaCercaPuntiClassificaSquadra,3,FALSE),-2)),SUMIFS(Dati!$D$2:$D$451,Dati!$A$2:$A$451,$H57,Dati!$H$2:$H$451,$AC57)+SUMIFS(Dati!$K$2:$K$451,Dati!$H$2:$H$451,$H57,Dati!$A$2:$A$451,$AC57)+SUMIFS(Dati!$C$2:$C$451,Dati!$A$2:$A$451,$H57,Dati!$H$2:$H$451,$AC57)+SUMIFS(Dati!$J$2:$J$451,Dati!$H$2:$H$451,$H57,Dati!$A$2:$A$451,$AC57),"-")</f>
        <v/>
      </c>
      <c r="BB57" s="22">
        <f>IF(AND($H57&lt;&gt;"",$AD57&lt;&gt;"",$H57&lt;&gt;$AD57,IFERROR(VLOOKUP($H57,areaCercaPuntiClassificaSquadra,3,FALSE),-1)=IFERROR(VLOOKUP($AD57,areaCercaPuntiClassificaSquadra,3,FALSE),-2)),SUMIFS(Dati!$D$2:$D$451,Dati!$A$2:$A$451,$H57,Dati!$H$2:$H$451,$AD57)+SUMIFS(Dati!$K$2:$K$451,Dati!$H$2:$H$451,$H57,Dati!$A$2:$A$451,$AD57)+SUMIFS(Dati!$C$2:$C$451,Dati!$A$2:$A$451,$H57,Dati!$H$2:$H$451,$AD57)+SUMIFS(Dati!$J$2:$J$451,Dati!$H$2:$H$451,$H57,Dati!$A$2:$A$451,$AD57),"-")</f>
        <v/>
      </c>
      <c r="BC57" s="22">
        <f>IF(AND($H57&lt;&gt;"",$AE57&lt;&gt;"",$H57&lt;&gt;$AE57,IFERROR(VLOOKUP($H57,areaCercaPuntiClassificaSquadra,3,FALSE),-1)=IFERROR(VLOOKUP($AE57,areaCercaPuntiClassificaSquadra,3,FALSE),-2)),SUMIFS(Dati!$D$2:$D$451,Dati!$A$2:$A$451,$H57,Dati!$H$2:$H$451,$AE57)+SUMIFS(Dati!$K$2:$K$451,Dati!$H$2:$H$451,$H57,Dati!$A$2:$A$451,$AE57)+SUMIFS(Dati!$C$2:$C$451,Dati!$A$2:$A$451,$H57,Dati!$H$2:$H$451,$AE57)+SUMIFS(Dati!$J$2:$J$451,Dati!$H$2:$H$451,$H57,Dati!$A$2:$A$451,$AE57),"-")</f>
        <v/>
      </c>
      <c r="BD57" s="22">
        <f>IF(AND($H57&lt;&gt;"",$AF57&lt;&gt;"",$H57&lt;&gt;$AF57,IFERROR(VLOOKUP($H57,areaCercaPuntiClassificaSquadra,3,FALSE),-1)=IFERROR(VLOOKUP($AF57,areaCercaPuntiClassificaSquadra,3,FALSE),-2)),SUMIFS(Dati!$D$2:$D$451,Dati!$A$2:$A$451,$H57,Dati!$H$2:$H$451,$AF57)+SUMIFS(Dati!$K$2:$K$451,Dati!$H$2:$H$451,$H57,Dati!$A$2:$A$451,$AF57)+SUMIFS(Dati!$C$2:$C$451,Dati!$A$2:$A$451,$H57,Dati!$H$2:$H$451,$AF57)+SUMIFS(Dati!$J$2:$J$451,Dati!$H$2:$H$451,$H57,Dati!$A$2:$A$451,$AF57),"-")</f>
        <v/>
      </c>
      <c r="BE57" s="22">
        <f>IF(AND($H57&lt;&gt;"",$AG57&lt;&gt;"",$H57&lt;&gt;$AG57,IFERROR(VLOOKUP($H57,areaCercaPuntiClassificaSquadra,3,FALSE),-1)=IFERROR(VLOOKUP($AG57,areaCercaPuntiClassificaSquadra,3,FALSE),-2)),SUMIFS(Dati!$D$2:$D$451,Dati!$A$2:$A$451,$H57,Dati!$H$2:$H$451,$AG57)+SUMIFS(Dati!$K$2:$K$451,Dati!$H$2:$H$451,$H57,Dati!$A$2:$A$451,$AG57)+SUMIFS(Dati!$C$2:$C$451,Dati!$A$2:$A$451,$H57,Dati!$H$2:$H$451,$AG57)+SUMIFS(Dati!$J$2:$J$451,Dati!$H$2:$H$451,$H57,Dati!$A$2:$A$451,$AG57),"-")</f>
        <v/>
      </c>
      <c r="BF57" s="22">
        <f>IF(AND($H57&lt;&gt;"",$AH57&lt;&gt;"",$H57&lt;&gt;$AH57,IFERROR(VLOOKUP($H57,areaCercaPuntiClassificaSquadra,3,FALSE),-1)=IFERROR(VLOOKUP($AH57,areaCercaPuntiClassificaSquadra,3,FALSE),-2)),SUMIFS(Dati!$D$2:$D$451,Dati!$A$2:$A$451,$H57,Dati!$H$2:$H$451,$AH57)+SUMIFS(Dati!$K$2:$K$451,Dati!$H$2:$H$451,$H57,Dati!$A$2:$A$451,$AH57)+SUMIFS(Dati!$C$2:$C$451,Dati!$A$2:$A$451,$H57,Dati!$H$2:$H$451,$AH57)+SUMIFS(Dati!$J$2:$J$451,Dati!$H$2:$H$451,$H57,Dati!$A$2:$A$451,$AH57),"-")</f>
        <v/>
      </c>
      <c r="BH57" s="21">
        <f>$C57</f>
        <v/>
      </c>
      <c r="BI57" s="22">
        <f>IF(AND($H57&lt;&gt;"",$Y57&lt;&gt;"",$H57&lt;&gt;$Y57,IFERROR(VLOOKUP($H57,areaCercaPuntiClassificaSquadra,3,FALSE),-1)=IFERROR(VLOOKUP($Y57,areaCercaPuntiClassificaSquadra,3,FALSE),-2)),SUMIFS(Dati!$E$2:$E$451,Dati!$A$2:$A$451,$H57,Dati!$H$2:$H$451,$Y57)+SUMIFS(Dati!$L$2:$L$451,Dati!$H$2:$H$451,$H57,Dati!$A$2:$A$451,$Y57),"-")</f>
        <v/>
      </c>
      <c r="BJ57" s="22">
        <f>IF(AND($H57&lt;&gt;"",$Z57&lt;&gt;"",$H57&lt;&gt;$Z57,IFERROR(VLOOKUP($H57,areaCercaPuntiClassificaSquadra,3,FALSE),-1)=IFERROR(VLOOKUP($Z57,areaCercaPuntiClassificaSquadra,3,FALSE),-2)),SUMIFS(Dati!$E$2:$E$451,Dati!$A$2:$A$451,$H57,Dati!$H$2:$H$451,$Z57)+SUMIFS(Dati!$L$2:$L$451,Dati!$H$2:$H$451,$H57,Dati!$A$2:$A$451,$Z57),"-")</f>
        <v/>
      </c>
      <c r="BK57" s="22">
        <f>IF(AND($H57&lt;&gt;"",$AA57&lt;&gt;"",$H57&lt;&gt;$AA57,IFERROR(VLOOKUP($H57,areaCercaPuntiClassificaSquadra,3,FALSE),-1)=IFERROR(VLOOKUP($AA57,areaCercaPuntiClassificaSquadra,3,FALSE),-2)),SUMIFS(Dati!$E$2:$E$451,Dati!$A$2:$A$451,$H57,Dati!$H$2:$H$451,$AA57)+SUMIFS(Dati!$L$2:$L$451,Dati!$H$2:$H$451,$H57,Dati!$A$2:$A$451,$AA57),"-")</f>
        <v/>
      </c>
      <c r="BL57" s="22">
        <f>IF(AND($H57&lt;&gt;"",$AB57&lt;&gt;"",$H57&lt;&gt;$AB57,IFERROR(VLOOKUP($H57,areaCercaPuntiClassificaSquadra,3,FALSE),-1)=IFERROR(VLOOKUP($AB57,areaCercaPuntiClassificaSquadra,3,FALSE),-2)),SUMIFS(Dati!$E$2:$E$451,Dati!$A$2:$A$451,$H57,Dati!$H$2:$H$451,$AB57)+SUMIFS(Dati!$L$2:$L$451,Dati!$H$2:$H$451,$H57,Dati!$A$2:$A$451,$AB57),"-")</f>
        <v/>
      </c>
      <c r="BM57" s="22">
        <f>IF(AND($H57&lt;&gt;"",$AC57&lt;&gt;"",$H57&lt;&gt;$AC57,IFERROR(VLOOKUP($H57,areaCercaPuntiClassificaSquadra,3,FALSE),-1)=IFERROR(VLOOKUP($AC57,areaCercaPuntiClassificaSquadra,3,FALSE),-2)),SUMIFS(Dati!$E$2:$E$451,Dati!$A$2:$A$451,$H57,Dati!$H$2:$H$451,$AC57)+SUMIFS(Dati!$L$2:$L$451,Dati!$H$2:$H$451,$H57,Dati!$A$2:$A$451,$AC57),"-")</f>
        <v/>
      </c>
      <c r="BN57" s="22">
        <f>IF(AND($H57&lt;&gt;"",$AD57&lt;&gt;"",$H57&lt;&gt;$AD57,IFERROR(VLOOKUP($H57,areaCercaPuntiClassificaSquadra,3,FALSE),-1)=IFERROR(VLOOKUP($AD57,areaCercaPuntiClassificaSquadra,3,FALSE),-2)),SUMIFS(Dati!$E$2:$E$451,Dati!$A$2:$A$451,$H57,Dati!$H$2:$H$451,$AD57)+SUMIFS(Dati!$L$2:$L$451,Dati!$H$2:$H$451,$H57,Dati!$A$2:$A$451,$AD57),"-")</f>
        <v/>
      </c>
      <c r="BO57" s="22">
        <f>IF(AND($H57&lt;&gt;"",$AE57&lt;&gt;"",$H57&lt;&gt;$AE57,IFERROR(VLOOKUP($H57,areaCercaPuntiClassificaSquadra,3,FALSE),-1)=IFERROR(VLOOKUP($AE57,areaCercaPuntiClassificaSquadra,3,FALSE),-2)),SUMIFS(Dati!$E$2:$E$451,Dati!$A$2:$A$451,$H57,Dati!$H$2:$H$451,$AE57)+SUMIFS(Dati!$L$2:$L$451,Dati!$H$2:$H$451,$H57,Dati!$A$2:$A$451,$AE57),"-")</f>
        <v/>
      </c>
      <c r="BP57" s="22">
        <f>IF(AND($H57&lt;&gt;"",$AF57&lt;&gt;"",$H57&lt;&gt;$AF57,IFERROR(VLOOKUP($H57,areaCercaPuntiClassificaSquadra,3,FALSE),-1)=IFERROR(VLOOKUP($AF57,areaCercaPuntiClassificaSquadra,3,FALSE),-2)),SUMIFS(Dati!$E$2:$E$451,Dati!$A$2:$A$451,$H57,Dati!$H$2:$H$451,$AF57)+SUMIFS(Dati!$L$2:$L$451,Dati!$H$2:$H$451,$H57,Dati!$A$2:$A$451,$AF57),"-")</f>
        <v/>
      </c>
      <c r="BQ57" s="22">
        <f>IF(AND($H57&lt;&gt;"",$AG57&lt;&gt;"",$H57&lt;&gt;$AG57,IFERROR(VLOOKUP($H57,areaCercaPuntiClassificaSquadra,3,FALSE),-1)=IFERROR(VLOOKUP($AG57,areaCercaPuntiClassificaSquadra,3,FALSE),-2)),SUMIFS(Dati!$E$2:$E$451,Dati!$A$2:$A$451,$H57,Dati!$H$2:$H$451,$AG57)+SUMIFS(Dati!$L$2:$L$451,Dati!$H$2:$H$451,$H57,Dati!$A$2:$A$451,$AG57),"-")</f>
        <v/>
      </c>
      <c r="BR57" s="22">
        <f>IF(AND($H57&lt;&gt;"",$AH57&lt;&gt;"",$H57&lt;&gt;$AH57,IFERROR(VLOOKUP($H57,areaCercaPuntiClassificaSquadra,3,FALSE),-1)=IFERROR(VLOOKUP($AH57,areaCercaPuntiClassificaSquadra,3,FALSE),-2)),SUMIFS(Dati!$E$2:$E$451,Dati!$A$2:$A$451,$H57,Dati!$H$2:$H$451,$AH57)+SUMIFS(Dati!$L$2:$L$451,Dati!$H$2:$H$451,$H57,Dati!$A$2:$A$451,$AH57),"-")</f>
        <v/>
      </c>
      <c r="BT57" s="21">
        <f>$C57</f>
        <v/>
      </c>
      <c r="BU57" s="22">
        <f>IF(AND($H57&lt;&gt;"",$Y57&lt;&gt;"",$H57&lt;&gt;$Y57,IFERROR(VLOOKUP($H57,areaCercaPuntiClassificaSquadra,3,FALSE),-1)=IFERROR(VLOOKUP($Y57,areaCercaPuntiClassificaSquadra,3,FALSE),-2)),SUMIFS(Dati!$F$2:$F$451,Dati!$A$2:$A$451,$H57,Dati!$H$2:$H$451,$Y57)+SUMIFS(Dati!$M$2:$M$451,Dati!$H$2:$H$451,$H57,Dati!$A$2:$A$451,$Y57),"-")</f>
        <v/>
      </c>
      <c r="BV57" s="22">
        <f>IF(AND($H57&lt;&gt;"",$Z57&lt;&gt;"",$H57&lt;&gt;$Z57,IFERROR(VLOOKUP($H57,areaCercaPuntiClassificaSquadra,3,FALSE),-1)=IFERROR(VLOOKUP($Z57,areaCercaPuntiClassificaSquadra,3,FALSE),-2)),SUMIFS(Dati!$F$2:$F$451,Dati!$A$2:$A$451,$H57,Dati!$H$2:$H$451,$Z57)+SUMIFS(Dati!$M$2:$M$451,Dati!$H$2:$H$451,$H57,Dati!$A$2:$A$451,$Z57),"-")</f>
        <v/>
      </c>
      <c r="BW57" s="22">
        <f>IF(AND($H57&lt;&gt;"",$AA57&lt;&gt;"",$H57&lt;&gt;$AA57,IFERROR(VLOOKUP($H57,areaCercaPuntiClassificaSquadra,3,FALSE),-1)=IFERROR(VLOOKUP($AA57,areaCercaPuntiClassificaSquadra,3,FALSE),-2)),SUMIFS(Dati!$F$2:$F$451,Dati!$A$2:$A$451,$H57,Dati!$H$2:$H$451,$AA57)+SUMIFS(Dati!$M$2:$M$451,Dati!$H$2:$H$451,$H57,Dati!$A$2:$A$451,$AA57),"-")</f>
        <v/>
      </c>
      <c r="BX57" s="22">
        <f>IF(AND($H57&lt;&gt;"",$AB57&lt;&gt;"",$H57&lt;&gt;$AB57,IFERROR(VLOOKUP($H57,areaCercaPuntiClassificaSquadra,3,FALSE),-1)=IFERROR(VLOOKUP($AB57,areaCercaPuntiClassificaSquadra,3,FALSE),-2)),SUMIFS(Dati!$F$2:$F$451,Dati!$A$2:$A$451,$H57,Dati!$H$2:$H$451,$AB57)+SUMIFS(Dati!$M$2:$M$451,Dati!$H$2:$H$451,$H57,Dati!$A$2:$A$451,$AB57),"-")</f>
        <v/>
      </c>
      <c r="BY57" s="22">
        <f>IF(AND($H57&lt;&gt;"",$AC57&lt;&gt;"",$H57&lt;&gt;$AC57,IFERROR(VLOOKUP($H57,areaCercaPuntiClassificaSquadra,3,FALSE),-1)=IFERROR(VLOOKUP($AC57,areaCercaPuntiClassificaSquadra,3,FALSE),-2)),SUMIFS(Dati!$F$2:$F$451,Dati!$A$2:$A$451,$H57,Dati!$H$2:$H$451,$AC57)+SUMIFS(Dati!$M$2:$M$451,Dati!$H$2:$H$451,$H57,Dati!$A$2:$A$451,$AC57),"-")</f>
        <v/>
      </c>
      <c r="BZ57" s="22">
        <f>IF(AND($H57&lt;&gt;"",$AD57&lt;&gt;"",$H57&lt;&gt;$AD57,IFERROR(VLOOKUP($H57,areaCercaPuntiClassificaSquadra,3,FALSE),-1)=IFERROR(VLOOKUP($AD57,areaCercaPuntiClassificaSquadra,3,FALSE),-2)),SUMIFS(Dati!$F$2:$F$451,Dati!$A$2:$A$451,$H57,Dati!$H$2:$H$451,$AD57)+SUMIFS(Dati!$M$2:$M$451,Dati!$H$2:$H$451,$H57,Dati!$A$2:$A$451,$AD57),"-")</f>
        <v/>
      </c>
      <c r="CA57" s="22">
        <f>IF(AND($H57&lt;&gt;"",$AE57&lt;&gt;"",$H57&lt;&gt;$AE57,IFERROR(VLOOKUP($H57,areaCercaPuntiClassificaSquadra,3,FALSE),-1)=IFERROR(VLOOKUP($AE57,areaCercaPuntiClassificaSquadra,3,FALSE),-2)),SUMIFS(Dati!$F$2:$F$451,Dati!$A$2:$A$451,$H57,Dati!$H$2:$H$451,$AE57)+SUMIFS(Dati!$M$2:$M$451,Dati!$H$2:$H$451,$H57,Dati!$A$2:$A$451,$AE57),"-")</f>
        <v/>
      </c>
      <c r="CB57" s="22">
        <f>IF(AND($H57&lt;&gt;"",$AF57&lt;&gt;"",$H57&lt;&gt;$AF57,IFERROR(VLOOKUP($H57,areaCercaPuntiClassificaSquadra,3,FALSE),-1)=IFERROR(VLOOKUP($AF57,areaCercaPuntiClassificaSquadra,3,FALSE),-2)),SUMIFS(Dati!$F$2:$F$451,Dati!$A$2:$A$451,$H57,Dati!$H$2:$H$451,$AF57)+SUMIFS(Dati!$M$2:$M$451,Dati!$H$2:$H$451,$H57,Dati!$A$2:$A$451,$AF57),"-")</f>
        <v/>
      </c>
      <c r="CC57" s="22">
        <f>IF(AND($H57&lt;&gt;"",$AG57&lt;&gt;"",$H57&lt;&gt;$AG57,IFERROR(VLOOKUP($H57,areaCercaPuntiClassificaSquadra,3,FALSE),-1)=IFERROR(VLOOKUP($AG57,areaCercaPuntiClassificaSquadra,3,FALSE),-2)),SUMIFS(Dati!$F$2:$F$451,Dati!$A$2:$A$451,$H57,Dati!$H$2:$H$451,$AG57)+SUMIFS(Dati!$M$2:$M$451,Dati!$H$2:$H$451,$H57,Dati!$A$2:$A$451,$AG57),"-")</f>
        <v/>
      </c>
      <c r="CD57" s="22">
        <f>IF(AND($H57&lt;&gt;"",$AH57&lt;&gt;"",$H57&lt;&gt;$AH57,IFERROR(VLOOKUP($H57,areaCercaPuntiClassificaSquadra,3,FALSE),-1)=IFERROR(VLOOKUP($AH57,areaCercaPuntiClassificaSquadra,3,FALSE),-2)),SUMIFS(Dati!$F$2:$F$451,Dati!$A$2:$A$451,$H57,Dati!$H$2:$H$451,$AH57)+SUMIFS(Dati!$M$2:$M$451,Dati!$H$2:$H$451,$H57,Dati!$A$2:$A$451,$AH57),"-")</f>
        <v/>
      </c>
      <c r="CF57" s="22">
        <f>IF($C57="","",SUM(AK57:AT57))</f>
        <v/>
      </c>
    </row>
    <row r="58">
      <c r="B58" s="12" t="inlineStr">
        <is>
          <t>E05</t>
        </is>
      </c>
      <c r="C58" s="13" t="n"/>
      <c r="D58" s="14" t="n"/>
      <c r="E58" s="29" t="inlineStr">
        <is>
          <t>E</t>
        </is>
      </c>
      <c r="G58" s="30">
        <f>IF($C58="","",$E58&amp;(COUNTIFS(I$14:I$113,"&gt;"&amp;I58,E$14:E$113,"="&amp;E58,C$14:C$113,"&lt;&gt;")+COUNTIFS(I$14:I$113,"="&amp;I58,H$14:H$113,"&lt;="&amp;H58,E$14:E$113,"="&amp;E58,C$14:C$113,"&lt;&gt;")))</f>
        <v/>
      </c>
      <c r="H58" s="17">
        <f>IF($C58="","",IFERROR(LEFT($C58,FIND("-",$C58)-1),$C58))</f>
        <v/>
      </c>
      <c r="I58" s="12">
        <f>TEXT(1000000000+J58,"|0000000000|")&amp;TEXT(SUM(AK58:AT58),"0000000000|")&amp;IF(SUM(BU58:CD58)=0,"0000000000|",TEXT(ROUND(SUM(BI58:BR58)/SUM(BU58:CD58),4)*100000,"0000000000|"))&amp;IF(P58=0,"0000000000|",TEXT(ROUND(O58/P58,4)*100000,"0000000000|"))</f>
        <v/>
      </c>
      <c r="J58" s="30">
        <f>L58*constPuntiVittoria+M58*constPuntiSconfitta+N58*constPuntiForfait+IF(D58="",0,D58)</f>
        <v/>
      </c>
      <c r="K58" s="12">
        <f>SUM(L58:N58)</f>
        <v/>
      </c>
      <c r="L58" s="12">
        <f>IF($H58="",0,SUMIF(Dati!$A$2:$A$451,$H58,Dati!$B$2:$B$451)+SUMIF(Dati!$H$2:$H$451,$H58,Dati!$I$2:$I$451))</f>
        <v/>
      </c>
      <c r="M58" s="12">
        <f>IF($H58="",0,SUMIF(Dati!$A$2:$A$451,$H58,Dati!$D$2:$D$451)+SUMIF(Dati!$H$2:$H$451,$H58,Dati!$K$2:$K$451))</f>
        <v/>
      </c>
      <c r="N58" s="12">
        <f>IF($H58="",0,SUMIF(Dati!$A$2:$A$451,$H58,Dati!$C$2:$C$451)+SUMIF(Dati!$H$2:$H$451,$H58,Dati!$J$2:$J$451))</f>
        <v/>
      </c>
      <c r="O58" s="12">
        <f>IF($H58="",0,SUMIF(Dati!$A$2:$A$451,$H58,Dati!$E$2:$E$451)+SUMIF(Dati!$H$2:$H$451,$H58,Dati!$L$2:$L$451))</f>
        <v/>
      </c>
      <c r="P58" s="12">
        <f>IF($H58="",0,SUMIF(Dati!$A$2:$A$451,$H58,Dati!$F$2:$F$451)+SUMIF(Dati!$H$2:$H$451,$H58,Dati!$M$2:$M$451))</f>
        <v/>
      </c>
      <c r="Q58" s="12">
        <f>IF($H58="",0,SUMIF(Dati!$A$2:$A$451,$H58,Dati!$G$2:$G$451)+SUMIF(Dati!$H$2:$H$451,$H58,Dati!$N$2:$N$451))</f>
        <v/>
      </c>
      <c r="R58" s="12">
        <f>IF(K58=0,0,ROUND(O58/K58,2))</f>
        <v/>
      </c>
      <c r="S58" s="12">
        <f>IF(K58=0,0,ROUND(P58/K58,2))</f>
        <v/>
      </c>
      <c r="T58" s="12">
        <f>IF(K58=0,0,ROUND(Q58/K58,2))</f>
        <v/>
      </c>
      <c r="U58" s="12">
        <f>IF(COUNTIFS($E$14:$E$113,$E58,$J$14:$J$113,$J58,$C$14:$C$113,"&lt;&gt;")&lt;=1,"-",SUM(AK58:AT58)&amp;"-"&amp;SUM(AW58:BF58))</f>
        <v/>
      </c>
      <c r="V58" s="18">
        <f>IF(COUNTIFS($E$14:$E$113,$E58,$J$14:$J$113,$J58,$C$14:$C$113,"&lt;&gt;",$CF$14:$CF$113,$CF58)&lt;=1,"-",IF(SUM(BU58:CD58)=0,0,ROUND(SUM(BI58:BR58)/SUM(BU58:CD58),3)))</f>
        <v/>
      </c>
      <c r="W58" s="18">
        <f>IF(COUNTIFS($E$14:$E$113,$E58,$J$14:$J$113,$J58,$C$14:$C$113,"&lt;&gt;",$CF$14:$CF$113,$CF58,$V$14:$V$113,$V58)&lt;=1,"-",IF(P58=0,0,ROUND(O58/P58,3)))</f>
        <v/>
      </c>
      <c r="X58" s="19">
        <f>IF($C58="","",$E58&amp;"#"&amp;COUNTIFS($E$14:$E58,$E58,$C$14:$C58,"&lt;&gt;"))</f>
        <v/>
      </c>
      <c r="Y58" s="20">
        <f>IFERROR(INDEX($H$14:$H$113,MATCH($E58&amp;"#1",$X$14:$X$113,0)),"")</f>
        <v/>
      </c>
      <c r="Z58" s="20">
        <f>IFERROR(INDEX($H$14:$H$113,MATCH($E58&amp;"#2",$X$14:$X$113,0)),"")</f>
        <v/>
      </c>
      <c r="AA58" s="20">
        <f>IFERROR(INDEX($H$14:$H$113,MATCH($E58&amp;"#3",$X$14:$X$113,0)),"")</f>
        <v/>
      </c>
      <c r="AB58" s="20">
        <f>IFERROR(INDEX($H$14:$H$113,MATCH($E58&amp;"#4",$X$14:$X$113,0)),"")</f>
        <v/>
      </c>
      <c r="AC58" s="20">
        <f>IFERROR(INDEX($H$14:$H$113,MATCH($E58&amp;"#5",$X$14:$X$113,0)),"")</f>
        <v/>
      </c>
      <c r="AD58" s="20">
        <f>IFERROR(INDEX($H$14:$H$113,MATCH($E58&amp;"#6",$X$14:$X$113,0)),"")</f>
        <v/>
      </c>
      <c r="AE58" s="20">
        <f>IFERROR(INDEX($H$14:$H$113,MATCH($E58&amp;"#7",$X$14:$X$113,0)),"")</f>
        <v/>
      </c>
      <c r="AF58" s="20">
        <f>IFERROR(INDEX($H$14:$H$113,MATCH($E58&amp;"#8",$X$14:$X$113,0)),"")</f>
        <v/>
      </c>
      <c r="AG58" s="20">
        <f>IFERROR(INDEX($H$14:$H$113,MATCH($E58&amp;"#9",$X$14:$X$113,0)),"")</f>
        <v/>
      </c>
      <c r="AH58" s="20">
        <f>IFERROR(INDEX($H$14:$H$113,MATCH($E58&amp;"#10",$X$14:$X$113,0)),"")</f>
        <v/>
      </c>
      <c r="AJ58" s="21">
        <f>$C58</f>
        <v/>
      </c>
      <c r="AK58" s="22">
        <f>IF(AND($H58&lt;&gt;"",$Y58&lt;&gt;"",$H58&lt;&gt;$Y58,IFERROR(VLOOKUP($H58,areaCercaPuntiClassificaSquadra,3,FALSE),-1)=IFERROR(VLOOKUP($Y58,areaCercaPuntiClassificaSquadra,3,FALSE),-2)),SUMIFS(Dati!$B$2:$B$451,Dati!$A$2:$A$451,$H58,Dati!$H$2:$H$451,$Y58)+SUMIFS(Dati!$I$2:$I$451,Dati!$H$2:$H$451,$H58,Dati!$A$2:$A$451,$Y58),"-")</f>
        <v/>
      </c>
      <c r="AL58" s="22">
        <f>IF(AND($H58&lt;&gt;"",$Z58&lt;&gt;"",$H58&lt;&gt;$Z58,IFERROR(VLOOKUP($H58,areaCercaPuntiClassificaSquadra,3,FALSE),-1)=IFERROR(VLOOKUP($Z58,areaCercaPuntiClassificaSquadra,3,FALSE),-2)),SUMIFS(Dati!$B$2:$B$451,Dati!$A$2:$A$451,$H58,Dati!$H$2:$H$451,$Z58)+SUMIFS(Dati!$I$2:$I$451,Dati!$H$2:$H$451,$H58,Dati!$A$2:$A$451,$Z58),"-")</f>
        <v/>
      </c>
      <c r="AM58" s="22">
        <f>IF(AND($H58&lt;&gt;"",$AA58&lt;&gt;"",$H58&lt;&gt;$AA58,IFERROR(VLOOKUP($H58,areaCercaPuntiClassificaSquadra,3,FALSE),-1)=IFERROR(VLOOKUP($AA58,areaCercaPuntiClassificaSquadra,3,FALSE),-2)),SUMIFS(Dati!$B$2:$B$451,Dati!$A$2:$A$451,$H58,Dati!$H$2:$H$451,$AA58)+SUMIFS(Dati!$I$2:$I$451,Dati!$H$2:$H$451,$H58,Dati!$A$2:$A$451,$AA58),"-")</f>
        <v/>
      </c>
      <c r="AN58" s="22">
        <f>IF(AND($H58&lt;&gt;"",$AB58&lt;&gt;"",$H58&lt;&gt;$AB58,IFERROR(VLOOKUP($H58,areaCercaPuntiClassificaSquadra,3,FALSE),-1)=IFERROR(VLOOKUP($AB58,areaCercaPuntiClassificaSquadra,3,FALSE),-2)),SUMIFS(Dati!$B$2:$B$451,Dati!$A$2:$A$451,$H58,Dati!$H$2:$H$451,$AB58)+SUMIFS(Dati!$I$2:$I$451,Dati!$H$2:$H$451,$H58,Dati!$A$2:$A$451,$AB58),"-")</f>
        <v/>
      </c>
      <c r="AO58" s="22">
        <f>IF(AND($H58&lt;&gt;"",$AC58&lt;&gt;"",$H58&lt;&gt;$AC58,IFERROR(VLOOKUP($H58,areaCercaPuntiClassificaSquadra,3,FALSE),-1)=IFERROR(VLOOKUP($AC58,areaCercaPuntiClassificaSquadra,3,FALSE),-2)),SUMIFS(Dati!$B$2:$B$451,Dati!$A$2:$A$451,$H58,Dati!$H$2:$H$451,$AC58)+SUMIFS(Dati!$I$2:$I$451,Dati!$H$2:$H$451,$H58,Dati!$A$2:$A$451,$AC58),"-")</f>
        <v/>
      </c>
      <c r="AP58" s="22">
        <f>IF(AND($H58&lt;&gt;"",$AD58&lt;&gt;"",$H58&lt;&gt;$AD58,IFERROR(VLOOKUP($H58,areaCercaPuntiClassificaSquadra,3,FALSE),-1)=IFERROR(VLOOKUP($AD58,areaCercaPuntiClassificaSquadra,3,FALSE),-2)),SUMIFS(Dati!$B$2:$B$451,Dati!$A$2:$A$451,$H58,Dati!$H$2:$H$451,$AD58)+SUMIFS(Dati!$I$2:$I$451,Dati!$H$2:$H$451,$H58,Dati!$A$2:$A$451,$AD58),"-")</f>
        <v/>
      </c>
      <c r="AQ58" s="22">
        <f>IF(AND($H58&lt;&gt;"",$AE58&lt;&gt;"",$H58&lt;&gt;$AE58,IFERROR(VLOOKUP($H58,areaCercaPuntiClassificaSquadra,3,FALSE),-1)=IFERROR(VLOOKUP($AE58,areaCercaPuntiClassificaSquadra,3,FALSE),-2)),SUMIFS(Dati!$B$2:$B$451,Dati!$A$2:$A$451,$H58,Dati!$H$2:$H$451,$AE58)+SUMIFS(Dati!$I$2:$I$451,Dati!$H$2:$H$451,$H58,Dati!$A$2:$A$451,$AE58),"-")</f>
        <v/>
      </c>
      <c r="AR58" s="22">
        <f>IF(AND($H58&lt;&gt;"",$AF58&lt;&gt;"",$H58&lt;&gt;$AF58,IFERROR(VLOOKUP($H58,areaCercaPuntiClassificaSquadra,3,FALSE),-1)=IFERROR(VLOOKUP($AF58,areaCercaPuntiClassificaSquadra,3,FALSE),-2)),SUMIFS(Dati!$B$2:$B$451,Dati!$A$2:$A$451,$H58,Dati!$H$2:$H$451,$AF58)+SUMIFS(Dati!$I$2:$I$451,Dati!$H$2:$H$451,$H58,Dati!$A$2:$A$451,$AF58),"-")</f>
        <v/>
      </c>
      <c r="AS58" s="22">
        <f>IF(AND($H58&lt;&gt;"",$AG58&lt;&gt;"",$H58&lt;&gt;$AG58,IFERROR(VLOOKUP($H58,areaCercaPuntiClassificaSquadra,3,FALSE),-1)=IFERROR(VLOOKUP($AG58,areaCercaPuntiClassificaSquadra,3,FALSE),-2)),SUMIFS(Dati!$B$2:$B$451,Dati!$A$2:$A$451,$H58,Dati!$H$2:$H$451,$AG58)+SUMIFS(Dati!$I$2:$I$451,Dati!$H$2:$H$451,$H58,Dati!$A$2:$A$451,$AG58),"-")</f>
        <v/>
      </c>
      <c r="AT58" s="22">
        <f>IF(AND($H58&lt;&gt;"",$AH58&lt;&gt;"",$H58&lt;&gt;$AH58,IFERROR(VLOOKUP($H58,areaCercaPuntiClassificaSquadra,3,FALSE),-1)=IFERROR(VLOOKUP($AH58,areaCercaPuntiClassificaSquadra,3,FALSE),-2)),SUMIFS(Dati!$B$2:$B$451,Dati!$A$2:$A$451,$H58,Dati!$H$2:$H$451,$AH58)+SUMIFS(Dati!$I$2:$I$451,Dati!$H$2:$H$451,$H58,Dati!$A$2:$A$451,$AH58),"-")</f>
        <v/>
      </c>
      <c r="AV58" s="21">
        <f>$C58</f>
        <v/>
      </c>
      <c r="AW58" s="22">
        <f>IF(AND($H58&lt;&gt;"",$Y58&lt;&gt;"",$H58&lt;&gt;$Y58,IFERROR(VLOOKUP($H58,areaCercaPuntiClassificaSquadra,3,FALSE),-1)=IFERROR(VLOOKUP($Y58,areaCercaPuntiClassificaSquadra,3,FALSE),-2)),SUMIFS(Dati!$D$2:$D$451,Dati!$A$2:$A$451,$H58,Dati!$H$2:$H$451,$Y58)+SUMIFS(Dati!$K$2:$K$451,Dati!$H$2:$H$451,$H58,Dati!$A$2:$A$451,$Y58)+SUMIFS(Dati!$C$2:$C$451,Dati!$A$2:$A$451,$H58,Dati!$H$2:$H$451,$Y58)+SUMIFS(Dati!$J$2:$J$451,Dati!$H$2:$H$451,$H58,Dati!$A$2:$A$451,$Y58),"-")</f>
        <v/>
      </c>
      <c r="AX58" s="22">
        <f>IF(AND($H58&lt;&gt;"",$Z58&lt;&gt;"",$H58&lt;&gt;$Z58,IFERROR(VLOOKUP($H58,areaCercaPuntiClassificaSquadra,3,FALSE),-1)=IFERROR(VLOOKUP($Z58,areaCercaPuntiClassificaSquadra,3,FALSE),-2)),SUMIFS(Dati!$D$2:$D$451,Dati!$A$2:$A$451,$H58,Dati!$H$2:$H$451,$Z58)+SUMIFS(Dati!$K$2:$K$451,Dati!$H$2:$H$451,$H58,Dati!$A$2:$A$451,$Z58)+SUMIFS(Dati!$C$2:$C$451,Dati!$A$2:$A$451,$H58,Dati!$H$2:$H$451,$Z58)+SUMIFS(Dati!$J$2:$J$451,Dati!$H$2:$H$451,$H58,Dati!$A$2:$A$451,$Z58),"-")</f>
        <v/>
      </c>
      <c r="AY58" s="22">
        <f>IF(AND($H58&lt;&gt;"",$AA58&lt;&gt;"",$H58&lt;&gt;$AA58,IFERROR(VLOOKUP($H58,areaCercaPuntiClassificaSquadra,3,FALSE),-1)=IFERROR(VLOOKUP($AA58,areaCercaPuntiClassificaSquadra,3,FALSE),-2)),SUMIFS(Dati!$D$2:$D$451,Dati!$A$2:$A$451,$H58,Dati!$H$2:$H$451,$AA58)+SUMIFS(Dati!$K$2:$K$451,Dati!$H$2:$H$451,$H58,Dati!$A$2:$A$451,$AA58)+SUMIFS(Dati!$C$2:$C$451,Dati!$A$2:$A$451,$H58,Dati!$H$2:$H$451,$AA58)+SUMIFS(Dati!$J$2:$J$451,Dati!$H$2:$H$451,$H58,Dati!$A$2:$A$451,$AA58),"-")</f>
        <v/>
      </c>
      <c r="AZ58" s="22">
        <f>IF(AND($H58&lt;&gt;"",$AB58&lt;&gt;"",$H58&lt;&gt;$AB58,IFERROR(VLOOKUP($H58,areaCercaPuntiClassificaSquadra,3,FALSE),-1)=IFERROR(VLOOKUP($AB58,areaCercaPuntiClassificaSquadra,3,FALSE),-2)),SUMIFS(Dati!$D$2:$D$451,Dati!$A$2:$A$451,$H58,Dati!$H$2:$H$451,$AB58)+SUMIFS(Dati!$K$2:$K$451,Dati!$H$2:$H$451,$H58,Dati!$A$2:$A$451,$AB58)+SUMIFS(Dati!$C$2:$C$451,Dati!$A$2:$A$451,$H58,Dati!$H$2:$H$451,$AB58)+SUMIFS(Dati!$J$2:$J$451,Dati!$H$2:$H$451,$H58,Dati!$A$2:$A$451,$AB58),"-")</f>
        <v/>
      </c>
      <c r="BA58" s="22">
        <f>IF(AND($H58&lt;&gt;"",$AC58&lt;&gt;"",$H58&lt;&gt;$AC58,IFERROR(VLOOKUP($H58,areaCercaPuntiClassificaSquadra,3,FALSE),-1)=IFERROR(VLOOKUP($AC58,areaCercaPuntiClassificaSquadra,3,FALSE),-2)),SUMIFS(Dati!$D$2:$D$451,Dati!$A$2:$A$451,$H58,Dati!$H$2:$H$451,$AC58)+SUMIFS(Dati!$K$2:$K$451,Dati!$H$2:$H$451,$H58,Dati!$A$2:$A$451,$AC58)+SUMIFS(Dati!$C$2:$C$451,Dati!$A$2:$A$451,$H58,Dati!$H$2:$H$451,$AC58)+SUMIFS(Dati!$J$2:$J$451,Dati!$H$2:$H$451,$H58,Dati!$A$2:$A$451,$AC58),"-")</f>
        <v/>
      </c>
      <c r="BB58" s="22">
        <f>IF(AND($H58&lt;&gt;"",$AD58&lt;&gt;"",$H58&lt;&gt;$AD58,IFERROR(VLOOKUP($H58,areaCercaPuntiClassificaSquadra,3,FALSE),-1)=IFERROR(VLOOKUP($AD58,areaCercaPuntiClassificaSquadra,3,FALSE),-2)),SUMIFS(Dati!$D$2:$D$451,Dati!$A$2:$A$451,$H58,Dati!$H$2:$H$451,$AD58)+SUMIFS(Dati!$K$2:$K$451,Dati!$H$2:$H$451,$H58,Dati!$A$2:$A$451,$AD58)+SUMIFS(Dati!$C$2:$C$451,Dati!$A$2:$A$451,$H58,Dati!$H$2:$H$451,$AD58)+SUMIFS(Dati!$J$2:$J$451,Dati!$H$2:$H$451,$H58,Dati!$A$2:$A$451,$AD58),"-")</f>
        <v/>
      </c>
      <c r="BC58" s="22">
        <f>IF(AND($H58&lt;&gt;"",$AE58&lt;&gt;"",$H58&lt;&gt;$AE58,IFERROR(VLOOKUP($H58,areaCercaPuntiClassificaSquadra,3,FALSE),-1)=IFERROR(VLOOKUP($AE58,areaCercaPuntiClassificaSquadra,3,FALSE),-2)),SUMIFS(Dati!$D$2:$D$451,Dati!$A$2:$A$451,$H58,Dati!$H$2:$H$451,$AE58)+SUMIFS(Dati!$K$2:$K$451,Dati!$H$2:$H$451,$H58,Dati!$A$2:$A$451,$AE58)+SUMIFS(Dati!$C$2:$C$451,Dati!$A$2:$A$451,$H58,Dati!$H$2:$H$451,$AE58)+SUMIFS(Dati!$J$2:$J$451,Dati!$H$2:$H$451,$H58,Dati!$A$2:$A$451,$AE58),"-")</f>
        <v/>
      </c>
      <c r="BD58" s="22">
        <f>IF(AND($H58&lt;&gt;"",$AF58&lt;&gt;"",$H58&lt;&gt;$AF58,IFERROR(VLOOKUP($H58,areaCercaPuntiClassificaSquadra,3,FALSE),-1)=IFERROR(VLOOKUP($AF58,areaCercaPuntiClassificaSquadra,3,FALSE),-2)),SUMIFS(Dati!$D$2:$D$451,Dati!$A$2:$A$451,$H58,Dati!$H$2:$H$451,$AF58)+SUMIFS(Dati!$K$2:$K$451,Dati!$H$2:$H$451,$H58,Dati!$A$2:$A$451,$AF58)+SUMIFS(Dati!$C$2:$C$451,Dati!$A$2:$A$451,$H58,Dati!$H$2:$H$451,$AF58)+SUMIFS(Dati!$J$2:$J$451,Dati!$H$2:$H$451,$H58,Dati!$A$2:$A$451,$AF58),"-")</f>
        <v/>
      </c>
      <c r="BE58" s="22">
        <f>IF(AND($H58&lt;&gt;"",$AG58&lt;&gt;"",$H58&lt;&gt;$AG58,IFERROR(VLOOKUP($H58,areaCercaPuntiClassificaSquadra,3,FALSE),-1)=IFERROR(VLOOKUP($AG58,areaCercaPuntiClassificaSquadra,3,FALSE),-2)),SUMIFS(Dati!$D$2:$D$451,Dati!$A$2:$A$451,$H58,Dati!$H$2:$H$451,$AG58)+SUMIFS(Dati!$K$2:$K$451,Dati!$H$2:$H$451,$H58,Dati!$A$2:$A$451,$AG58)+SUMIFS(Dati!$C$2:$C$451,Dati!$A$2:$A$451,$H58,Dati!$H$2:$H$451,$AG58)+SUMIFS(Dati!$J$2:$J$451,Dati!$H$2:$H$451,$H58,Dati!$A$2:$A$451,$AG58),"-")</f>
        <v/>
      </c>
      <c r="BF58" s="22">
        <f>IF(AND($H58&lt;&gt;"",$AH58&lt;&gt;"",$H58&lt;&gt;$AH58,IFERROR(VLOOKUP($H58,areaCercaPuntiClassificaSquadra,3,FALSE),-1)=IFERROR(VLOOKUP($AH58,areaCercaPuntiClassificaSquadra,3,FALSE),-2)),SUMIFS(Dati!$D$2:$D$451,Dati!$A$2:$A$451,$H58,Dati!$H$2:$H$451,$AH58)+SUMIFS(Dati!$K$2:$K$451,Dati!$H$2:$H$451,$H58,Dati!$A$2:$A$451,$AH58)+SUMIFS(Dati!$C$2:$C$451,Dati!$A$2:$A$451,$H58,Dati!$H$2:$H$451,$AH58)+SUMIFS(Dati!$J$2:$J$451,Dati!$H$2:$H$451,$H58,Dati!$A$2:$A$451,$AH58),"-")</f>
        <v/>
      </c>
      <c r="BH58" s="21">
        <f>$C58</f>
        <v/>
      </c>
      <c r="BI58" s="22">
        <f>IF(AND($H58&lt;&gt;"",$Y58&lt;&gt;"",$H58&lt;&gt;$Y58,IFERROR(VLOOKUP($H58,areaCercaPuntiClassificaSquadra,3,FALSE),-1)=IFERROR(VLOOKUP($Y58,areaCercaPuntiClassificaSquadra,3,FALSE),-2)),SUMIFS(Dati!$E$2:$E$451,Dati!$A$2:$A$451,$H58,Dati!$H$2:$H$451,$Y58)+SUMIFS(Dati!$L$2:$L$451,Dati!$H$2:$H$451,$H58,Dati!$A$2:$A$451,$Y58),"-")</f>
        <v/>
      </c>
      <c r="BJ58" s="22">
        <f>IF(AND($H58&lt;&gt;"",$Z58&lt;&gt;"",$H58&lt;&gt;$Z58,IFERROR(VLOOKUP($H58,areaCercaPuntiClassificaSquadra,3,FALSE),-1)=IFERROR(VLOOKUP($Z58,areaCercaPuntiClassificaSquadra,3,FALSE),-2)),SUMIFS(Dati!$E$2:$E$451,Dati!$A$2:$A$451,$H58,Dati!$H$2:$H$451,$Z58)+SUMIFS(Dati!$L$2:$L$451,Dati!$H$2:$H$451,$H58,Dati!$A$2:$A$451,$Z58),"-")</f>
        <v/>
      </c>
      <c r="BK58" s="22">
        <f>IF(AND($H58&lt;&gt;"",$AA58&lt;&gt;"",$H58&lt;&gt;$AA58,IFERROR(VLOOKUP($H58,areaCercaPuntiClassificaSquadra,3,FALSE),-1)=IFERROR(VLOOKUP($AA58,areaCercaPuntiClassificaSquadra,3,FALSE),-2)),SUMIFS(Dati!$E$2:$E$451,Dati!$A$2:$A$451,$H58,Dati!$H$2:$H$451,$AA58)+SUMIFS(Dati!$L$2:$L$451,Dati!$H$2:$H$451,$H58,Dati!$A$2:$A$451,$AA58),"-")</f>
        <v/>
      </c>
      <c r="BL58" s="22">
        <f>IF(AND($H58&lt;&gt;"",$AB58&lt;&gt;"",$H58&lt;&gt;$AB58,IFERROR(VLOOKUP($H58,areaCercaPuntiClassificaSquadra,3,FALSE),-1)=IFERROR(VLOOKUP($AB58,areaCercaPuntiClassificaSquadra,3,FALSE),-2)),SUMIFS(Dati!$E$2:$E$451,Dati!$A$2:$A$451,$H58,Dati!$H$2:$H$451,$AB58)+SUMIFS(Dati!$L$2:$L$451,Dati!$H$2:$H$451,$H58,Dati!$A$2:$A$451,$AB58),"-")</f>
        <v/>
      </c>
      <c r="BM58" s="22">
        <f>IF(AND($H58&lt;&gt;"",$AC58&lt;&gt;"",$H58&lt;&gt;$AC58,IFERROR(VLOOKUP($H58,areaCercaPuntiClassificaSquadra,3,FALSE),-1)=IFERROR(VLOOKUP($AC58,areaCercaPuntiClassificaSquadra,3,FALSE),-2)),SUMIFS(Dati!$E$2:$E$451,Dati!$A$2:$A$451,$H58,Dati!$H$2:$H$451,$AC58)+SUMIFS(Dati!$L$2:$L$451,Dati!$H$2:$H$451,$H58,Dati!$A$2:$A$451,$AC58),"-")</f>
        <v/>
      </c>
      <c r="BN58" s="22">
        <f>IF(AND($H58&lt;&gt;"",$AD58&lt;&gt;"",$H58&lt;&gt;$AD58,IFERROR(VLOOKUP($H58,areaCercaPuntiClassificaSquadra,3,FALSE),-1)=IFERROR(VLOOKUP($AD58,areaCercaPuntiClassificaSquadra,3,FALSE),-2)),SUMIFS(Dati!$E$2:$E$451,Dati!$A$2:$A$451,$H58,Dati!$H$2:$H$451,$AD58)+SUMIFS(Dati!$L$2:$L$451,Dati!$H$2:$H$451,$H58,Dati!$A$2:$A$451,$AD58),"-")</f>
        <v/>
      </c>
      <c r="BO58" s="22">
        <f>IF(AND($H58&lt;&gt;"",$AE58&lt;&gt;"",$H58&lt;&gt;$AE58,IFERROR(VLOOKUP($H58,areaCercaPuntiClassificaSquadra,3,FALSE),-1)=IFERROR(VLOOKUP($AE58,areaCercaPuntiClassificaSquadra,3,FALSE),-2)),SUMIFS(Dati!$E$2:$E$451,Dati!$A$2:$A$451,$H58,Dati!$H$2:$H$451,$AE58)+SUMIFS(Dati!$L$2:$L$451,Dati!$H$2:$H$451,$H58,Dati!$A$2:$A$451,$AE58),"-")</f>
        <v/>
      </c>
      <c r="BP58" s="22">
        <f>IF(AND($H58&lt;&gt;"",$AF58&lt;&gt;"",$H58&lt;&gt;$AF58,IFERROR(VLOOKUP($H58,areaCercaPuntiClassificaSquadra,3,FALSE),-1)=IFERROR(VLOOKUP($AF58,areaCercaPuntiClassificaSquadra,3,FALSE),-2)),SUMIFS(Dati!$E$2:$E$451,Dati!$A$2:$A$451,$H58,Dati!$H$2:$H$451,$AF58)+SUMIFS(Dati!$L$2:$L$451,Dati!$H$2:$H$451,$H58,Dati!$A$2:$A$451,$AF58),"-")</f>
        <v/>
      </c>
      <c r="BQ58" s="22">
        <f>IF(AND($H58&lt;&gt;"",$AG58&lt;&gt;"",$H58&lt;&gt;$AG58,IFERROR(VLOOKUP($H58,areaCercaPuntiClassificaSquadra,3,FALSE),-1)=IFERROR(VLOOKUP($AG58,areaCercaPuntiClassificaSquadra,3,FALSE),-2)),SUMIFS(Dati!$E$2:$E$451,Dati!$A$2:$A$451,$H58,Dati!$H$2:$H$451,$AG58)+SUMIFS(Dati!$L$2:$L$451,Dati!$H$2:$H$451,$H58,Dati!$A$2:$A$451,$AG58),"-")</f>
        <v/>
      </c>
      <c r="BR58" s="22">
        <f>IF(AND($H58&lt;&gt;"",$AH58&lt;&gt;"",$H58&lt;&gt;$AH58,IFERROR(VLOOKUP($H58,areaCercaPuntiClassificaSquadra,3,FALSE),-1)=IFERROR(VLOOKUP($AH58,areaCercaPuntiClassificaSquadra,3,FALSE),-2)),SUMIFS(Dati!$E$2:$E$451,Dati!$A$2:$A$451,$H58,Dati!$H$2:$H$451,$AH58)+SUMIFS(Dati!$L$2:$L$451,Dati!$H$2:$H$451,$H58,Dati!$A$2:$A$451,$AH58),"-")</f>
        <v/>
      </c>
      <c r="BT58" s="21">
        <f>$C58</f>
        <v/>
      </c>
      <c r="BU58" s="22">
        <f>IF(AND($H58&lt;&gt;"",$Y58&lt;&gt;"",$H58&lt;&gt;$Y58,IFERROR(VLOOKUP($H58,areaCercaPuntiClassificaSquadra,3,FALSE),-1)=IFERROR(VLOOKUP($Y58,areaCercaPuntiClassificaSquadra,3,FALSE),-2)),SUMIFS(Dati!$F$2:$F$451,Dati!$A$2:$A$451,$H58,Dati!$H$2:$H$451,$Y58)+SUMIFS(Dati!$M$2:$M$451,Dati!$H$2:$H$451,$H58,Dati!$A$2:$A$451,$Y58),"-")</f>
        <v/>
      </c>
      <c r="BV58" s="22">
        <f>IF(AND($H58&lt;&gt;"",$Z58&lt;&gt;"",$H58&lt;&gt;$Z58,IFERROR(VLOOKUP($H58,areaCercaPuntiClassificaSquadra,3,FALSE),-1)=IFERROR(VLOOKUP($Z58,areaCercaPuntiClassificaSquadra,3,FALSE),-2)),SUMIFS(Dati!$F$2:$F$451,Dati!$A$2:$A$451,$H58,Dati!$H$2:$H$451,$Z58)+SUMIFS(Dati!$M$2:$M$451,Dati!$H$2:$H$451,$H58,Dati!$A$2:$A$451,$Z58),"-")</f>
        <v/>
      </c>
      <c r="BW58" s="22">
        <f>IF(AND($H58&lt;&gt;"",$AA58&lt;&gt;"",$H58&lt;&gt;$AA58,IFERROR(VLOOKUP($H58,areaCercaPuntiClassificaSquadra,3,FALSE),-1)=IFERROR(VLOOKUP($AA58,areaCercaPuntiClassificaSquadra,3,FALSE),-2)),SUMIFS(Dati!$F$2:$F$451,Dati!$A$2:$A$451,$H58,Dati!$H$2:$H$451,$AA58)+SUMIFS(Dati!$M$2:$M$451,Dati!$H$2:$H$451,$H58,Dati!$A$2:$A$451,$AA58),"-")</f>
        <v/>
      </c>
      <c r="BX58" s="22">
        <f>IF(AND($H58&lt;&gt;"",$AB58&lt;&gt;"",$H58&lt;&gt;$AB58,IFERROR(VLOOKUP($H58,areaCercaPuntiClassificaSquadra,3,FALSE),-1)=IFERROR(VLOOKUP($AB58,areaCercaPuntiClassificaSquadra,3,FALSE),-2)),SUMIFS(Dati!$F$2:$F$451,Dati!$A$2:$A$451,$H58,Dati!$H$2:$H$451,$AB58)+SUMIFS(Dati!$M$2:$M$451,Dati!$H$2:$H$451,$H58,Dati!$A$2:$A$451,$AB58),"-")</f>
        <v/>
      </c>
      <c r="BY58" s="22">
        <f>IF(AND($H58&lt;&gt;"",$AC58&lt;&gt;"",$H58&lt;&gt;$AC58,IFERROR(VLOOKUP($H58,areaCercaPuntiClassificaSquadra,3,FALSE),-1)=IFERROR(VLOOKUP($AC58,areaCercaPuntiClassificaSquadra,3,FALSE),-2)),SUMIFS(Dati!$F$2:$F$451,Dati!$A$2:$A$451,$H58,Dati!$H$2:$H$451,$AC58)+SUMIFS(Dati!$M$2:$M$451,Dati!$H$2:$H$451,$H58,Dati!$A$2:$A$451,$AC58),"-")</f>
        <v/>
      </c>
      <c r="BZ58" s="22">
        <f>IF(AND($H58&lt;&gt;"",$AD58&lt;&gt;"",$H58&lt;&gt;$AD58,IFERROR(VLOOKUP($H58,areaCercaPuntiClassificaSquadra,3,FALSE),-1)=IFERROR(VLOOKUP($AD58,areaCercaPuntiClassificaSquadra,3,FALSE),-2)),SUMIFS(Dati!$F$2:$F$451,Dati!$A$2:$A$451,$H58,Dati!$H$2:$H$451,$AD58)+SUMIFS(Dati!$M$2:$M$451,Dati!$H$2:$H$451,$H58,Dati!$A$2:$A$451,$AD58),"-")</f>
        <v/>
      </c>
      <c r="CA58" s="22">
        <f>IF(AND($H58&lt;&gt;"",$AE58&lt;&gt;"",$H58&lt;&gt;$AE58,IFERROR(VLOOKUP($H58,areaCercaPuntiClassificaSquadra,3,FALSE),-1)=IFERROR(VLOOKUP($AE58,areaCercaPuntiClassificaSquadra,3,FALSE),-2)),SUMIFS(Dati!$F$2:$F$451,Dati!$A$2:$A$451,$H58,Dati!$H$2:$H$451,$AE58)+SUMIFS(Dati!$M$2:$M$451,Dati!$H$2:$H$451,$H58,Dati!$A$2:$A$451,$AE58),"-")</f>
        <v/>
      </c>
      <c r="CB58" s="22">
        <f>IF(AND($H58&lt;&gt;"",$AF58&lt;&gt;"",$H58&lt;&gt;$AF58,IFERROR(VLOOKUP($H58,areaCercaPuntiClassificaSquadra,3,FALSE),-1)=IFERROR(VLOOKUP($AF58,areaCercaPuntiClassificaSquadra,3,FALSE),-2)),SUMIFS(Dati!$F$2:$F$451,Dati!$A$2:$A$451,$H58,Dati!$H$2:$H$451,$AF58)+SUMIFS(Dati!$M$2:$M$451,Dati!$H$2:$H$451,$H58,Dati!$A$2:$A$451,$AF58),"-")</f>
        <v/>
      </c>
      <c r="CC58" s="22">
        <f>IF(AND($H58&lt;&gt;"",$AG58&lt;&gt;"",$H58&lt;&gt;$AG58,IFERROR(VLOOKUP($H58,areaCercaPuntiClassificaSquadra,3,FALSE),-1)=IFERROR(VLOOKUP($AG58,areaCercaPuntiClassificaSquadra,3,FALSE),-2)),SUMIFS(Dati!$F$2:$F$451,Dati!$A$2:$A$451,$H58,Dati!$H$2:$H$451,$AG58)+SUMIFS(Dati!$M$2:$M$451,Dati!$H$2:$H$451,$H58,Dati!$A$2:$A$451,$AG58),"-")</f>
        <v/>
      </c>
      <c r="CD58" s="22">
        <f>IF(AND($H58&lt;&gt;"",$AH58&lt;&gt;"",$H58&lt;&gt;$AH58,IFERROR(VLOOKUP($H58,areaCercaPuntiClassificaSquadra,3,FALSE),-1)=IFERROR(VLOOKUP($AH58,areaCercaPuntiClassificaSquadra,3,FALSE),-2)),SUMIFS(Dati!$F$2:$F$451,Dati!$A$2:$A$451,$H58,Dati!$H$2:$H$451,$AH58)+SUMIFS(Dati!$M$2:$M$451,Dati!$H$2:$H$451,$H58,Dati!$A$2:$A$451,$AH58),"-")</f>
        <v/>
      </c>
      <c r="CF58" s="22">
        <f>IF($C58="","",SUM(AK58:AT58))</f>
        <v/>
      </c>
    </row>
    <row r="59">
      <c r="B59" s="12" t="inlineStr">
        <is>
          <t>E06</t>
        </is>
      </c>
      <c r="C59" s="13" t="n"/>
      <c r="D59" s="14" t="n"/>
      <c r="E59" s="29" t="inlineStr">
        <is>
          <t>E</t>
        </is>
      </c>
      <c r="G59" s="30">
        <f>IF($C59="","",$E59&amp;(COUNTIFS(I$14:I$113,"&gt;"&amp;I59,E$14:E$113,"="&amp;E59,C$14:C$113,"&lt;&gt;")+COUNTIFS(I$14:I$113,"="&amp;I59,H$14:H$113,"&lt;="&amp;H59,E$14:E$113,"="&amp;E59,C$14:C$113,"&lt;&gt;")))</f>
        <v/>
      </c>
      <c r="H59" s="17">
        <f>IF($C59="","",IFERROR(LEFT($C59,FIND("-",$C59)-1),$C59))</f>
        <v/>
      </c>
      <c r="I59" s="12">
        <f>TEXT(1000000000+J59,"|0000000000|")&amp;TEXT(SUM(AK59:AT59),"0000000000|")&amp;IF(SUM(BU59:CD59)=0,"0000000000|",TEXT(ROUND(SUM(BI59:BR59)/SUM(BU59:CD59),4)*100000,"0000000000|"))&amp;IF(P59=0,"0000000000|",TEXT(ROUND(O59/P59,4)*100000,"0000000000|"))</f>
        <v/>
      </c>
      <c r="J59" s="30">
        <f>L59*constPuntiVittoria+M59*constPuntiSconfitta+N59*constPuntiForfait+IF(D59="",0,D59)</f>
        <v/>
      </c>
      <c r="K59" s="12">
        <f>SUM(L59:N59)</f>
        <v/>
      </c>
      <c r="L59" s="12">
        <f>IF($H59="",0,SUMIF(Dati!$A$2:$A$451,$H59,Dati!$B$2:$B$451)+SUMIF(Dati!$H$2:$H$451,$H59,Dati!$I$2:$I$451))</f>
        <v/>
      </c>
      <c r="M59" s="12">
        <f>IF($H59="",0,SUMIF(Dati!$A$2:$A$451,$H59,Dati!$D$2:$D$451)+SUMIF(Dati!$H$2:$H$451,$H59,Dati!$K$2:$K$451))</f>
        <v/>
      </c>
      <c r="N59" s="12">
        <f>IF($H59="",0,SUMIF(Dati!$A$2:$A$451,$H59,Dati!$C$2:$C$451)+SUMIF(Dati!$H$2:$H$451,$H59,Dati!$J$2:$J$451))</f>
        <v/>
      </c>
      <c r="O59" s="12">
        <f>IF($H59="",0,SUMIF(Dati!$A$2:$A$451,$H59,Dati!$E$2:$E$451)+SUMIF(Dati!$H$2:$H$451,$H59,Dati!$L$2:$L$451))</f>
        <v/>
      </c>
      <c r="P59" s="12">
        <f>IF($H59="",0,SUMIF(Dati!$A$2:$A$451,$H59,Dati!$F$2:$F$451)+SUMIF(Dati!$H$2:$H$451,$H59,Dati!$M$2:$M$451))</f>
        <v/>
      </c>
      <c r="Q59" s="12">
        <f>IF($H59="",0,SUMIF(Dati!$A$2:$A$451,$H59,Dati!$G$2:$G$451)+SUMIF(Dati!$H$2:$H$451,$H59,Dati!$N$2:$N$451))</f>
        <v/>
      </c>
      <c r="R59" s="12">
        <f>IF(K59=0,0,ROUND(O59/K59,2))</f>
        <v/>
      </c>
      <c r="S59" s="12">
        <f>IF(K59=0,0,ROUND(P59/K59,2))</f>
        <v/>
      </c>
      <c r="T59" s="12">
        <f>IF(K59=0,0,ROUND(Q59/K59,2))</f>
        <v/>
      </c>
      <c r="U59" s="12">
        <f>IF(COUNTIFS($E$14:$E$113,$E59,$J$14:$J$113,$J59,$C$14:$C$113,"&lt;&gt;")&lt;=1,"-",SUM(AK59:AT59)&amp;"-"&amp;SUM(AW59:BF59))</f>
        <v/>
      </c>
      <c r="V59" s="18">
        <f>IF(COUNTIFS($E$14:$E$113,$E59,$J$14:$J$113,$J59,$C$14:$C$113,"&lt;&gt;",$CF$14:$CF$113,$CF59)&lt;=1,"-",IF(SUM(BU59:CD59)=0,0,ROUND(SUM(BI59:BR59)/SUM(BU59:CD59),3)))</f>
        <v/>
      </c>
      <c r="W59" s="18">
        <f>IF(COUNTIFS($E$14:$E$113,$E59,$J$14:$J$113,$J59,$C$14:$C$113,"&lt;&gt;",$CF$14:$CF$113,$CF59,$V$14:$V$113,$V59)&lt;=1,"-",IF(P59=0,0,ROUND(O59/P59,3)))</f>
        <v/>
      </c>
      <c r="X59" s="19">
        <f>IF($C59="","",$E59&amp;"#"&amp;COUNTIFS($E$14:$E59,$E59,$C$14:$C59,"&lt;&gt;"))</f>
        <v/>
      </c>
      <c r="Y59" s="20">
        <f>IFERROR(INDEX($H$14:$H$113,MATCH($E59&amp;"#1",$X$14:$X$113,0)),"")</f>
        <v/>
      </c>
      <c r="Z59" s="20">
        <f>IFERROR(INDEX($H$14:$H$113,MATCH($E59&amp;"#2",$X$14:$X$113,0)),"")</f>
        <v/>
      </c>
      <c r="AA59" s="20">
        <f>IFERROR(INDEX($H$14:$H$113,MATCH($E59&amp;"#3",$X$14:$X$113,0)),"")</f>
        <v/>
      </c>
      <c r="AB59" s="20">
        <f>IFERROR(INDEX($H$14:$H$113,MATCH($E59&amp;"#4",$X$14:$X$113,0)),"")</f>
        <v/>
      </c>
      <c r="AC59" s="20">
        <f>IFERROR(INDEX($H$14:$H$113,MATCH($E59&amp;"#5",$X$14:$X$113,0)),"")</f>
        <v/>
      </c>
      <c r="AD59" s="20">
        <f>IFERROR(INDEX($H$14:$H$113,MATCH($E59&amp;"#6",$X$14:$X$113,0)),"")</f>
        <v/>
      </c>
      <c r="AE59" s="20">
        <f>IFERROR(INDEX($H$14:$H$113,MATCH($E59&amp;"#7",$X$14:$X$113,0)),"")</f>
        <v/>
      </c>
      <c r="AF59" s="20">
        <f>IFERROR(INDEX($H$14:$H$113,MATCH($E59&amp;"#8",$X$14:$X$113,0)),"")</f>
        <v/>
      </c>
      <c r="AG59" s="20">
        <f>IFERROR(INDEX($H$14:$H$113,MATCH($E59&amp;"#9",$X$14:$X$113,0)),"")</f>
        <v/>
      </c>
      <c r="AH59" s="20">
        <f>IFERROR(INDEX($H$14:$H$113,MATCH($E59&amp;"#10",$X$14:$X$113,0)),"")</f>
        <v/>
      </c>
      <c r="AJ59" s="21">
        <f>$C59</f>
        <v/>
      </c>
      <c r="AK59" s="22">
        <f>IF(AND($H59&lt;&gt;"",$Y59&lt;&gt;"",$H59&lt;&gt;$Y59,IFERROR(VLOOKUP($H59,areaCercaPuntiClassificaSquadra,3,FALSE),-1)=IFERROR(VLOOKUP($Y59,areaCercaPuntiClassificaSquadra,3,FALSE),-2)),SUMIFS(Dati!$B$2:$B$451,Dati!$A$2:$A$451,$H59,Dati!$H$2:$H$451,$Y59)+SUMIFS(Dati!$I$2:$I$451,Dati!$H$2:$H$451,$H59,Dati!$A$2:$A$451,$Y59),"-")</f>
        <v/>
      </c>
      <c r="AL59" s="22">
        <f>IF(AND($H59&lt;&gt;"",$Z59&lt;&gt;"",$H59&lt;&gt;$Z59,IFERROR(VLOOKUP($H59,areaCercaPuntiClassificaSquadra,3,FALSE),-1)=IFERROR(VLOOKUP($Z59,areaCercaPuntiClassificaSquadra,3,FALSE),-2)),SUMIFS(Dati!$B$2:$B$451,Dati!$A$2:$A$451,$H59,Dati!$H$2:$H$451,$Z59)+SUMIFS(Dati!$I$2:$I$451,Dati!$H$2:$H$451,$H59,Dati!$A$2:$A$451,$Z59),"-")</f>
        <v/>
      </c>
      <c r="AM59" s="22">
        <f>IF(AND($H59&lt;&gt;"",$AA59&lt;&gt;"",$H59&lt;&gt;$AA59,IFERROR(VLOOKUP($H59,areaCercaPuntiClassificaSquadra,3,FALSE),-1)=IFERROR(VLOOKUP($AA59,areaCercaPuntiClassificaSquadra,3,FALSE),-2)),SUMIFS(Dati!$B$2:$B$451,Dati!$A$2:$A$451,$H59,Dati!$H$2:$H$451,$AA59)+SUMIFS(Dati!$I$2:$I$451,Dati!$H$2:$H$451,$H59,Dati!$A$2:$A$451,$AA59),"-")</f>
        <v/>
      </c>
      <c r="AN59" s="22">
        <f>IF(AND($H59&lt;&gt;"",$AB59&lt;&gt;"",$H59&lt;&gt;$AB59,IFERROR(VLOOKUP($H59,areaCercaPuntiClassificaSquadra,3,FALSE),-1)=IFERROR(VLOOKUP($AB59,areaCercaPuntiClassificaSquadra,3,FALSE),-2)),SUMIFS(Dati!$B$2:$B$451,Dati!$A$2:$A$451,$H59,Dati!$H$2:$H$451,$AB59)+SUMIFS(Dati!$I$2:$I$451,Dati!$H$2:$H$451,$H59,Dati!$A$2:$A$451,$AB59),"-")</f>
        <v/>
      </c>
      <c r="AO59" s="22">
        <f>IF(AND($H59&lt;&gt;"",$AC59&lt;&gt;"",$H59&lt;&gt;$AC59,IFERROR(VLOOKUP($H59,areaCercaPuntiClassificaSquadra,3,FALSE),-1)=IFERROR(VLOOKUP($AC59,areaCercaPuntiClassificaSquadra,3,FALSE),-2)),SUMIFS(Dati!$B$2:$B$451,Dati!$A$2:$A$451,$H59,Dati!$H$2:$H$451,$AC59)+SUMIFS(Dati!$I$2:$I$451,Dati!$H$2:$H$451,$H59,Dati!$A$2:$A$451,$AC59),"-")</f>
        <v/>
      </c>
      <c r="AP59" s="22">
        <f>IF(AND($H59&lt;&gt;"",$AD59&lt;&gt;"",$H59&lt;&gt;$AD59,IFERROR(VLOOKUP($H59,areaCercaPuntiClassificaSquadra,3,FALSE),-1)=IFERROR(VLOOKUP($AD59,areaCercaPuntiClassificaSquadra,3,FALSE),-2)),SUMIFS(Dati!$B$2:$B$451,Dati!$A$2:$A$451,$H59,Dati!$H$2:$H$451,$AD59)+SUMIFS(Dati!$I$2:$I$451,Dati!$H$2:$H$451,$H59,Dati!$A$2:$A$451,$AD59),"-")</f>
        <v/>
      </c>
      <c r="AQ59" s="22">
        <f>IF(AND($H59&lt;&gt;"",$AE59&lt;&gt;"",$H59&lt;&gt;$AE59,IFERROR(VLOOKUP($H59,areaCercaPuntiClassificaSquadra,3,FALSE),-1)=IFERROR(VLOOKUP($AE59,areaCercaPuntiClassificaSquadra,3,FALSE),-2)),SUMIFS(Dati!$B$2:$B$451,Dati!$A$2:$A$451,$H59,Dati!$H$2:$H$451,$AE59)+SUMIFS(Dati!$I$2:$I$451,Dati!$H$2:$H$451,$H59,Dati!$A$2:$A$451,$AE59),"-")</f>
        <v/>
      </c>
      <c r="AR59" s="22">
        <f>IF(AND($H59&lt;&gt;"",$AF59&lt;&gt;"",$H59&lt;&gt;$AF59,IFERROR(VLOOKUP($H59,areaCercaPuntiClassificaSquadra,3,FALSE),-1)=IFERROR(VLOOKUP($AF59,areaCercaPuntiClassificaSquadra,3,FALSE),-2)),SUMIFS(Dati!$B$2:$B$451,Dati!$A$2:$A$451,$H59,Dati!$H$2:$H$451,$AF59)+SUMIFS(Dati!$I$2:$I$451,Dati!$H$2:$H$451,$H59,Dati!$A$2:$A$451,$AF59),"-")</f>
        <v/>
      </c>
      <c r="AS59" s="22">
        <f>IF(AND($H59&lt;&gt;"",$AG59&lt;&gt;"",$H59&lt;&gt;$AG59,IFERROR(VLOOKUP($H59,areaCercaPuntiClassificaSquadra,3,FALSE),-1)=IFERROR(VLOOKUP($AG59,areaCercaPuntiClassificaSquadra,3,FALSE),-2)),SUMIFS(Dati!$B$2:$B$451,Dati!$A$2:$A$451,$H59,Dati!$H$2:$H$451,$AG59)+SUMIFS(Dati!$I$2:$I$451,Dati!$H$2:$H$451,$H59,Dati!$A$2:$A$451,$AG59),"-")</f>
        <v/>
      </c>
      <c r="AT59" s="22">
        <f>IF(AND($H59&lt;&gt;"",$AH59&lt;&gt;"",$H59&lt;&gt;$AH59,IFERROR(VLOOKUP($H59,areaCercaPuntiClassificaSquadra,3,FALSE),-1)=IFERROR(VLOOKUP($AH59,areaCercaPuntiClassificaSquadra,3,FALSE),-2)),SUMIFS(Dati!$B$2:$B$451,Dati!$A$2:$A$451,$H59,Dati!$H$2:$H$451,$AH59)+SUMIFS(Dati!$I$2:$I$451,Dati!$H$2:$H$451,$H59,Dati!$A$2:$A$451,$AH59),"-")</f>
        <v/>
      </c>
      <c r="AV59" s="21">
        <f>$C59</f>
        <v/>
      </c>
      <c r="AW59" s="22">
        <f>IF(AND($H59&lt;&gt;"",$Y59&lt;&gt;"",$H59&lt;&gt;$Y59,IFERROR(VLOOKUP($H59,areaCercaPuntiClassificaSquadra,3,FALSE),-1)=IFERROR(VLOOKUP($Y59,areaCercaPuntiClassificaSquadra,3,FALSE),-2)),SUMIFS(Dati!$D$2:$D$451,Dati!$A$2:$A$451,$H59,Dati!$H$2:$H$451,$Y59)+SUMIFS(Dati!$K$2:$K$451,Dati!$H$2:$H$451,$H59,Dati!$A$2:$A$451,$Y59)+SUMIFS(Dati!$C$2:$C$451,Dati!$A$2:$A$451,$H59,Dati!$H$2:$H$451,$Y59)+SUMIFS(Dati!$J$2:$J$451,Dati!$H$2:$H$451,$H59,Dati!$A$2:$A$451,$Y59),"-")</f>
        <v/>
      </c>
      <c r="AX59" s="22">
        <f>IF(AND($H59&lt;&gt;"",$Z59&lt;&gt;"",$H59&lt;&gt;$Z59,IFERROR(VLOOKUP($H59,areaCercaPuntiClassificaSquadra,3,FALSE),-1)=IFERROR(VLOOKUP($Z59,areaCercaPuntiClassificaSquadra,3,FALSE),-2)),SUMIFS(Dati!$D$2:$D$451,Dati!$A$2:$A$451,$H59,Dati!$H$2:$H$451,$Z59)+SUMIFS(Dati!$K$2:$K$451,Dati!$H$2:$H$451,$H59,Dati!$A$2:$A$451,$Z59)+SUMIFS(Dati!$C$2:$C$451,Dati!$A$2:$A$451,$H59,Dati!$H$2:$H$451,$Z59)+SUMIFS(Dati!$J$2:$J$451,Dati!$H$2:$H$451,$H59,Dati!$A$2:$A$451,$Z59),"-")</f>
        <v/>
      </c>
      <c r="AY59" s="22">
        <f>IF(AND($H59&lt;&gt;"",$AA59&lt;&gt;"",$H59&lt;&gt;$AA59,IFERROR(VLOOKUP($H59,areaCercaPuntiClassificaSquadra,3,FALSE),-1)=IFERROR(VLOOKUP($AA59,areaCercaPuntiClassificaSquadra,3,FALSE),-2)),SUMIFS(Dati!$D$2:$D$451,Dati!$A$2:$A$451,$H59,Dati!$H$2:$H$451,$AA59)+SUMIFS(Dati!$K$2:$K$451,Dati!$H$2:$H$451,$H59,Dati!$A$2:$A$451,$AA59)+SUMIFS(Dati!$C$2:$C$451,Dati!$A$2:$A$451,$H59,Dati!$H$2:$H$451,$AA59)+SUMIFS(Dati!$J$2:$J$451,Dati!$H$2:$H$451,$H59,Dati!$A$2:$A$451,$AA59),"-")</f>
        <v/>
      </c>
      <c r="AZ59" s="22">
        <f>IF(AND($H59&lt;&gt;"",$AB59&lt;&gt;"",$H59&lt;&gt;$AB59,IFERROR(VLOOKUP($H59,areaCercaPuntiClassificaSquadra,3,FALSE),-1)=IFERROR(VLOOKUP($AB59,areaCercaPuntiClassificaSquadra,3,FALSE),-2)),SUMIFS(Dati!$D$2:$D$451,Dati!$A$2:$A$451,$H59,Dati!$H$2:$H$451,$AB59)+SUMIFS(Dati!$K$2:$K$451,Dati!$H$2:$H$451,$H59,Dati!$A$2:$A$451,$AB59)+SUMIFS(Dati!$C$2:$C$451,Dati!$A$2:$A$451,$H59,Dati!$H$2:$H$451,$AB59)+SUMIFS(Dati!$J$2:$J$451,Dati!$H$2:$H$451,$H59,Dati!$A$2:$A$451,$AB59),"-")</f>
        <v/>
      </c>
      <c r="BA59" s="22">
        <f>IF(AND($H59&lt;&gt;"",$AC59&lt;&gt;"",$H59&lt;&gt;$AC59,IFERROR(VLOOKUP($H59,areaCercaPuntiClassificaSquadra,3,FALSE),-1)=IFERROR(VLOOKUP($AC59,areaCercaPuntiClassificaSquadra,3,FALSE),-2)),SUMIFS(Dati!$D$2:$D$451,Dati!$A$2:$A$451,$H59,Dati!$H$2:$H$451,$AC59)+SUMIFS(Dati!$K$2:$K$451,Dati!$H$2:$H$451,$H59,Dati!$A$2:$A$451,$AC59)+SUMIFS(Dati!$C$2:$C$451,Dati!$A$2:$A$451,$H59,Dati!$H$2:$H$451,$AC59)+SUMIFS(Dati!$J$2:$J$451,Dati!$H$2:$H$451,$H59,Dati!$A$2:$A$451,$AC59),"-")</f>
        <v/>
      </c>
      <c r="BB59" s="22">
        <f>IF(AND($H59&lt;&gt;"",$AD59&lt;&gt;"",$H59&lt;&gt;$AD59,IFERROR(VLOOKUP($H59,areaCercaPuntiClassificaSquadra,3,FALSE),-1)=IFERROR(VLOOKUP($AD59,areaCercaPuntiClassificaSquadra,3,FALSE),-2)),SUMIFS(Dati!$D$2:$D$451,Dati!$A$2:$A$451,$H59,Dati!$H$2:$H$451,$AD59)+SUMIFS(Dati!$K$2:$K$451,Dati!$H$2:$H$451,$H59,Dati!$A$2:$A$451,$AD59)+SUMIFS(Dati!$C$2:$C$451,Dati!$A$2:$A$451,$H59,Dati!$H$2:$H$451,$AD59)+SUMIFS(Dati!$J$2:$J$451,Dati!$H$2:$H$451,$H59,Dati!$A$2:$A$451,$AD59),"-")</f>
        <v/>
      </c>
      <c r="BC59" s="22">
        <f>IF(AND($H59&lt;&gt;"",$AE59&lt;&gt;"",$H59&lt;&gt;$AE59,IFERROR(VLOOKUP($H59,areaCercaPuntiClassificaSquadra,3,FALSE),-1)=IFERROR(VLOOKUP($AE59,areaCercaPuntiClassificaSquadra,3,FALSE),-2)),SUMIFS(Dati!$D$2:$D$451,Dati!$A$2:$A$451,$H59,Dati!$H$2:$H$451,$AE59)+SUMIFS(Dati!$K$2:$K$451,Dati!$H$2:$H$451,$H59,Dati!$A$2:$A$451,$AE59)+SUMIFS(Dati!$C$2:$C$451,Dati!$A$2:$A$451,$H59,Dati!$H$2:$H$451,$AE59)+SUMIFS(Dati!$J$2:$J$451,Dati!$H$2:$H$451,$H59,Dati!$A$2:$A$451,$AE59),"-")</f>
        <v/>
      </c>
      <c r="BD59" s="22">
        <f>IF(AND($H59&lt;&gt;"",$AF59&lt;&gt;"",$H59&lt;&gt;$AF59,IFERROR(VLOOKUP($H59,areaCercaPuntiClassificaSquadra,3,FALSE),-1)=IFERROR(VLOOKUP($AF59,areaCercaPuntiClassificaSquadra,3,FALSE),-2)),SUMIFS(Dati!$D$2:$D$451,Dati!$A$2:$A$451,$H59,Dati!$H$2:$H$451,$AF59)+SUMIFS(Dati!$K$2:$K$451,Dati!$H$2:$H$451,$H59,Dati!$A$2:$A$451,$AF59)+SUMIFS(Dati!$C$2:$C$451,Dati!$A$2:$A$451,$H59,Dati!$H$2:$H$451,$AF59)+SUMIFS(Dati!$J$2:$J$451,Dati!$H$2:$H$451,$H59,Dati!$A$2:$A$451,$AF59),"-")</f>
        <v/>
      </c>
      <c r="BE59" s="22">
        <f>IF(AND($H59&lt;&gt;"",$AG59&lt;&gt;"",$H59&lt;&gt;$AG59,IFERROR(VLOOKUP($H59,areaCercaPuntiClassificaSquadra,3,FALSE),-1)=IFERROR(VLOOKUP($AG59,areaCercaPuntiClassificaSquadra,3,FALSE),-2)),SUMIFS(Dati!$D$2:$D$451,Dati!$A$2:$A$451,$H59,Dati!$H$2:$H$451,$AG59)+SUMIFS(Dati!$K$2:$K$451,Dati!$H$2:$H$451,$H59,Dati!$A$2:$A$451,$AG59)+SUMIFS(Dati!$C$2:$C$451,Dati!$A$2:$A$451,$H59,Dati!$H$2:$H$451,$AG59)+SUMIFS(Dati!$J$2:$J$451,Dati!$H$2:$H$451,$H59,Dati!$A$2:$A$451,$AG59),"-")</f>
        <v/>
      </c>
      <c r="BF59" s="22">
        <f>IF(AND($H59&lt;&gt;"",$AH59&lt;&gt;"",$H59&lt;&gt;$AH59,IFERROR(VLOOKUP($H59,areaCercaPuntiClassificaSquadra,3,FALSE),-1)=IFERROR(VLOOKUP($AH59,areaCercaPuntiClassificaSquadra,3,FALSE),-2)),SUMIFS(Dati!$D$2:$D$451,Dati!$A$2:$A$451,$H59,Dati!$H$2:$H$451,$AH59)+SUMIFS(Dati!$K$2:$K$451,Dati!$H$2:$H$451,$H59,Dati!$A$2:$A$451,$AH59)+SUMIFS(Dati!$C$2:$C$451,Dati!$A$2:$A$451,$H59,Dati!$H$2:$H$451,$AH59)+SUMIFS(Dati!$J$2:$J$451,Dati!$H$2:$H$451,$H59,Dati!$A$2:$A$451,$AH59),"-")</f>
        <v/>
      </c>
      <c r="BH59" s="21">
        <f>$C59</f>
        <v/>
      </c>
      <c r="BI59" s="22">
        <f>IF(AND($H59&lt;&gt;"",$Y59&lt;&gt;"",$H59&lt;&gt;$Y59,IFERROR(VLOOKUP($H59,areaCercaPuntiClassificaSquadra,3,FALSE),-1)=IFERROR(VLOOKUP($Y59,areaCercaPuntiClassificaSquadra,3,FALSE),-2)),SUMIFS(Dati!$E$2:$E$451,Dati!$A$2:$A$451,$H59,Dati!$H$2:$H$451,$Y59)+SUMIFS(Dati!$L$2:$L$451,Dati!$H$2:$H$451,$H59,Dati!$A$2:$A$451,$Y59),"-")</f>
        <v/>
      </c>
      <c r="BJ59" s="22">
        <f>IF(AND($H59&lt;&gt;"",$Z59&lt;&gt;"",$H59&lt;&gt;$Z59,IFERROR(VLOOKUP($H59,areaCercaPuntiClassificaSquadra,3,FALSE),-1)=IFERROR(VLOOKUP($Z59,areaCercaPuntiClassificaSquadra,3,FALSE),-2)),SUMIFS(Dati!$E$2:$E$451,Dati!$A$2:$A$451,$H59,Dati!$H$2:$H$451,$Z59)+SUMIFS(Dati!$L$2:$L$451,Dati!$H$2:$H$451,$H59,Dati!$A$2:$A$451,$Z59),"-")</f>
        <v/>
      </c>
      <c r="BK59" s="22">
        <f>IF(AND($H59&lt;&gt;"",$AA59&lt;&gt;"",$H59&lt;&gt;$AA59,IFERROR(VLOOKUP($H59,areaCercaPuntiClassificaSquadra,3,FALSE),-1)=IFERROR(VLOOKUP($AA59,areaCercaPuntiClassificaSquadra,3,FALSE),-2)),SUMIFS(Dati!$E$2:$E$451,Dati!$A$2:$A$451,$H59,Dati!$H$2:$H$451,$AA59)+SUMIFS(Dati!$L$2:$L$451,Dati!$H$2:$H$451,$H59,Dati!$A$2:$A$451,$AA59),"-")</f>
        <v/>
      </c>
      <c r="BL59" s="22">
        <f>IF(AND($H59&lt;&gt;"",$AB59&lt;&gt;"",$H59&lt;&gt;$AB59,IFERROR(VLOOKUP($H59,areaCercaPuntiClassificaSquadra,3,FALSE),-1)=IFERROR(VLOOKUP($AB59,areaCercaPuntiClassificaSquadra,3,FALSE),-2)),SUMIFS(Dati!$E$2:$E$451,Dati!$A$2:$A$451,$H59,Dati!$H$2:$H$451,$AB59)+SUMIFS(Dati!$L$2:$L$451,Dati!$H$2:$H$451,$H59,Dati!$A$2:$A$451,$AB59),"-")</f>
        <v/>
      </c>
      <c r="BM59" s="22">
        <f>IF(AND($H59&lt;&gt;"",$AC59&lt;&gt;"",$H59&lt;&gt;$AC59,IFERROR(VLOOKUP($H59,areaCercaPuntiClassificaSquadra,3,FALSE),-1)=IFERROR(VLOOKUP($AC59,areaCercaPuntiClassificaSquadra,3,FALSE),-2)),SUMIFS(Dati!$E$2:$E$451,Dati!$A$2:$A$451,$H59,Dati!$H$2:$H$451,$AC59)+SUMIFS(Dati!$L$2:$L$451,Dati!$H$2:$H$451,$H59,Dati!$A$2:$A$451,$AC59),"-")</f>
        <v/>
      </c>
      <c r="BN59" s="22">
        <f>IF(AND($H59&lt;&gt;"",$AD59&lt;&gt;"",$H59&lt;&gt;$AD59,IFERROR(VLOOKUP($H59,areaCercaPuntiClassificaSquadra,3,FALSE),-1)=IFERROR(VLOOKUP($AD59,areaCercaPuntiClassificaSquadra,3,FALSE),-2)),SUMIFS(Dati!$E$2:$E$451,Dati!$A$2:$A$451,$H59,Dati!$H$2:$H$451,$AD59)+SUMIFS(Dati!$L$2:$L$451,Dati!$H$2:$H$451,$H59,Dati!$A$2:$A$451,$AD59),"-")</f>
        <v/>
      </c>
      <c r="BO59" s="22">
        <f>IF(AND($H59&lt;&gt;"",$AE59&lt;&gt;"",$H59&lt;&gt;$AE59,IFERROR(VLOOKUP($H59,areaCercaPuntiClassificaSquadra,3,FALSE),-1)=IFERROR(VLOOKUP($AE59,areaCercaPuntiClassificaSquadra,3,FALSE),-2)),SUMIFS(Dati!$E$2:$E$451,Dati!$A$2:$A$451,$H59,Dati!$H$2:$H$451,$AE59)+SUMIFS(Dati!$L$2:$L$451,Dati!$H$2:$H$451,$H59,Dati!$A$2:$A$451,$AE59),"-")</f>
        <v/>
      </c>
      <c r="BP59" s="22">
        <f>IF(AND($H59&lt;&gt;"",$AF59&lt;&gt;"",$H59&lt;&gt;$AF59,IFERROR(VLOOKUP($H59,areaCercaPuntiClassificaSquadra,3,FALSE),-1)=IFERROR(VLOOKUP($AF59,areaCercaPuntiClassificaSquadra,3,FALSE),-2)),SUMIFS(Dati!$E$2:$E$451,Dati!$A$2:$A$451,$H59,Dati!$H$2:$H$451,$AF59)+SUMIFS(Dati!$L$2:$L$451,Dati!$H$2:$H$451,$H59,Dati!$A$2:$A$451,$AF59),"-")</f>
        <v/>
      </c>
      <c r="BQ59" s="22">
        <f>IF(AND($H59&lt;&gt;"",$AG59&lt;&gt;"",$H59&lt;&gt;$AG59,IFERROR(VLOOKUP($H59,areaCercaPuntiClassificaSquadra,3,FALSE),-1)=IFERROR(VLOOKUP($AG59,areaCercaPuntiClassificaSquadra,3,FALSE),-2)),SUMIFS(Dati!$E$2:$E$451,Dati!$A$2:$A$451,$H59,Dati!$H$2:$H$451,$AG59)+SUMIFS(Dati!$L$2:$L$451,Dati!$H$2:$H$451,$H59,Dati!$A$2:$A$451,$AG59),"-")</f>
        <v/>
      </c>
      <c r="BR59" s="22">
        <f>IF(AND($H59&lt;&gt;"",$AH59&lt;&gt;"",$H59&lt;&gt;$AH59,IFERROR(VLOOKUP($H59,areaCercaPuntiClassificaSquadra,3,FALSE),-1)=IFERROR(VLOOKUP($AH59,areaCercaPuntiClassificaSquadra,3,FALSE),-2)),SUMIFS(Dati!$E$2:$E$451,Dati!$A$2:$A$451,$H59,Dati!$H$2:$H$451,$AH59)+SUMIFS(Dati!$L$2:$L$451,Dati!$H$2:$H$451,$H59,Dati!$A$2:$A$451,$AH59),"-")</f>
        <v/>
      </c>
      <c r="BT59" s="21">
        <f>$C59</f>
        <v/>
      </c>
      <c r="BU59" s="22">
        <f>IF(AND($H59&lt;&gt;"",$Y59&lt;&gt;"",$H59&lt;&gt;$Y59,IFERROR(VLOOKUP($H59,areaCercaPuntiClassificaSquadra,3,FALSE),-1)=IFERROR(VLOOKUP($Y59,areaCercaPuntiClassificaSquadra,3,FALSE),-2)),SUMIFS(Dati!$F$2:$F$451,Dati!$A$2:$A$451,$H59,Dati!$H$2:$H$451,$Y59)+SUMIFS(Dati!$M$2:$M$451,Dati!$H$2:$H$451,$H59,Dati!$A$2:$A$451,$Y59),"-")</f>
        <v/>
      </c>
      <c r="BV59" s="22">
        <f>IF(AND($H59&lt;&gt;"",$Z59&lt;&gt;"",$H59&lt;&gt;$Z59,IFERROR(VLOOKUP($H59,areaCercaPuntiClassificaSquadra,3,FALSE),-1)=IFERROR(VLOOKUP($Z59,areaCercaPuntiClassificaSquadra,3,FALSE),-2)),SUMIFS(Dati!$F$2:$F$451,Dati!$A$2:$A$451,$H59,Dati!$H$2:$H$451,$Z59)+SUMIFS(Dati!$M$2:$M$451,Dati!$H$2:$H$451,$H59,Dati!$A$2:$A$451,$Z59),"-")</f>
        <v/>
      </c>
      <c r="BW59" s="22">
        <f>IF(AND($H59&lt;&gt;"",$AA59&lt;&gt;"",$H59&lt;&gt;$AA59,IFERROR(VLOOKUP($H59,areaCercaPuntiClassificaSquadra,3,FALSE),-1)=IFERROR(VLOOKUP($AA59,areaCercaPuntiClassificaSquadra,3,FALSE),-2)),SUMIFS(Dati!$F$2:$F$451,Dati!$A$2:$A$451,$H59,Dati!$H$2:$H$451,$AA59)+SUMIFS(Dati!$M$2:$M$451,Dati!$H$2:$H$451,$H59,Dati!$A$2:$A$451,$AA59),"-")</f>
        <v/>
      </c>
      <c r="BX59" s="22">
        <f>IF(AND($H59&lt;&gt;"",$AB59&lt;&gt;"",$H59&lt;&gt;$AB59,IFERROR(VLOOKUP($H59,areaCercaPuntiClassificaSquadra,3,FALSE),-1)=IFERROR(VLOOKUP($AB59,areaCercaPuntiClassificaSquadra,3,FALSE),-2)),SUMIFS(Dati!$F$2:$F$451,Dati!$A$2:$A$451,$H59,Dati!$H$2:$H$451,$AB59)+SUMIFS(Dati!$M$2:$M$451,Dati!$H$2:$H$451,$H59,Dati!$A$2:$A$451,$AB59),"-")</f>
        <v/>
      </c>
      <c r="BY59" s="22">
        <f>IF(AND($H59&lt;&gt;"",$AC59&lt;&gt;"",$H59&lt;&gt;$AC59,IFERROR(VLOOKUP($H59,areaCercaPuntiClassificaSquadra,3,FALSE),-1)=IFERROR(VLOOKUP($AC59,areaCercaPuntiClassificaSquadra,3,FALSE),-2)),SUMIFS(Dati!$F$2:$F$451,Dati!$A$2:$A$451,$H59,Dati!$H$2:$H$451,$AC59)+SUMIFS(Dati!$M$2:$M$451,Dati!$H$2:$H$451,$H59,Dati!$A$2:$A$451,$AC59),"-")</f>
        <v/>
      </c>
      <c r="BZ59" s="22">
        <f>IF(AND($H59&lt;&gt;"",$AD59&lt;&gt;"",$H59&lt;&gt;$AD59,IFERROR(VLOOKUP($H59,areaCercaPuntiClassificaSquadra,3,FALSE),-1)=IFERROR(VLOOKUP($AD59,areaCercaPuntiClassificaSquadra,3,FALSE),-2)),SUMIFS(Dati!$F$2:$F$451,Dati!$A$2:$A$451,$H59,Dati!$H$2:$H$451,$AD59)+SUMIFS(Dati!$M$2:$M$451,Dati!$H$2:$H$451,$H59,Dati!$A$2:$A$451,$AD59),"-")</f>
        <v/>
      </c>
      <c r="CA59" s="22">
        <f>IF(AND($H59&lt;&gt;"",$AE59&lt;&gt;"",$H59&lt;&gt;$AE59,IFERROR(VLOOKUP($H59,areaCercaPuntiClassificaSquadra,3,FALSE),-1)=IFERROR(VLOOKUP($AE59,areaCercaPuntiClassificaSquadra,3,FALSE),-2)),SUMIFS(Dati!$F$2:$F$451,Dati!$A$2:$A$451,$H59,Dati!$H$2:$H$451,$AE59)+SUMIFS(Dati!$M$2:$M$451,Dati!$H$2:$H$451,$H59,Dati!$A$2:$A$451,$AE59),"-")</f>
        <v/>
      </c>
      <c r="CB59" s="22">
        <f>IF(AND($H59&lt;&gt;"",$AF59&lt;&gt;"",$H59&lt;&gt;$AF59,IFERROR(VLOOKUP($H59,areaCercaPuntiClassificaSquadra,3,FALSE),-1)=IFERROR(VLOOKUP($AF59,areaCercaPuntiClassificaSquadra,3,FALSE),-2)),SUMIFS(Dati!$F$2:$F$451,Dati!$A$2:$A$451,$H59,Dati!$H$2:$H$451,$AF59)+SUMIFS(Dati!$M$2:$M$451,Dati!$H$2:$H$451,$H59,Dati!$A$2:$A$451,$AF59),"-")</f>
        <v/>
      </c>
      <c r="CC59" s="22">
        <f>IF(AND($H59&lt;&gt;"",$AG59&lt;&gt;"",$H59&lt;&gt;$AG59,IFERROR(VLOOKUP($H59,areaCercaPuntiClassificaSquadra,3,FALSE),-1)=IFERROR(VLOOKUP($AG59,areaCercaPuntiClassificaSquadra,3,FALSE),-2)),SUMIFS(Dati!$F$2:$F$451,Dati!$A$2:$A$451,$H59,Dati!$H$2:$H$451,$AG59)+SUMIFS(Dati!$M$2:$M$451,Dati!$H$2:$H$451,$H59,Dati!$A$2:$A$451,$AG59),"-")</f>
        <v/>
      </c>
      <c r="CD59" s="22">
        <f>IF(AND($H59&lt;&gt;"",$AH59&lt;&gt;"",$H59&lt;&gt;$AH59,IFERROR(VLOOKUP($H59,areaCercaPuntiClassificaSquadra,3,FALSE),-1)=IFERROR(VLOOKUP($AH59,areaCercaPuntiClassificaSquadra,3,FALSE),-2)),SUMIFS(Dati!$F$2:$F$451,Dati!$A$2:$A$451,$H59,Dati!$H$2:$H$451,$AH59)+SUMIFS(Dati!$M$2:$M$451,Dati!$H$2:$H$451,$H59,Dati!$A$2:$A$451,$AH59),"-")</f>
        <v/>
      </c>
      <c r="CF59" s="22">
        <f>IF($C59="","",SUM(AK59:AT59))</f>
        <v/>
      </c>
    </row>
    <row r="60">
      <c r="B60" s="12" t="inlineStr">
        <is>
          <t>E07</t>
        </is>
      </c>
      <c r="C60" s="13" t="n"/>
      <c r="D60" s="14" t="n"/>
      <c r="E60" s="29" t="inlineStr">
        <is>
          <t>E</t>
        </is>
      </c>
      <c r="G60" s="30">
        <f>IF($C60="","",$E60&amp;(COUNTIFS(I$14:I$113,"&gt;"&amp;I60,E$14:E$113,"="&amp;E60,C$14:C$113,"&lt;&gt;")+COUNTIFS(I$14:I$113,"="&amp;I60,H$14:H$113,"&lt;="&amp;H60,E$14:E$113,"="&amp;E60,C$14:C$113,"&lt;&gt;")))</f>
        <v/>
      </c>
      <c r="H60" s="17">
        <f>IF($C60="","",IFERROR(LEFT($C60,FIND("-",$C60)-1),$C60))</f>
        <v/>
      </c>
      <c r="I60" s="12">
        <f>TEXT(1000000000+J60,"|0000000000|")&amp;TEXT(SUM(AK60:AT60),"0000000000|")&amp;IF(SUM(BU60:CD60)=0,"0000000000|",TEXT(ROUND(SUM(BI60:BR60)/SUM(BU60:CD60),4)*100000,"0000000000|"))&amp;IF(P60=0,"0000000000|",TEXT(ROUND(O60/P60,4)*100000,"0000000000|"))</f>
        <v/>
      </c>
      <c r="J60" s="30">
        <f>L60*constPuntiVittoria+M60*constPuntiSconfitta+N60*constPuntiForfait+IF(D60="",0,D60)</f>
        <v/>
      </c>
      <c r="K60" s="12">
        <f>SUM(L60:N60)</f>
        <v/>
      </c>
      <c r="L60" s="12">
        <f>IF($H60="",0,SUMIF(Dati!$A$2:$A$451,$H60,Dati!$B$2:$B$451)+SUMIF(Dati!$H$2:$H$451,$H60,Dati!$I$2:$I$451))</f>
        <v/>
      </c>
      <c r="M60" s="12">
        <f>IF($H60="",0,SUMIF(Dati!$A$2:$A$451,$H60,Dati!$D$2:$D$451)+SUMIF(Dati!$H$2:$H$451,$H60,Dati!$K$2:$K$451))</f>
        <v/>
      </c>
      <c r="N60" s="12">
        <f>IF($H60="",0,SUMIF(Dati!$A$2:$A$451,$H60,Dati!$C$2:$C$451)+SUMIF(Dati!$H$2:$H$451,$H60,Dati!$J$2:$J$451))</f>
        <v/>
      </c>
      <c r="O60" s="12">
        <f>IF($H60="",0,SUMIF(Dati!$A$2:$A$451,$H60,Dati!$E$2:$E$451)+SUMIF(Dati!$H$2:$H$451,$H60,Dati!$L$2:$L$451))</f>
        <v/>
      </c>
      <c r="P60" s="12">
        <f>IF($H60="",0,SUMIF(Dati!$A$2:$A$451,$H60,Dati!$F$2:$F$451)+SUMIF(Dati!$H$2:$H$451,$H60,Dati!$M$2:$M$451))</f>
        <v/>
      </c>
      <c r="Q60" s="12">
        <f>IF($H60="",0,SUMIF(Dati!$A$2:$A$451,$H60,Dati!$G$2:$G$451)+SUMIF(Dati!$H$2:$H$451,$H60,Dati!$N$2:$N$451))</f>
        <v/>
      </c>
      <c r="R60" s="12">
        <f>IF(K60=0,0,ROUND(O60/K60,2))</f>
        <v/>
      </c>
      <c r="S60" s="12">
        <f>IF(K60=0,0,ROUND(P60/K60,2))</f>
        <v/>
      </c>
      <c r="T60" s="12">
        <f>IF(K60=0,0,ROUND(Q60/K60,2))</f>
        <v/>
      </c>
      <c r="U60" s="12">
        <f>IF(COUNTIFS($E$14:$E$113,$E60,$J$14:$J$113,$J60,$C$14:$C$113,"&lt;&gt;")&lt;=1,"-",SUM(AK60:AT60)&amp;"-"&amp;SUM(AW60:BF60))</f>
        <v/>
      </c>
      <c r="V60" s="18">
        <f>IF(COUNTIFS($E$14:$E$113,$E60,$J$14:$J$113,$J60,$C$14:$C$113,"&lt;&gt;",$CF$14:$CF$113,$CF60)&lt;=1,"-",IF(SUM(BU60:CD60)=0,0,ROUND(SUM(BI60:BR60)/SUM(BU60:CD60),3)))</f>
        <v/>
      </c>
      <c r="W60" s="18">
        <f>IF(COUNTIFS($E$14:$E$113,$E60,$J$14:$J$113,$J60,$C$14:$C$113,"&lt;&gt;",$CF$14:$CF$113,$CF60,$V$14:$V$113,$V60)&lt;=1,"-",IF(P60=0,0,ROUND(O60/P60,3)))</f>
        <v/>
      </c>
      <c r="X60" s="19">
        <f>IF($C60="","",$E60&amp;"#"&amp;COUNTIFS($E$14:$E60,$E60,$C$14:$C60,"&lt;&gt;"))</f>
        <v/>
      </c>
      <c r="Y60" s="20">
        <f>IFERROR(INDEX($H$14:$H$113,MATCH($E60&amp;"#1",$X$14:$X$113,0)),"")</f>
        <v/>
      </c>
      <c r="Z60" s="20">
        <f>IFERROR(INDEX($H$14:$H$113,MATCH($E60&amp;"#2",$X$14:$X$113,0)),"")</f>
        <v/>
      </c>
      <c r="AA60" s="20">
        <f>IFERROR(INDEX($H$14:$H$113,MATCH($E60&amp;"#3",$X$14:$X$113,0)),"")</f>
        <v/>
      </c>
      <c r="AB60" s="20">
        <f>IFERROR(INDEX($H$14:$H$113,MATCH($E60&amp;"#4",$X$14:$X$113,0)),"")</f>
        <v/>
      </c>
      <c r="AC60" s="20">
        <f>IFERROR(INDEX($H$14:$H$113,MATCH($E60&amp;"#5",$X$14:$X$113,0)),"")</f>
        <v/>
      </c>
      <c r="AD60" s="20">
        <f>IFERROR(INDEX($H$14:$H$113,MATCH($E60&amp;"#6",$X$14:$X$113,0)),"")</f>
        <v/>
      </c>
      <c r="AE60" s="20">
        <f>IFERROR(INDEX($H$14:$H$113,MATCH($E60&amp;"#7",$X$14:$X$113,0)),"")</f>
        <v/>
      </c>
      <c r="AF60" s="20">
        <f>IFERROR(INDEX($H$14:$H$113,MATCH($E60&amp;"#8",$X$14:$X$113,0)),"")</f>
        <v/>
      </c>
      <c r="AG60" s="20">
        <f>IFERROR(INDEX($H$14:$H$113,MATCH($E60&amp;"#9",$X$14:$X$113,0)),"")</f>
        <v/>
      </c>
      <c r="AH60" s="20">
        <f>IFERROR(INDEX($H$14:$H$113,MATCH($E60&amp;"#10",$X$14:$X$113,0)),"")</f>
        <v/>
      </c>
      <c r="AJ60" s="21">
        <f>$C60</f>
        <v/>
      </c>
      <c r="AK60" s="22">
        <f>IF(AND($H60&lt;&gt;"",$Y60&lt;&gt;"",$H60&lt;&gt;$Y60,IFERROR(VLOOKUP($H60,areaCercaPuntiClassificaSquadra,3,FALSE),-1)=IFERROR(VLOOKUP($Y60,areaCercaPuntiClassificaSquadra,3,FALSE),-2)),SUMIFS(Dati!$B$2:$B$451,Dati!$A$2:$A$451,$H60,Dati!$H$2:$H$451,$Y60)+SUMIFS(Dati!$I$2:$I$451,Dati!$H$2:$H$451,$H60,Dati!$A$2:$A$451,$Y60),"-")</f>
        <v/>
      </c>
      <c r="AL60" s="22">
        <f>IF(AND($H60&lt;&gt;"",$Z60&lt;&gt;"",$H60&lt;&gt;$Z60,IFERROR(VLOOKUP($H60,areaCercaPuntiClassificaSquadra,3,FALSE),-1)=IFERROR(VLOOKUP($Z60,areaCercaPuntiClassificaSquadra,3,FALSE),-2)),SUMIFS(Dati!$B$2:$B$451,Dati!$A$2:$A$451,$H60,Dati!$H$2:$H$451,$Z60)+SUMIFS(Dati!$I$2:$I$451,Dati!$H$2:$H$451,$H60,Dati!$A$2:$A$451,$Z60),"-")</f>
        <v/>
      </c>
      <c r="AM60" s="22">
        <f>IF(AND($H60&lt;&gt;"",$AA60&lt;&gt;"",$H60&lt;&gt;$AA60,IFERROR(VLOOKUP($H60,areaCercaPuntiClassificaSquadra,3,FALSE),-1)=IFERROR(VLOOKUP($AA60,areaCercaPuntiClassificaSquadra,3,FALSE),-2)),SUMIFS(Dati!$B$2:$B$451,Dati!$A$2:$A$451,$H60,Dati!$H$2:$H$451,$AA60)+SUMIFS(Dati!$I$2:$I$451,Dati!$H$2:$H$451,$H60,Dati!$A$2:$A$451,$AA60),"-")</f>
        <v/>
      </c>
      <c r="AN60" s="22">
        <f>IF(AND($H60&lt;&gt;"",$AB60&lt;&gt;"",$H60&lt;&gt;$AB60,IFERROR(VLOOKUP($H60,areaCercaPuntiClassificaSquadra,3,FALSE),-1)=IFERROR(VLOOKUP($AB60,areaCercaPuntiClassificaSquadra,3,FALSE),-2)),SUMIFS(Dati!$B$2:$B$451,Dati!$A$2:$A$451,$H60,Dati!$H$2:$H$451,$AB60)+SUMIFS(Dati!$I$2:$I$451,Dati!$H$2:$H$451,$H60,Dati!$A$2:$A$451,$AB60),"-")</f>
        <v/>
      </c>
      <c r="AO60" s="22">
        <f>IF(AND($H60&lt;&gt;"",$AC60&lt;&gt;"",$H60&lt;&gt;$AC60,IFERROR(VLOOKUP($H60,areaCercaPuntiClassificaSquadra,3,FALSE),-1)=IFERROR(VLOOKUP($AC60,areaCercaPuntiClassificaSquadra,3,FALSE),-2)),SUMIFS(Dati!$B$2:$B$451,Dati!$A$2:$A$451,$H60,Dati!$H$2:$H$451,$AC60)+SUMIFS(Dati!$I$2:$I$451,Dati!$H$2:$H$451,$H60,Dati!$A$2:$A$451,$AC60),"-")</f>
        <v/>
      </c>
      <c r="AP60" s="22">
        <f>IF(AND($H60&lt;&gt;"",$AD60&lt;&gt;"",$H60&lt;&gt;$AD60,IFERROR(VLOOKUP($H60,areaCercaPuntiClassificaSquadra,3,FALSE),-1)=IFERROR(VLOOKUP($AD60,areaCercaPuntiClassificaSquadra,3,FALSE),-2)),SUMIFS(Dati!$B$2:$B$451,Dati!$A$2:$A$451,$H60,Dati!$H$2:$H$451,$AD60)+SUMIFS(Dati!$I$2:$I$451,Dati!$H$2:$H$451,$H60,Dati!$A$2:$A$451,$AD60),"-")</f>
        <v/>
      </c>
      <c r="AQ60" s="22">
        <f>IF(AND($H60&lt;&gt;"",$AE60&lt;&gt;"",$H60&lt;&gt;$AE60,IFERROR(VLOOKUP($H60,areaCercaPuntiClassificaSquadra,3,FALSE),-1)=IFERROR(VLOOKUP($AE60,areaCercaPuntiClassificaSquadra,3,FALSE),-2)),SUMIFS(Dati!$B$2:$B$451,Dati!$A$2:$A$451,$H60,Dati!$H$2:$H$451,$AE60)+SUMIFS(Dati!$I$2:$I$451,Dati!$H$2:$H$451,$H60,Dati!$A$2:$A$451,$AE60),"-")</f>
        <v/>
      </c>
      <c r="AR60" s="22">
        <f>IF(AND($H60&lt;&gt;"",$AF60&lt;&gt;"",$H60&lt;&gt;$AF60,IFERROR(VLOOKUP($H60,areaCercaPuntiClassificaSquadra,3,FALSE),-1)=IFERROR(VLOOKUP($AF60,areaCercaPuntiClassificaSquadra,3,FALSE),-2)),SUMIFS(Dati!$B$2:$B$451,Dati!$A$2:$A$451,$H60,Dati!$H$2:$H$451,$AF60)+SUMIFS(Dati!$I$2:$I$451,Dati!$H$2:$H$451,$H60,Dati!$A$2:$A$451,$AF60),"-")</f>
        <v/>
      </c>
      <c r="AS60" s="22">
        <f>IF(AND($H60&lt;&gt;"",$AG60&lt;&gt;"",$H60&lt;&gt;$AG60,IFERROR(VLOOKUP($H60,areaCercaPuntiClassificaSquadra,3,FALSE),-1)=IFERROR(VLOOKUP($AG60,areaCercaPuntiClassificaSquadra,3,FALSE),-2)),SUMIFS(Dati!$B$2:$B$451,Dati!$A$2:$A$451,$H60,Dati!$H$2:$H$451,$AG60)+SUMIFS(Dati!$I$2:$I$451,Dati!$H$2:$H$451,$H60,Dati!$A$2:$A$451,$AG60),"-")</f>
        <v/>
      </c>
      <c r="AT60" s="22">
        <f>IF(AND($H60&lt;&gt;"",$AH60&lt;&gt;"",$H60&lt;&gt;$AH60,IFERROR(VLOOKUP($H60,areaCercaPuntiClassificaSquadra,3,FALSE),-1)=IFERROR(VLOOKUP($AH60,areaCercaPuntiClassificaSquadra,3,FALSE),-2)),SUMIFS(Dati!$B$2:$B$451,Dati!$A$2:$A$451,$H60,Dati!$H$2:$H$451,$AH60)+SUMIFS(Dati!$I$2:$I$451,Dati!$H$2:$H$451,$H60,Dati!$A$2:$A$451,$AH60),"-")</f>
        <v/>
      </c>
      <c r="AV60" s="21">
        <f>$C60</f>
        <v/>
      </c>
      <c r="AW60" s="22">
        <f>IF(AND($H60&lt;&gt;"",$Y60&lt;&gt;"",$H60&lt;&gt;$Y60,IFERROR(VLOOKUP($H60,areaCercaPuntiClassificaSquadra,3,FALSE),-1)=IFERROR(VLOOKUP($Y60,areaCercaPuntiClassificaSquadra,3,FALSE),-2)),SUMIFS(Dati!$D$2:$D$451,Dati!$A$2:$A$451,$H60,Dati!$H$2:$H$451,$Y60)+SUMIFS(Dati!$K$2:$K$451,Dati!$H$2:$H$451,$H60,Dati!$A$2:$A$451,$Y60)+SUMIFS(Dati!$C$2:$C$451,Dati!$A$2:$A$451,$H60,Dati!$H$2:$H$451,$Y60)+SUMIFS(Dati!$J$2:$J$451,Dati!$H$2:$H$451,$H60,Dati!$A$2:$A$451,$Y60),"-")</f>
        <v/>
      </c>
      <c r="AX60" s="22">
        <f>IF(AND($H60&lt;&gt;"",$Z60&lt;&gt;"",$H60&lt;&gt;$Z60,IFERROR(VLOOKUP($H60,areaCercaPuntiClassificaSquadra,3,FALSE),-1)=IFERROR(VLOOKUP($Z60,areaCercaPuntiClassificaSquadra,3,FALSE),-2)),SUMIFS(Dati!$D$2:$D$451,Dati!$A$2:$A$451,$H60,Dati!$H$2:$H$451,$Z60)+SUMIFS(Dati!$K$2:$K$451,Dati!$H$2:$H$451,$H60,Dati!$A$2:$A$451,$Z60)+SUMIFS(Dati!$C$2:$C$451,Dati!$A$2:$A$451,$H60,Dati!$H$2:$H$451,$Z60)+SUMIFS(Dati!$J$2:$J$451,Dati!$H$2:$H$451,$H60,Dati!$A$2:$A$451,$Z60),"-")</f>
        <v/>
      </c>
      <c r="AY60" s="22">
        <f>IF(AND($H60&lt;&gt;"",$AA60&lt;&gt;"",$H60&lt;&gt;$AA60,IFERROR(VLOOKUP($H60,areaCercaPuntiClassificaSquadra,3,FALSE),-1)=IFERROR(VLOOKUP($AA60,areaCercaPuntiClassificaSquadra,3,FALSE),-2)),SUMIFS(Dati!$D$2:$D$451,Dati!$A$2:$A$451,$H60,Dati!$H$2:$H$451,$AA60)+SUMIFS(Dati!$K$2:$K$451,Dati!$H$2:$H$451,$H60,Dati!$A$2:$A$451,$AA60)+SUMIFS(Dati!$C$2:$C$451,Dati!$A$2:$A$451,$H60,Dati!$H$2:$H$451,$AA60)+SUMIFS(Dati!$J$2:$J$451,Dati!$H$2:$H$451,$H60,Dati!$A$2:$A$451,$AA60),"-")</f>
        <v/>
      </c>
      <c r="AZ60" s="22">
        <f>IF(AND($H60&lt;&gt;"",$AB60&lt;&gt;"",$H60&lt;&gt;$AB60,IFERROR(VLOOKUP($H60,areaCercaPuntiClassificaSquadra,3,FALSE),-1)=IFERROR(VLOOKUP($AB60,areaCercaPuntiClassificaSquadra,3,FALSE),-2)),SUMIFS(Dati!$D$2:$D$451,Dati!$A$2:$A$451,$H60,Dati!$H$2:$H$451,$AB60)+SUMIFS(Dati!$K$2:$K$451,Dati!$H$2:$H$451,$H60,Dati!$A$2:$A$451,$AB60)+SUMIFS(Dati!$C$2:$C$451,Dati!$A$2:$A$451,$H60,Dati!$H$2:$H$451,$AB60)+SUMIFS(Dati!$J$2:$J$451,Dati!$H$2:$H$451,$H60,Dati!$A$2:$A$451,$AB60),"-")</f>
        <v/>
      </c>
      <c r="BA60" s="22">
        <f>IF(AND($H60&lt;&gt;"",$AC60&lt;&gt;"",$H60&lt;&gt;$AC60,IFERROR(VLOOKUP($H60,areaCercaPuntiClassificaSquadra,3,FALSE),-1)=IFERROR(VLOOKUP($AC60,areaCercaPuntiClassificaSquadra,3,FALSE),-2)),SUMIFS(Dati!$D$2:$D$451,Dati!$A$2:$A$451,$H60,Dati!$H$2:$H$451,$AC60)+SUMIFS(Dati!$K$2:$K$451,Dati!$H$2:$H$451,$H60,Dati!$A$2:$A$451,$AC60)+SUMIFS(Dati!$C$2:$C$451,Dati!$A$2:$A$451,$H60,Dati!$H$2:$H$451,$AC60)+SUMIFS(Dati!$J$2:$J$451,Dati!$H$2:$H$451,$H60,Dati!$A$2:$A$451,$AC60),"-")</f>
        <v/>
      </c>
      <c r="BB60" s="22">
        <f>IF(AND($H60&lt;&gt;"",$AD60&lt;&gt;"",$H60&lt;&gt;$AD60,IFERROR(VLOOKUP($H60,areaCercaPuntiClassificaSquadra,3,FALSE),-1)=IFERROR(VLOOKUP($AD60,areaCercaPuntiClassificaSquadra,3,FALSE),-2)),SUMIFS(Dati!$D$2:$D$451,Dati!$A$2:$A$451,$H60,Dati!$H$2:$H$451,$AD60)+SUMIFS(Dati!$K$2:$K$451,Dati!$H$2:$H$451,$H60,Dati!$A$2:$A$451,$AD60)+SUMIFS(Dati!$C$2:$C$451,Dati!$A$2:$A$451,$H60,Dati!$H$2:$H$451,$AD60)+SUMIFS(Dati!$J$2:$J$451,Dati!$H$2:$H$451,$H60,Dati!$A$2:$A$451,$AD60),"-")</f>
        <v/>
      </c>
      <c r="BC60" s="22">
        <f>IF(AND($H60&lt;&gt;"",$AE60&lt;&gt;"",$H60&lt;&gt;$AE60,IFERROR(VLOOKUP($H60,areaCercaPuntiClassificaSquadra,3,FALSE),-1)=IFERROR(VLOOKUP($AE60,areaCercaPuntiClassificaSquadra,3,FALSE),-2)),SUMIFS(Dati!$D$2:$D$451,Dati!$A$2:$A$451,$H60,Dati!$H$2:$H$451,$AE60)+SUMIFS(Dati!$K$2:$K$451,Dati!$H$2:$H$451,$H60,Dati!$A$2:$A$451,$AE60)+SUMIFS(Dati!$C$2:$C$451,Dati!$A$2:$A$451,$H60,Dati!$H$2:$H$451,$AE60)+SUMIFS(Dati!$J$2:$J$451,Dati!$H$2:$H$451,$H60,Dati!$A$2:$A$451,$AE60),"-")</f>
        <v/>
      </c>
      <c r="BD60" s="22">
        <f>IF(AND($H60&lt;&gt;"",$AF60&lt;&gt;"",$H60&lt;&gt;$AF60,IFERROR(VLOOKUP($H60,areaCercaPuntiClassificaSquadra,3,FALSE),-1)=IFERROR(VLOOKUP($AF60,areaCercaPuntiClassificaSquadra,3,FALSE),-2)),SUMIFS(Dati!$D$2:$D$451,Dati!$A$2:$A$451,$H60,Dati!$H$2:$H$451,$AF60)+SUMIFS(Dati!$K$2:$K$451,Dati!$H$2:$H$451,$H60,Dati!$A$2:$A$451,$AF60)+SUMIFS(Dati!$C$2:$C$451,Dati!$A$2:$A$451,$H60,Dati!$H$2:$H$451,$AF60)+SUMIFS(Dati!$J$2:$J$451,Dati!$H$2:$H$451,$H60,Dati!$A$2:$A$451,$AF60),"-")</f>
        <v/>
      </c>
      <c r="BE60" s="22">
        <f>IF(AND($H60&lt;&gt;"",$AG60&lt;&gt;"",$H60&lt;&gt;$AG60,IFERROR(VLOOKUP($H60,areaCercaPuntiClassificaSquadra,3,FALSE),-1)=IFERROR(VLOOKUP($AG60,areaCercaPuntiClassificaSquadra,3,FALSE),-2)),SUMIFS(Dati!$D$2:$D$451,Dati!$A$2:$A$451,$H60,Dati!$H$2:$H$451,$AG60)+SUMIFS(Dati!$K$2:$K$451,Dati!$H$2:$H$451,$H60,Dati!$A$2:$A$451,$AG60)+SUMIFS(Dati!$C$2:$C$451,Dati!$A$2:$A$451,$H60,Dati!$H$2:$H$451,$AG60)+SUMIFS(Dati!$J$2:$J$451,Dati!$H$2:$H$451,$H60,Dati!$A$2:$A$451,$AG60),"-")</f>
        <v/>
      </c>
      <c r="BF60" s="22">
        <f>IF(AND($H60&lt;&gt;"",$AH60&lt;&gt;"",$H60&lt;&gt;$AH60,IFERROR(VLOOKUP($H60,areaCercaPuntiClassificaSquadra,3,FALSE),-1)=IFERROR(VLOOKUP($AH60,areaCercaPuntiClassificaSquadra,3,FALSE),-2)),SUMIFS(Dati!$D$2:$D$451,Dati!$A$2:$A$451,$H60,Dati!$H$2:$H$451,$AH60)+SUMIFS(Dati!$K$2:$K$451,Dati!$H$2:$H$451,$H60,Dati!$A$2:$A$451,$AH60)+SUMIFS(Dati!$C$2:$C$451,Dati!$A$2:$A$451,$H60,Dati!$H$2:$H$451,$AH60)+SUMIFS(Dati!$J$2:$J$451,Dati!$H$2:$H$451,$H60,Dati!$A$2:$A$451,$AH60),"-")</f>
        <v/>
      </c>
      <c r="BH60" s="21">
        <f>$C60</f>
        <v/>
      </c>
      <c r="BI60" s="22">
        <f>IF(AND($H60&lt;&gt;"",$Y60&lt;&gt;"",$H60&lt;&gt;$Y60,IFERROR(VLOOKUP($H60,areaCercaPuntiClassificaSquadra,3,FALSE),-1)=IFERROR(VLOOKUP($Y60,areaCercaPuntiClassificaSquadra,3,FALSE),-2)),SUMIFS(Dati!$E$2:$E$451,Dati!$A$2:$A$451,$H60,Dati!$H$2:$H$451,$Y60)+SUMIFS(Dati!$L$2:$L$451,Dati!$H$2:$H$451,$H60,Dati!$A$2:$A$451,$Y60),"-")</f>
        <v/>
      </c>
      <c r="BJ60" s="22">
        <f>IF(AND($H60&lt;&gt;"",$Z60&lt;&gt;"",$H60&lt;&gt;$Z60,IFERROR(VLOOKUP($H60,areaCercaPuntiClassificaSquadra,3,FALSE),-1)=IFERROR(VLOOKUP($Z60,areaCercaPuntiClassificaSquadra,3,FALSE),-2)),SUMIFS(Dati!$E$2:$E$451,Dati!$A$2:$A$451,$H60,Dati!$H$2:$H$451,$Z60)+SUMIFS(Dati!$L$2:$L$451,Dati!$H$2:$H$451,$H60,Dati!$A$2:$A$451,$Z60),"-")</f>
        <v/>
      </c>
      <c r="BK60" s="22">
        <f>IF(AND($H60&lt;&gt;"",$AA60&lt;&gt;"",$H60&lt;&gt;$AA60,IFERROR(VLOOKUP($H60,areaCercaPuntiClassificaSquadra,3,FALSE),-1)=IFERROR(VLOOKUP($AA60,areaCercaPuntiClassificaSquadra,3,FALSE),-2)),SUMIFS(Dati!$E$2:$E$451,Dati!$A$2:$A$451,$H60,Dati!$H$2:$H$451,$AA60)+SUMIFS(Dati!$L$2:$L$451,Dati!$H$2:$H$451,$H60,Dati!$A$2:$A$451,$AA60),"-")</f>
        <v/>
      </c>
      <c r="BL60" s="22">
        <f>IF(AND($H60&lt;&gt;"",$AB60&lt;&gt;"",$H60&lt;&gt;$AB60,IFERROR(VLOOKUP($H60,areaCercaPuntiClassificaSquadra,3,FALSE),-1)=IFERROR(VLOOKUP($AB60,areaCercaPuntiClassificaSquadra,3,FALSE),-2)),SUMIFS(Dati!$E$2:$E$451,Dati!$A$2:$A$451,$H60,Dati!$H$2:$H$451,$AB60)+SUMIFS(Dati!$L$2:$L$451,Dati!$H$2:$H$451,$H60,Dati!$A$2:$A$451,$AB60),"-")</f>
        <v/>
      </c>
      <c r="BM60" s="22">
        <f>IF(AND($H60&lt;&gt;"",$AC60&lt;&gt;"",$H60&lt;&gt;$AC60,IFERROR(VLOOKUP($H60,areaCercaPuntiClassificaSquadra,3,FALSE),-1)=IFERROR(VLOOKUP($AC60,areaCercaPuntiClassificaSquadra,3,FALSE),-2)),SUMIFS(Dati!$E$2:$E$451,Dati!$A$2:$A$451,$H60,Dati!$H$2:$H$451,$AC60)+SUMIFS(Dati!$L$2:$L$451,Dati!$H$2:$H$451,$H60,Dati!$A$2:$A$451,$AC60),"-")</f>
        <v/>
      </c>
      <c r="BN60" s="22">
        <f>IF(AND($H60&lt;&gt;"",$AD60&lt;&gt;"",$H60&lt;&gt;$AD60,IFERROR(VLOOKUP($H60,areaCercaPuntiClassificaSquadra,3,FALSE),-1)=IFERROR(VLOOKUP($AD60,areaCercaPuntiClassificaSquadra,3,FALSE),-2)),SUMIFS(Dati!$E$2:$E$451,Dati!$A$2:$A$451,$H60,Dati!$H$2:$H$451,$AD60)+SUMIFS(Dati!$L$2:$L$451,Dati!$H$2:$H$451,$H60,Dati!$A$2:$A$451,$AD60),"-")</f>
        <v/>
      </c>
      <c r="BO60" s="22">
        <f>IF(AND($H60&lt;&gt;"",$AE60&lt;&gt;"",$H60&lt;&gt;$AE60,IFERROR(VLOOKUP($H60,areaCercaPuntiClassificaSquadra,3,FALSE),-1)=IFERROR(VLOOKUP($AE60,areaCercaPuntiClassificaSquadra,3,FALSE),-2)),SUMIFS(Dati!$E$2:$E$451,Dati!$A$2:$A$451,$H60,Dati!$H$2:$H$451,$AE60)+SUMIFS(Dati!$L$2:$L$451,Dati!$H$2:$H$451,$H60,Dati!$A$2:$A$451,$AE60),"-")</f>
        <v/>
      </c>
      <c r="BP60" s="22">
        <f>IF(AND($H60&lt;&gt;"",$AF60&lt;&gt;"",$H60&lt;&gt;$AF60,IFERROR(VLOOKUP($H60,areaCercaPuntiClassificaSquadra,3,FALSE),-1)=IFERROR(VLOOKUP($AF60,areaCercaPuntiClassificaSquadra,3,FALSE),-2)),SUMIFS(Dati!$E$2:$E$451,Dati!$A$2:$A$451,$H60,Dati!$H$2:$H$451,$AF60)+SUMIFS(Dati!$L$2:$L$451,Dati!$H$2:$H$451,$H60,Dati!$A$2:$A$451,$AF60),"-")</f>
        <v/>
      </c>
      <c r="BQ60" s="22">
        <f>IF(AND($H60&lt;&gt;"",$AG60&lt;&gt;"",$H60&lt;&gt;$AG60,IFERROR(VLOOKUP($H60,areaCercaPuntiClassificaSquadra,3,FALSE),-1)=IFERROR(VLOOKUP($AG60,areaCercaPuntiClassificaSquadra,3,FALSE),-2)),SUMIFS(Dati!$E$2:$E$451,Dati!$A$2:$A$451,$H60,Dati!$H$2:$H$451,$AG60)+SUMIFS(Dati!$L$2:$L$451,Dati!$H$2:$H$451,$H60,Dati!$A$2:$A$451,$AG60),"-")</f>
        <v/>
      </c>
      <c r="BR60" s="22">
        <f>IF(AND($H60&lt;&gt;"",$AH60&lt;&gt;"",$H60&lt;&gt;$AH60,IFERROR(VLOOKUP($H60,areaCercaPuntiClassificaSquadra,3,FALSE),-1)=IFERROR(VLOOKUP($AH60,areaCercaPuntiClassificaSquadra,3,FALSE),-2)),SUMIFS(Dati!$E$2:$E$451,Dati!$A$2:$A$451,$H60,Dati!$H$2:$H$451,$AH60)+SUMIFS(Dati!$L$2:$L$451,Dati!$H$2:$H$451,$H60,Dati!$A$2:$A$451,$AH60),"-")</f>
        <v/>
      </c>
      <c r="BT60" s="21">
        <f>$C60</f>
        <v/>
      </c>
      <c r="BU60" s="22">
        <f>IF(AND($H60&lt;&gt;"",$Y60&lt;&gt;"",$H60&lt;&gt;$Y60,IFERROR(VLOOKUP($H60,areaCercaPuntiClassificaSquadra,3,FALSE),-1)=IFERROR(VLOOKUP($Y60,areaCercaPuntiClassificaSquadra,3,FALSE),-2)),SUMIFS(Dati!$F$2:$F$451,Dati!$A$2:$A$451,$H60,Dati!$H$2:$H$451,$Y60)+SUMIFS(Dati!$M$2:$M$451,Dati!$H$2:$H$451,$H60,Dati!$A$2:$A$451,$Y60),"-")</f>
        <v/>
      </c>
      <c r="BV60" s="22">
        <f>IF(AND($H60&lt;&gt;"",$Z60&lt;&gt;"",$H60&lt;&gt;$Z60,IFERROR(VLOOKUP($H60,areaCercaPuntiClassificaSquadra,3,FALSE),-1)=IFERROR(VLOOKUP($Z60,areaCercaPuntiClassificaSquadra,3,FALSE),-2)),SUMIFS(Dati!$F$2:$F$451,Dati!$A$2:$A$451,$H60,Dati!$H$2:$H$451,$Z60)+SUMIFS(Dati!$M$2:$M$451,Dati!$H$2:$H$451,$H60,Dati!$A$2:$A$451,$Z60),"-")</f>
        <v/>
      </c>
      <c r="BW60" s="22">
        <f>IF(AND($H60&lt;&gt;"",$AA60&lt;&gt;"",$H60&lt;&gt;$AA60,IFERROR(VLOOKUP($H60,areaCercaPuntiClassificaSquadra,3,FALSE),-1)=IFERROR(VLOOKUP($AA60,areaCercaPuntiClassificaSquadra,3,FALSE),-2)),SUMIFS(Dati!$F$2:$F$451,Dati!$A$2:$A$451,$H60,Dati!$H$2:$H$451,$AA60)+SUMIFS(Dati!$M$2:$M$451,Dati!$H$2:$H$451,$H60,Dati!$A$2:$A$451,$AA60),"-")</f>
        <v/>
      </c>
      <c r="BX60" s="22">
        <f>IF(AND($H60&lt;&gt;"",$AB60&lt;&gt;"",$H60&lt;&gt;$AB60,IFERROR(VLOOKUP($H60,areaCercaPuntiClassificaSquadra,3,FALSE),-1)=IFERROR(VLOOKUP($AB60,areaCercaPuntiClassificaSquadra,3,FALSE),-2)),SUMIFS(Dati!$F$2:$F$451,Dati!$A$2:$A$451,$H60,Dati!$H$2:$H$451,$AB60)+SUMIFS(Dati!$M$2:$M$451,Dati!$H$2:$H$451,$H60,Dati!$A$2:$A$451,$AB60),"-")</f>
        <v/>
      </c>
      <c r="BY60" s="22">
        <f>IF(AND($H60&lt;&gt;"",$AC60&lt;&gt;"",$H60&lt;&gt;$AC60,IFERROR(VLOOKUP($H60,areaCercaPuntiClassificaSquadra,3,FALSE),-1)=IFERROR(VLOOKUP($AC60,areaCercaPuntiClassificaSquadra,3,FALSE),-2)),SUMIFS(Dati!$F$2:$F$451,Dati!$A$2:$A$451,$H60,Dati!$H$2:$H$451,$AC60)+SUMIFS(Dati!$M$2:$M$451,Dati!$H$2:$H$451,$H60,Dati!$A$2:$A$451,$AC60),"-")</f>
        <v/>
      </c>
      <c r="BZ60" s="22">
        <f>IF(AND($H60&lt;&gt;"",$AD60&lt;&gt;"",$H60&lt;&gt;$AD60,IFERROR(VLOOKUP($H60,areaCercaPuntiClassificaSquadra,3,FALSE),-1)=IFERROR(VLOOKUP($AD60,areaCercaPuntiClassificaSquadra,3,FALSE),-2)),SUMIFS(Dati!$F$2:$F$451,Dati!$A$2:$A$451,$H60,Dati!$H$2:$H$451,$AD60)+SUMIFS(Dati!$M$2:$M$451,Dati!$H$2:$H$451,$H60,Dati!$A$2:$A$451,$AD60),"-")</f>
        <v/>
      </c>
      <c r="CA60" s="22">
        <f>IF(AND($H60&lt;&gt;"",$AE60&lt;&gt;"",$H60&lt;&gt;$AE60,IFERROR(VLOOKUP($H60,areaCercaPuntiClassificaSquadra,3,FALSE),-1)=IFERROR(VLOOKUP($AE60,areaCercaPuntiClassificaSquadra,3,FALSE),-2)),SUMIFS(Dati!$F$2:$F$451,Dati!$A$2:$A$451,$H60,Dati!$H$2:$H$451,$AE60)+SUMIFS(Dati!$M$2:$M$451,Dati!$H$2:$H$451,$H60,Dati!$A$2:$A$451,$AE60),"-")</f>
        <v/>
      </c>
      <c r="CB60" s="22">
        <f>IF(AND($H60&lt;&gt;"",$AF60&lt;&gt;"",$H60&lt;&gt;$AF60,IFERROR(VLOOKUP($H60,areaCercaPuntiClassificaSquadra,3,FALSE),-1)=IFERROR(VLOOKUP($AF60,areaCercaPuntiClassificaSquadra,3,FALSE),-2)),SUMIFS(Dati!$F$2:$F$451,Dati!$A$2:$A$451,$H60,Dati!$H$2:$H$451,$AF60)+SUMIFS(Dati!$M$2:$M$451,Dati!$H$2:$H$451,$H60,Dati!$A$2:$A$451,$AF60),"-")</f>
        <v/>
      </c>
      <c r="CC60" s="22">
        <f>IF(AND($H60&lt;&gt;"",$AG60&lt;&gt;"",$H60&lt;&gt;$AG60,IFERROR(VLOOKUP($H60,areaCercaPuntiClassificaSquadra,3,FALSE),-1)=IFERROR(VLOOKUP($AG60,areaCercaPuntiClassificaSquadra,3,FALSE),-2)),SUMIFS(Dati!$F$2:$F$451,Dati!$A$2:$A$451,$H60,Dati!$H$2:$H$451,$AG60)+SUMIFS(Dati!$M$2:$M$451,Dati!$H$2:$H$451,$H60,Dati!$A$2:$A$451,$AG60),"-")</f>
        <v/>
      </c>
      <c r="CD60" s="22">
        <f>IF(AND($H60&lt;&gt;"",$AH60&lt;&gt;"",$H60&lt;&gt;$AH60,IFERROR(VLOOKUP($H60,areaCercaPuntiClassificaSquadra,3,FALSE),-1)=IFERROR(VLOOKUP($AH60,areaCercaPuntiClassificaSquadra,3,FALSE),-2)),SUMIFS(Dati!$F$2:$F$451,Dati!$A$2:$A$451,$H60,Dati!$H$2:$H$451,$AH60)+SUMIFS(Dati!$M$2:$M$451,Dati!$H$2:$H$451,$H60,Dati!$A$2:$A$451,$AH60),"-")</f>
        <v/>
      </c>
      <c r="CF60" s="22">
        <f>IF($C60="","",SUM(AK60:AT60))</f>
        <v/>
      </c>
    </row>
    <row r="61">
      <c r="B61" s="12" t="inlineStr">
        <is>
          <t>E08</t>
        </is>
      </c>
      <c r="C61" s="13" t="n"/>
      <c r="D61" s="14" t="n"/>
      <c r="E61" s="29" t="inlineStr">
        <is>
          <t>E</t>
        </is>
      </c>
      <c r="G61" s="30">
        <f>IF($C61="","",$E61&amp;(COUNTIFS(I$14:I$113,"&gt;"&amp;I61,E$14:E$113,"="&amp;E61,C$14:C$113,"&lt;&gt;")+COUNTIFS(I$14:I$113,"="&amp;I61,H$14:H$113,"&lt;="&amp;H61,E$14:E$113,"="&amp;E61,C$14:C$113,"&lt;&gt;")))</f>
        <v/>
      </c>
      <c r="H61" s="17">
        <f>IF($C61="","",IFERROR(LEFT($C61,FIND("-",$C61)-1),$C61))</f>
        <v/>
      </c>
      <c r="I61" s="12">
        <f>TEXT(1000000000+J61,"|0000000000|")&amp;TEXT(SUM(AK61:AT61),"0000000000|")&amp;IF(SUM(BU61:CD61)=0,"0000000000|",TEXT(ROUND(SUM(BI61:BR61)/SUM(BU61:CD61),4)*100000,"0000000000|"))&amp;IF(P61=0,"0000000000|",TEXT(ROUND(O61/P61,4)*100000,"0000000000|"))</f>
        <v/>
      </c>
      <c r="J61" s="30">
        <f>L61*constPuntiVittoria+M61*constPuntiSconfitta+N61*constPuntiForfait+IF(D61="",0,D61)</f>
        <v/>
      </c>
      <c r="K61" s="12">
        <f>SUM(L61:N61)</f>
        <v/>
      </c>
      <c r="L61" s="12">
        <f>IF($H61="",0,SUMIF(Dati!$A$2:$A$451,$H61,Dati!$B$2:$B$451)+SUMIF(Dati!$H$2:$H$451,$H61,Dati!$I$2:$I$451))</f>
        <v/>
      </c>
      <c r="M61" s="12">
        <f>IF($H61="",0,SUMIF(Dati!$A$2:$A$451,$H61,Dati!$D$2:$D$451)+SUMIF(Dati!$H$2:$H$451,$H61,Dati!$K$2:$K$451))</f>
        <v/>
      </c>
      <c r="N61" s="12">
        <f>IF($H61="",0,SUMIF(Dati!$A$2:$A$451,$H61,Dati!$C$2:$C$451)+SUMIF(Dati!$H$2:$H$451,$H61,Dati!$J$2:$J$451))</f>
        <v/>
      </c>
      <c r="O61" s="12">
        <f>IF($H61="",0,SUMIF(Dati!$A$2:$A$451,$H61,Dati!$E$2:$E$451)+SUMIF(Dati!$H$2:$H$451,$H61,Dati!$L$2:$L$451))</f>
        <v/>
      </c>
      <c r="P61" s="12">
        <f>IF($H61="",0,SUMIF(Dati!$A$2:$A$451,$H61,Dati!$F$2:$F$451)+SUMIF(Dati!$H$2:$H$451,$H61,Dati!$M$2:$M$451))</f>
        <v/>
      </c>
      <c r="Q61" s="12">
        <f>IF($H61="",0,SUMIF(Dati!$A$2:$A$451,$H61,Dati!$G$2:$G$451)+SUMIF(Dati!$H$2:$H$451,$H61,Dati!$N$2:$N$451))</f>
        <v/>
      </c>
      <c r="R61" s="12">
        <f>IF(K61=0,0,ROUND(O61/K61,2))</f>
        <v/>
      </c>
      <c r="S61" s="12">
        <f>IF(K61=0,0,ROUND(P61/K61,2))</f>
        <v/>
      </c>
      <c r="T61" s="12">
        <f>IF(K61=0,0,ROUND(Q61/K61,2))</f>
        <v/>
      </c>
      <c r="U61" s="12">
        <f>IF(COUNTIFS($E$14:$E$113,$E61,$J$14:$J$113,$J61,$C$14:$C$113,"&lt;&gt;")&lt;=1,"-",SUM(AK61:AT61)&amp;"-"&amp;SUM(AW61:BF61))</f>
        <v/>
      </c>
      <c r="V61" s="18">
        <f>IF(COUNTIFS($E$14:$E$113,$E61,$J$14:$J$113,$J61,$C$14:$C$113,"&lt;&gt;",$CF$14:$CF$113,$CF61)&lt;=1,"-",IF(SUM(BU61:CD61)=0,0,ROUND(SUM(BI61:BR61)/SUM(BU61:CD61),3)))</f>
        <v/>
      </c>
      <c r="W61" s="18">
        <f>IF(COUNTIFS($E$14:$E$113,$E61,$J$14:$J$113,$J61,$C$14:$C$113,"&lt;&gt;",$CF$14:$CF$113,$CF61,$V$14:$V$113,$V61)&lt;=1,"-",IF(P61=0,0,ROUND(O61/P61,3)))</f>
        <v/>
      </c>
      <c r="X61" s="19">
        <f>IF($C61="","",$E61&amp;"#"&amp;COUNTIFS($E$14:$E61,$E61,$C$14:$C61,"&lt;&gt;"))</f>
        <v/>
      </c>
      <c r="Y61" s="20">
        <f>IFERROR(INDEX($H$14:$H$113,MATCH($E61&amp;"#1",$X$14:$X$113,0)),"")</f>
        <v/>
      </c>
      <c r="Z61" s="20">
        <f>IFERROR(INDEX($H$14:$H$113,MATCH($E61&amp;"#2",$X$14:$X$113,0)),"")</f>
        <v/>
      </c>
      <c r="AA61" s="20">
        <f>IFERROR(INDEX($H$14:$H$113,MATCH($E61&amp;"#3",$X$14:$X$113,0)),"")</f>
        <v/>
      </c>
      <c r="AB61" s="20">
        <f>IFERROR(INDEX($H$14:$H$113,MATCH($E61&amp;"#4",$X$14:$X$113,0)),"")</f>
        <v/>
      </c>
      <c r="AC61" s="20">
        <f>IFERROR(INDEX($H$14:$H$113,MATCH($E61&amp;"#5",$X$14:$X$113,0)),"")</f>
        <v/>
      </c>
      <c r="AD61" s="20">
        <f>IFERROR(INDEX($H$14:$H$113,MATCH($E61&amp;"#6",$X$14:$X$113,0)),"")</f>
        <v/>
      </c>
      <c r="AE61" s="20">
        <f>IFERROR(INDEX($H$14:$H$113,MATCH($E61&amp;"#7",$X$14:$X$113,0)),"")</f>
        <v/>
      </c>
      <c r="AF61" s="20">
        <f>IFERROR(INDEX($H$14:$H$113,MATCH($E61&amp;"#8",$X$14:$X$113,0)),"")</f>
        <v/>
      </c>
      <c r="AG61" s="20">
        <f>IFERROR(INDEX($H$14:$H$113,MATCH($E61&amp;"#9",$X$14:$X$113,0)),"")</f>
        <v/>
      </c>
      <c r="AH61" s="20">
        <f>IFERROR(INDEX($H$14:$H$113,MATCH($E61&amp;"#10",$X$14:$X$113,0)),"")</f>
        <v/>
      </c>
      <c r="AJ61" s="21">
        <f>$C61</f>
        <v/>
      </c>
      <c r="AK61" s="22">
        <f>IF(AND($H61&lt;&gt;"",$Y61&lt;&gt;"",$H61&lt;&gt;$Y61,IFERROR(VLOOKUP($H61,areaCercaPuntiClassificaSquadra,3,FALSE),-1)=IFERROR(VLOOKUP($Y61,areaCercaPuntiClassificaSquadra,3,FALSE),-2)),SUMIFS(Dati!$B$2:$B$451,Dati!$A$2:$A$451,$H61,Dati!$H$2:$H$451,$Y61)+SUMIFS(Dati!$I$2:$I$451,Dati!$H$2:$H$451,$H61,Dati!$A$2:$A$451,$Y61),"-")</f>
        <v/>
      </c>
      <c r="AL61" s="22">
        <f>IF(AND($H61&lt;&gt;"",$Z61&lt;&gt;"",$H61&lt;&gt;$Z61,IFERROR(VLOOKUP($H61,areaCercaPuntiClassificaSquadra,3,FALSE),-1)=IFERROR(VLOOKUP($Z61,areaCercaPuntiClassificaSquadra,3,FALSE),-2)),SUMIFS(Dati!$B$2:$B$451,Dati!$A$2:$A$451,$H61,Dati!$H$2:$H$451,$Z61)+SUMIFS(Dati!$I$2:$I$451,Dati!$H$2:$H$451,$H61,Dati!$A$2:$A$451,$Z61),"-")</f>
        <v/>
      </c>
      <c r="AM61" s="22">
        <f>IF(AND($H61&lt;&gt;"",$AA61&lt;&gt;"",$H61&lt;&gt;$AA61,IFERROR(VLOOKUP($H61,areaCercaPuntiClassificaSquadra,3,FALSE),-1)=IFERROR(VLOOKUP($AA61,areaCercaPuntiClassificaSquadra,3,FALSE),-2)),SUMIFS(Dati!$B$2:$B$451,Dati!$A$2:$A$451,$H61,Dati!$H$2:$H$451,$AA61)+SUMIFS(Dati!$I$2:$I$451,Dati!$H$2:$H$451,$H61,Dati!$A$2:$A$451,$AA61),"-")</f>
        <v/>
      </c>
      <c r="AN61" s="22">
        <f>IF(AND($H61&lt;&gt;"",$AB61&lt;&gt;"",$H61&lt;&gt;$AB61,IFERROR(VLOOKUP($H61,areaCercaPuntiClassificaSquadra,3,FALSE),-1)=IFERROR(VLOOKUP($AB61,areaCercaPuntiClassificaSquadra,3,FALSE),-2)),SUMIFS(Dati!$B$2:$B$451,Dati!$A$2:$A$451,$H61,Dati!$H$2:$H$451,$AB61)+SUMIFS(Dati!$I$2:$I$451,Dati!$H$2:$H$451,$H61,Dati!$A$2:$A$451,$AB61),"-")</f>
        <v/>
      </c>
      <c r="AO61" s="22">
        <f>IF(AND($H61&lt;&gt;"",$AC61&lt;&gt;"",$H61&lt;&gt;$AC61,IFERROR(VLOOKUP($H61,areaCercaPuntiClassificaSquadra,3,FALSE),-1)=IFERROR(VLOOKUP($AC61,areaCercaPuntiClassificaSquadra,3,FALSE),-2)),SUMIFS(Dati!$B$2:$B$451,Dati!$A$2:$A$451,$H61,Dati!$H$2:$H$451,$AC61)+SUMIFS(Dati!$I$2:$I$451,Dati!$H$2:$H$451,$H61,Dati!$A$2:$A$451,$AC61),"-")</f>
        <v/>
      </c>
      <c r="AP61" s="22">
        <f>IF(AND($H61&lt;&gt;"",$AD61&lt;&gt;"",$H61&lt;&gt;$AD61,IFERROR(VLOOKUP($H61,areaCercaPuntiClassificaSquadra,3,FALSE),-1)=IFERROR(VLOOKUP($AD61,areaCercaPuntiClassificaSquadra,3,FALSE),-2)),SUMIFS(Dati!$B$2:$B$451,Dati!$A$2:$A$451,$H61,Dati!$H$2:$H$451,$AD61)+SUMIFS(Dati!$I$2:$I$451,Dati!$H$2:$H$451,$H61,Dati!$A$2:$A$451,$AD61),"-")</f>
        <v/>
      </c>
      <c r="AQ61" s="22">
        <f>IF(AND($H61&lt;&gt;"",$AE61&lt;&gt;"",$H61&lt;&gt;$AE61,IFERROR(VLOOKUP($H61,areaCercaPuntiClassificaSquadra,3,FALSE),-1)=IFERROR(VLOOKUP($AE61,areaCercaPuntiClassificaSquadra,3,FALSE),-2)),SUMIFS(Dati!$B$2:$B$451,Dati!$A$2:$A$451,$H61,Dati!$H$2:$H$451,$AE61)+SUMIFS(Dati!$I$2:$I$451,Dati!$H$2:$H$451,$H61,Dati!$A$2:$A$451,$AE61),"-")</f>
        <v/>
      </c>
      <c r="AR61" s="22">
        <f>IF(AND($H61&lt;&gt;"",$AF61&lt;&gt;"",$H61&lt;&gt;$AF61,IFERROR(VLOOKUP($H61,areaCercaPuntiClassificaSquadra,3,FALSE),-1)=IFERROR(VLOOKUP($AF61,areaCercaPuntiClassificaSquadra,3,FALSE),-2)),SUMIFS(Dati!$B$2:$B$451,Dati!$A$2:$A$451,$H61,Dati!$H$2:$H$451,$AF61)+SUMIFS(Dati!$I$2:$I$451,Dati!$H$2:$H$451,$H61,Dati!$A$2:$A$451,$AF61),"-")</f>
        <v/>
      </c>
      <c r="AS61" s="22">
        <f>IF(AND($H61&lt;&gt;"",$AG61&lt;&gt;"",$H61&lt;&gt;$AG61,IFERROR(VLOOKUP($H61,areaCercaPuntiClassificaSquadra,3,FALSE),-1)=IFERROR(VLOOKUP($AG61,areaCercaPuntiClassificaSquadra,3,FALSE),-2)),SUMIFS(Dati!$B$2:$B$451,Dati!$A$2:$A$451,$H61,Dati!$H$2:$H$451,$AG61)+SUMIFS(Dati!$I$2:$I$451,Dati!$H$2:$H$451,$H61,Dati!$A$2:$A$451,$AG61),"-")</f>
        <v/>
      </c>
      <c r="AT61" s="22">
        <f>IF(AND($H61&lt;&gt;"",$AH61&lt;&gt;"",$H61&lt;&gt;$AH61,IFERROR(VLOOKUP($H61,areaCercaPuntiClassificaSquadra,3,FALSE),-1)=IFERROR(VLOOKUP($AH61,areaCercaPuntiClassificaSquadra,3,FALSE),-2)),SUMIFS(Dati!$B$2:$B$451,Dati!$A$2:$A$451,$H61,Dati!$H$2:$H$451,$AH61)+SUMIFS(Dati!$I$2:$I$451,Dati!$H$2:$H$451,$H61,Dati!$A$2:$A$451,$AH61),"-")</f>
        <v/>
      </c>
      <c r="AV61" s="21">
        <f>$C61</f>
        <v/>
      </c>
      <c r="AW61" s="22">
        <f>IF(AND($H61&lt;&gt;"",$Y61&lt;&gt;"",$H61&lt;&gt;$Y61,IFERROR(VLOOKUP($H61,areaCercaPuntiClassificaSquadra,3,FALSE),-1)=IFERROR(VLOOKUP($Y61,areaCercaPuntiClassificaSquadra,3,FALSE),-2)),SUMIFS(Dati!$D$2:$D$451,Dati!$A$2:$A$451,$H61,Dati!$H$2:$H$451,$Y61)+SUMIFS(Dati!$K$2:$K$451,Dati!$H$2:$H$451,$H61,Dati!$A$2:$A$451,$Y61)+SUMIFS(Dati!$C$2:$C$451,Dati!$A$2:$A$451,$H61,Dati!$H$2:$H$451,$Y61)+SUMIFS(Dati!$J$2:$J$451,Dati!$H$2:$H$451,$H61,Dati!$A$2:$A$451,$Y61),"-")</f>
        <v/>
      </c>
      <c r="AX61" s="22">
        <f>IF(AND($H61&lt;&gt;"",$Z61&lt;&gt;"",$H61&lt;&gt;$Z61,IFERROR(VLOOKUP($H61,areaCercaPuntiClassificaSquadra,3,FALSE),-1)=IFERROR(VLOOKUP($Z61,areaCercaPuntiClassificaSquadra,3,FALSE),-2)),SUMIFS(Dati!$D$2:$D$451,Dati!$A$2:$A$451,$H61,Dati!$H$2:$H$451,$Z61)+SUMIFS(Dati!$K$2:$K$451,Dati!$H$2:$H$451,$H61,Dati!$A$2:$A$451,$Z61)+SUMIFS(Dati!$C$2:$C$451,Dati!$A$2:$A$451,$H61,Dati!$H$2:$H$451,$Z61)+SUMIFS(Dati!$J$2:$J$451,Dati!$H$2:$H$451,$H61,Dati!$A$2:$A$451,$Z61),"-")</f>
        <v/>
      </c>
      <c r="AY61" s="22">
        <f>IF(AND($H61&lt;&gt;"",$AA61&lt;&gt;"",$H61&lt;&gt;$AA61,IFERROR(VLOOKUP($H61,areaCercaPuntiClassificaSquadra,3,FALSE),-1)=IFERROR(VLOOKUP($AA61,areaCercaPuntiClassificaSquadra,3,FALSE),-2)),SUMIFS(Dati!$D$2:$D$451,Dati!$A$2:$A$451,$H61,Dati!$H$2:$H$451,$AA61)+SUMIFS(Dati!$K$2:$K$451,Dati!$H$2:$H$451,$H61,Dati!$A$2:$A$451,$AA61)+SUMIFS(Dati!$C$2:$C$451,Dati!$A$2:$A$451,$H61,Dati!$H$2:$H$451,$AA61)+SUMIFS(Dati!$J$2:$J$451,Dati!$H$2:$H$451,$H61,Dati!$A$2:$A$451,$AA61),"-")</f>
        <v/>
      </c>
      <c r="AZ61" s="22">
        <f>IF(AND($H61&lt;&gt;"",$AB61&lt;&gt;"",$H61&lt;&gt;$AB61,IFERROR(VLOOKUP($H61,areaCercaPuntiClassificaSquadra,3,FALSE),-1)=IFERROR(VLOOKUP($AB61,areaCercaPuntiClassificaSquadra,3,FALSE),-2)),SUMIFS(Dati!$D$2:$D$451,Dati!$A$2:$A$451,$H61,Dati!$H$2:$H$451,$AB61)+SUMIFS(Dati!$K$2:$K$451,Dati!$H$2:$H$451,$H61,Dati!$A$2:$A$451,$AB61)+SUMIFS(Dati!$C$2:$C$451,Dati!$A$2:$A$451,$H61,Dati!$H$2:$H$451,$AB61)+SUMIFS(Dati!$J$2:$J$451,Dati!$H$2:$H$451,$H61,Dati!$A$2:$A$451,$AB61),"-")</f>
        <v/>
      </c>
      <c r="BA61" s="22">
        <f>IF(AND($H61&lt;&gt;"",$AC61&lt;&gt;"",$H61&lt;&gt;$AC61,IFERROR(VLOOKUP($H61,areaCercaPuntiClassificaSquadra,3,FALSE),-1)=IFERROR(VLOOKUP($AC61,areaCercaPuntiClassificaSquadra,3,FALSE),-2)),SUMIFS(Dati!$D$2:$D$451,Dati!$A$2:$A$451,$H61,Dati!$H$2:$H$451,$AC61)+SUMIFS(Dati!$K$2:$K$451,Dati!$H$2:$H$451,$H61,Dati!$A$2:$A$451,$AC61)+SUMIFS(Dati!$C$2:$C$451,Dati!$A$2:$A$451,$H61,Dati!$H$2:$H$451,$AC61)+SUMIFS(Dati!$J$2:$J$451,Dati!$H$2:$H$451,$H61,Dati!$A$2:$A$451,$AC61),"-")</f>
        <v/>
      </c>
      <c r="BB61" s="22">
        <f>IF(AND($H61&lt;&gt;"",$AD61&lt;&gt;"",$H61&lt;&gt;$AD61,IFERROR(VLOOKUP($H61,areaCercaPuntiClassificaSquadra,3,FALSE),-1)=IFERROR(VLOOKUP($AD61,areaCercaPuntiClassificaSquadra,3,FALSE),-2)),SUMIFS(Dati!$D$2:$D$451,Dati!$A$2:$A$451,$H61,Dati!$H$2:$H$451,$AD61)+SUMIFS(Dati!$K$2:$K$451,Dati!$H$2:$H$451,$H61,Dati!$A$2:$A$451,$AD61)+SUMIFS(Dati!$C$2:$C$451,Dati!$A$2:$A$451,$H61,Dati!$H$2:$H$451,$AD61)+SUMIFS(Dati!$J$2:$J$451,Dati!$H$2:$H$451,$H61,Dati!$A$2:$A$451,$AD61),"-")</f>
        <v/>
      </c>
      <c r="BC61" s="22">
        <f>IF(AND($H61&lt;&gt;"",$AE61&lt;&gt;"",$H61&lt;&gt;$AE61,IFERROR(VLOOKUP($H61,areaCercaPuntiClassificaSquadra,3,FALSE),-1)=IFERROR(VLOOKUP($AE61,areaCercaPuntiClassificaSquadra,3,FALSE),-2)),SUMIFS(Dati!$D$2:$D$451,Dati!$A$2:$A$451,$H61,Dati!$H$2:$H$451,$AE61)+SUMIFS(Dati!$K$2:$K$451,Dati!$H$2:$H$451,$H61,Dati!$A$2:$A$451,$AE61)+SUMIFS(Dati!$C$2:$C$451,Dati!$A$2:$A$451,$H61,Dati!$H$2:$H$451,$AE61)+SUMIFS(Dati!$J$2:$J$451,Dati!$H$2:$H$451,$H61,Dati!$A$2:$A$451,$AE61),"-")</f>
        <v/>
      </c>
      <c r="BD61" s="22">
        <f>IF(AND($H61&lt;&gt;"",$AF61&lt;&gt;"",$H61&lt;&gt;$AF61,IFERROR(VLOOKUP($H61,areaCercaPuntiClassificaSquadra,3,FALSE),-1)=IFERROR(VLOOKUP($AF61,areaCercaPuntiClassificaSquadra,3,FALSE),-2)),SUMIFS(Dati!$D$2:$D$451,Dati!$A$2:$A$451,$H61,Dati!$H$2:$H$451,$AF61)+SUMIFS(Dati!$K$2:$K$451,Dati!$H$2:$H$451,$H61,Dati!$A$2:$A$451,$AF61)+SUMIFS(Dati!$C$2:$C$451,Dati!$A$2:$A$451,$H61,Dati!$H$2:$H$451,$AF61)+SUMIFS(Dati!$J$2:$J$451,Dati!$H$2:$H$451,$H61,Dati!$A$2:$A$451,$AF61),"-")</f>
        <v/>
      </c>
      <c r="BE61" s="22">
        <f>IF(AND($H61&lt;&gt;"",$AG61&lt;&gt;"",$H61&lt;&gt;$AG61,IFERROR(VLOOKUP($H61,areaCercaPuntiClassificaSquadra,3,FALSE),-1)=IFERROR(VLOOKUP($AG61,areaCercaPuntiClassificaSquadra,3,FALSE),-2)),SUMIFS(Dati!$D$2:$D$451,Dati!$A$2:$A$451,$H61,Dati!$H$2:$H$451,$AG61)+SUMIFS(Dati!$K$2:$K$451,Dati!$H$2:$H$451,$H61,Dati!$A$2:$A$451,$AG61)+SUMIFS(Dati!$C$2:$C$451,Dati!$A$2:$A$451,$H61,Dati!$H$2:$H$451,$AG61)+SUMIFS(Dati!$J$2:$J$451,Dati!$H$2:$H$451,$H61,Dati!$A$2:$A$451,$AG61),"-")</f>
        <v/>
      </c>
      <c r="BF61" s="22">
        <f>IF(AND($H61&lt;&gt;"",$AH61&lt;&gt;"",$H61&lt;&gt;$AH61,IFERROR(VLOOKUP($H61,areaCercaPuntiClassificaSquadra,3,FALSE),-1)=IFERROR(VLOOKUP($AH61,areaCercaPuntiClassificaSquadra,3,FALSE),-2)),SUMIFS(Dati!$D$2:$D$451,Dati!$A$2:$A$451,$H61,Dati!$H$2:$H$451,$AH61)+SUMIFS(Dati!$K$2:$K$451,Dati!$H$2:$H$451,$H61,Dati!$A$2:$A$451,$AH61)+SUMIFS(Dati!$C$2:$C$451,Dati!$A$2:$A$451,$H61,Dati!$H$2:$H$451,$AH61)+SUMIFS(Dati!$J$2:$J$451,Dati!$H$2:$H$451,$H61,Dati!$A$2:$A$451,$AH61),"-")</f>
        <v/>
      </c>
      <c r="BH61" s="21">
        <f>$C61</f>
        <v/>
      </c>
      <c r="BI61" s="22">
        <f>IF(AND($H61&lt;&gt;"",$Y61&lt;&gt;"",$H61&lt;&gt;$Y61,IFERROR(VLOOKUP($H61,areaCercaPuntiClassificaSquadra,3,FALSE),-1)=IFERROR(VLOOKUP($Y61,areaCercaPuntiClassificaSquadra,3,FALSE),-2)),SUMIFS(Dati!$E$2:$E$451,Dati!$A$2:$A$451,$H61,Dati!$H$2:$H$451,$Y61)+SUMIFS(Dati!$L$2:$L$451,Dati!$H$2:$H$451,$H61,Dati!$A$2:$A$451,$Y61),"-")</f>
        <v/>
      </c>
      <c r="BJ61" s="22">
        <f>IF(AND($H61&lt;&gt;"",$Z61&lt;&gt;"",$H61&lt;&gt;$Z61,IFERROR(VLOOKUP($H61,areaCercaPuntiClassificaSquadra,3,FALSE),-1)=IFERROR(VLOOKUP($Z61,areaCercaPuntiClassificaSquadra,3,FALSE),-2)),SUMIFS(Dati!$E$2:$E$451,Dati!$A$2:$A$451,$H61,Dati!$H$2:$H$451,$Z61)+SUMIFS(Dati!$L$2:$L$451,Dati!$H$2:$H$451,$H61,Dati!$A$2:$A$451,$Z61),"-")</f>
        <v/>
      </c>
      <c r="BK61" s="22">
        <f>IF(AND($H61&lt;&gt;"",$AA61&lt;&gt;"",$H61&lt;&gt;$AA61,IFERROR(VLOOKUP($H61,areaCercaPuntiClassificaSquadra,3,FALSE),-1)=IFERROR(VLOOKUP($AA61,areaCercaPuntiClassificaSquadra,3,FALSE),-2)),SUMIFS(Dati!$E$2:$E$451,Dati!$A$2:$A$451,$H61,Dati!$H$2:$H$451,$AA61)+SUMIFS(Dati!$L$2:$L$451,Dati!$H$2:$H$451,$H61,Dati!$A$2:$A$451,$AA61),"-")</f>
        <v/>
      </c>
      <c r="BL61" s="22">
        <f>IF(AND($H61&lt;&gt;"",$AB61&lt;&gt;"",$H61&lt;&gt;$AB61,IFERROR(VLOOKUP($H61,areaCercaPuntiClassificaSquadra,3,FALSE),-1)=IFERROR(VLOOKUP($AB61,areaCercaPuntiClassificaSquadra,3,FALSE),-2)),SUMIFS(Dati!$E$2:$E$451,Dati!$A$2:$A$451,$H61,Dati!$H$2:$H$451,$AB61)+SUMIFS(Dati!$L$2:$L$451,Dati!$H$2:$H$451,$H61,Dati!$A$2:$A$451,$AB61),"-")</f>
        <v/>
      </c>
      <c r="BM61" s="22">
        <f>IF(AND($H61&lt;&gt;"",$AC61&lt;&gt;"",$H61&lt;&gt;$AC61,IFERROR(VLOOKUP($H61,areaCercaPuntiClassificaSquadra,3,FALSE),-1)=IFERROR(VLOOKUP($AC61,areaCercaPuntiClassificaSquadra,3,FALSE),-2)),SUMIFS(Dati!$E$2:$E$451,Dati!$A$2:$A$451,$H61,Dati!$H$2:$H$451,$AC61)+SUMIFS(Dati!$L$2:$L$451,Dati!$H$2:$H$451,$H61,Dati!$A$2:$A$451,$AC61),"-")</f>
        <v/>
      </c>
      <c r="BN61" s="22">
        <f>IF(AND($H61&lt;&gt;"",$AD61&lt;&gt;"",$H61&lt;&gt;$AD61,IFERROR(VLOOKUP($H61,areaCercaPuntiClassificaSquadra,3,FALSE),-1)=IFERROR(VLOOKUP($AD61,areaCercaPuntiClassificaSquadra,3,FALSE),-2)),SUMIFS(Dati!$E$2:$E$451,Dati!$A$2:$A$451,$H61,Dati!$H$2:$H$451,$AD61)+SUMIFS(Dati!$L$2:$L$451,Dati!$H$2:$H$451,$H61,Dati!$A$2:$A$451,$AD61),"-")</f>
        <v/>
      </c>
      <c r="BO61" s="22">
        <f>IF(AND($H61&lt;&gt;"",$AE61&lt;&gt;"",$H61&lt;&gt;$AE61,IFERROR(VLOOKUP($H61,areaCercaPuntiClassificaSquadra,3,FALSE),-1)=IFERROR(VLOOKUP($AE61,areaCercaPuntiClassificaSquadra,3,FALSE),-2)),SUMIFS(Dati!$E$2:$E$451,Dati!$A$2:$A$451,$H61,Dati!$H$2:$H$451,$AE61)+SUMIFS(Dati!$L$2:$L$451,Dati!$H$2:$H$451,$H61,Dati!$A$2:$A$451,$AE61),"-")</f>
        <v/>
      </c>
      <c r="BP61" s="22">
        <f>IF(AND($H61&lt;&gt;"",$AF61&lt;&gt;"",$H61&lt;&gt;$AF61,IFERROR(VLOOKUP($H61,areaCercaPuntiClassificaSquadra,3,FALSE),-1)=IFERROR(VLOOKUP($AF61,areaCercaPuntiClassificaSquadra,3,FALSE),-2)),SUMIFS(Dati!$E$2:$E$451,Dati!$A$2:$A$451,$H61,Dati!$H$2:$H$451,$AF61)+SUMIFS(Dati!$L$2:$L$451,Dati!$H$2:$H$451,$H61,Dati!$A$2:$A$451,$AF61),"-")</f>
        <v/>
      </c>
      <c r="BQ61" s="22">
        <f>IF(AND($H61&lt;&gt;"",$AG61&lt;&gt;"",$H61&lt;&gt;$AG61,IFERROR(VLOOKUP($H61,areaCercaPuntiClassificaSquadra,3,FALSE),-1)=IFERROR(VLOOKUP($AG61,areaCercaPuntiClassificaSquadra,3,FALSE),-2)),SUMIFS(Dati!$E$2:$E$451,Dati!$A$2:$A$451,$H61,Dati!$H$2:$H$451,$AG61)+SUMIFS(Dati!$L$2:$L$451,Dati!$H$2:$H$451,$H61,Dati!$A$2:$A$451,$AG61),"-")</f>
        <v/>
      </c>
      <c r="BR61" s="22">
        <f>IF(AND($H61&lt;&gt;"",$AH61&lt;&gt;"",$H61&lt;&gt;$AH61,IFERROR(VLOOKUP($H61,areaCercaPuntiClassificaSquadra,3,FALSE),-1)=IFERROR(VLOOKUP($AH61,areaCercaPuntiClassificaSquadra,3,FALSE),-2)),SUMIFS(Dati!$E$2:$E$451,Dati!$A$2:$A$451,$H61,Dati!$H$2:$H$451,$AH61)+SUMIFS(Dati!$L$2:$L$451,Dati!$H$2:$H$451,$H61,Dati!$A$2:$A$451,$AH61),"-")</f>
        <v/>
      </c>
      <c r="BT61" s="21">
        <f>$C61</f>
        <v/>
      </c>
      <c r="BU61" s="22">
        <f>IF(AND($H61&lt;&gt;"",$Y61&lt;&gt;"",$H61&lt;&gt;$Y61,IFERROR(VLOOKUP($H61,areaCercaPuntiClassificaSquadra,3,FALSE),-1)=IFERROR(VLOOKUP($Y61,areaCercaPuntiClassificaSquadra,3,FALSE),-2)),SUMIFS(Dati!$F$2:$F$451,Dati!$A$2:$A$451,$H61,Dati!$H$2:$H$451,$Y61)+SUMIFS(Dati!$M$2:$M$451,Dati!$H$2:$H$451,$H61,Dati!$A$2:$A$451,$Y61),"-")</f>
        <v/>
      </c>
      <c r="BV61" s="22">
        <f>IF(AND($H61&lt;&gt;"",$Z61&lt;&gt;"",$H61&lt;&gt;$Z61,IFERROR(VLOOKUP($H61,areaCercaPuntiClassificaSquadra,3,FALSE),-1)=IFERROR(VLOOKUP($Z61,areaCercaPuntiClassificaSquadra,3,FALSE),-2)),SUMIFS(Dati!$F$2:$F$451,Dati!$A$2:$A$451,$H61,Dati!$H$2:$H$451,$Z61)+SUMIFS(Dati!$M$2:$M$451,Dati!$H$2:$H$451,$H61,Dati!$A$2:$A$451,$Z61),"-")</f>
        <v/>
      </c>
      <c r="BW61" s="22">
        <f>IF(AND($H61&lt;&gt;"",$AA61&lt;&gt;"",$H61&lt;&gt;$AA61,IFERROR(VLOOKUP($H61,areaCercaPuntiClassificaSquadra,3,FALSE),-1)=IFERROR(VLOOKUP($AA61,areaCercaPuntiClassificaSquadra,3,FALSE),-2)),SUMIFS(Dati!$F$2:$F$451,Dati!$A$2:$A$451,$H61,Dati!$H$2:$H$451,$AA61)+SUMIFS(Dati!$M$2:$M$451,Dati!$H$2:$H$451,$H61,Dati!$A$2:$A$451,$AA61),"-")</f>
        <v/>
      </c>
      <c r="BX61" s="22">
        <f>IF(AND($H61&lt;&gt;"",$AB61&lt;&gt;"",$H61&lt;&gt;$AB61,IFERROR(VLOOKUP($H61,areaCercaPuntiClassificaSquadra,3,FALSE),-1)=IFERROR(VLOOKUP($AB61,areaCercaPuntiClassificaSquadra,3,FALSE),-2)),SUMIFS(Dati!$F$2:$F$451,Dati!$A$2:$A$451,$H61,Dati!$H$2:$H$451,$AB61)+SUMIFS(Dati!$M$2:$M$451,Dati!$H$2:$H$451,$H61,Dati!$A$2:$A$451,$AB61),"-")</f>
        <v/>
      </c>
      <c r="BY61" s="22">
        <f>IF(AND($H61&lt;&gt;"",$AC61&lt;&gt;"",$H61&lt;&gt;$AC61,IFERROR(VLOOKUP($H61,areaCercaPuntiClassificaSquadra,3,FALSE),-1)=IFERROR(VLOOKUP($AC61,areaCercaPuntiClassificaSquadra,3,FALSE),-2)),SUMIFS(Dati!$F$2:$F$451,Dati!$A$2:$A$451,$H61,Dati!$H$2:$H$451,$AC61)+SUMIFS(Dati!$M$2:$M$451,Dati!$H$2:$H$451,$H61,Dati!$A$2:$A$451,$AC61),"-")</f>
        <v/>
      </c>
      <c r="BZ61" s="22">
        <f>IF(AND($H61&lt;&gt;"",$AD61&lt;&gt;"",$H61&lt;&gt;$AD61,IFERROR(VLOOKUP($H61,areaCercaPuntiClassificaSquadra,3,FALSE),-1)=IFERROR(VLOOKUP($AD61,areaCercaPuntiClassificaSquadra,3,FALSE),-2)),SUMIFS(Dati!$F$2:$F$451,Dati!$A$2:$A$451,$H61,Dati!$H$2:$H$451,$AD61)+SUMIFS(Dati!$M$2:$M$451,Dati!$H$2:$H$451,$H61,Dati!$A$2:$A$451,$AD61),"-")</f>
        <v/>
      </c>
      <c r="CA61" s="22">
        <f>IF(AND($H61&lt;&gt;"",$AE61&lt;&gt;"",$H61&lt;&gt;$AE61,IFERROR(VLOOKUP($H61,areaCercaPuntiClassificaSquadra,3,FALSE),-1)=IFERROR(VLOOKUP($AE61,areaCercaPuntiClassificaSquadra,3,FALSE),-2)),SUMIFS(Dati!$F$2:$F$451,Dati!$A$2:$A$451,$H61,Dati!$H$2:$H$451,$AE61)+SUMIFS(Dati!$M$2:$M$451,Dati!$H$2:$H$451,$H61,Dati!$A$2:$A$451,$AE61),"-")</f>
        <v/>
      </c>
      <c r="CB61" s="22">
        <f>IF(AND($H61&lt;&gt;"",$AF61&lt;&gt;"",$H61&lt;&gt;$AF61,IFERROR(VLOOKUP($H61,areaCercaPuntiClassificaSquadra,3,FALSE),-1)=IFERROR(VLOOKUP($AF61,areaCercaPuntiClassificaSquadra,3,FALSE),-2)),SUMIFS(Dati!$F$2:$F$451,Dati!$A$2:$A$451,$H61,Dati!$H$2:$H$451,$AF61)+SUMIFS(Dati!$M$2:$M$451,Dati!$H$2:$H$451,$H61,Dati!$A$2:$A$451,$AF61),"-")</f>
        <v/>
      </c>
      <c r="CC61" s="22">
        <f>IF(AND($H61&lt;&gt;"",$AG61&lt;&gt;"",$H61&lt;&gt;$AG61,IFERROR(VLOOKUP($H61,areaCercaPuntiClassificaSquadra,3,FALSE),-1)=IFERROR(VLOOKUP($AG61,areaCercaPuntiClassificaSquadra,3,FALSE),-2)),SUMIFS(Dati!$F$2:$F$451,Dati!$A$2:$A$451,$H61,Dati!$H$2:$H$451,$AG61)+SUMIFS(Dati!$M$2:$M$451,Dati!$H$2:$H$451,$H61,Dati!$A$2:$A$451,$AG61),"-")</f>
        <v/>
      </c>
      <c r="CD61" s="22">
        <f>IF(AND($H61&lt;&gt;"",$AH61&lt;&gt;"",$H61&lt;&gt;$AH61,IFERROR(VLOOKUP($H61,areaCercaPuntiClassificaSquadra,3,FALSE),-1)=IFERROR(VLOOKUP($AH61,areaCercaPuntiClassificaSquadra,3,FALSE),-2)),SUMIFS(Dati!$F$2:$F$451,Dati!$A$2:$A$451,$H61,Dati!$H$2:$H$451,$AH61)+SUMIFS(Dati!$M$2:$M$451,Dati!$H$2:$H$451,$H61,Dati!$A$2:$A$451,$AH61),"-")</f>
        <v/>
      </c>
      <c r="CF61" s="22">
        <f>IF($C61="","",SUM(AK61:AT61))</f>
        <v/>
      </c>
    </row>
    <row r="62">
      <c r="B62" s="12" t="inlineStr">
        <is>
          <t>E09</t>
        </is>
      </c>
      <c r="C62" s="13" t="n"/>
      <c r="D62" s="14" t="n"/>
      <c r="E62" s="29" t="inlineStr">
        <is>
          <t>E</t>
        </is>
      </c>
      <c r="G62" s="30">
        <f>IF($C62="","",$E62&amp;(COUNTIFS(I$14:I$113,"&gt;"&amp;I62,E$14:E$113,"="&amp;E62,C$14:C$113,"&lt;&gt;")+COUNTIFS(I$14:I$113,"="&amp;I62,H$14:H$113,"&lt;="&amp;H62,E$14:E$113,"="&amp;E62,C$14:C$113,"&lt;&gt;")))</f>
        <v/>
      </c>
      <c r="H62" s="17">
        <f>IF($C62="","",IFERROR(LEFT($C62,FIND("-",$C62)-1),$C62))</f>
        <v/>
      </c>
      <c r="I62" s="12">
        <f>TEXT(1000000000+J62,"|0000000000|")&amp;TEXT(SUM(AK62:AT62),"0000000000|")&amp;IF(SUM(BU62:CD62)=0,"0000000000|",TEXT(ROUND(SUM(BI62:BR62)/SUM(BU62:CD62),4)*100000,"0000000000|"))&amp;IF(P62=0,"0000000000|",TEXT(ROUND(O62/P62,4)*100000,"0000000000|"))</f>
        <v/>
      </c>
      <c r="J62" s="30">
        <f>L62*constPuntiVittoria+M62*constPuntiSconfitta+N62*constPuntiForfait+IF(D62="",0,D62)</f>
        <v/>
      </c>
      <c r="K62" s="12">
        <f>SUM(L62:N62)</f>
        <v/>
      </c>
      <c r="L62" s="12">
        <f>IF($H62="",0,SUMIF(Dati!$A$2:$A$451,$H62,Dati!$B$2:$B$451)+SUMIF(Dati!$H$2:$H$451,$H62,Dati!$I$2:$I$451))</f>
        <v/>
      </c>
      <c r="M62" s="12">
        <f>IF($H62="",0,SUMIF(Dati!$A$2:$A$451,$H62,Dati!$D$2:$D$451)+SUMIF(Dati!$H$2:$H$451,$H62,Dati!$K$2:$K$451))</f>
        <v/>
      </c>
      <c r="N62" s="12">
        <f>IF($H62="",0,SUMIF(Dati!$A$2:$A$451,$H62,Dati!$C$2:$C$451)+SUMIF(Dati!$H$2:$H$451,$H62,Dati!$J$2:$J$451))</f>
        <v/>
      </c>
      <c r="O62" s="12">
        <f>IF($H62="",0,SUMIF(Dati!$A$2:$A$451,$H62,Dati!$E$2:$E$451)+SUMIF(Dati!$H$2:$H$451,$H62,Dati!$L$2:$L$451))</f>
        <v/>
      </c>
      <c r="P62" s="12">
        <f>IF($H62="",0,SUMIF(Dati!$A$2:$A$451,$H62,Dati!$F$2:$F$451)+SUMIF(Dati!$H$2:$H$451,$H62,Dati!$M$2:$M$451))</f>
        <v/>
      </c>
      <c r="Q62" s="12">
        <f>IF($H62="",0,SUMIF(Dati!$A$2:$A$451,$H62,Dati!$G$2:$G$451)+SUMIF(Dati!$H$2:$H$451,$H62,Dati!$N$2:$N$451))</f>
        <v/>
      </c>
      <c r="R62" s="12">
        <f>IF(K62=0,0,ROUND(O62/K62,2))</f>
        <v/>
      </c>
      <c r="S62" s="12">
        <f>IF(K62=0,0,ROUND(P62/K62,2))</f>
        <v/>
      </c>
      <c r="T62" s="12">
        <f>IF(K62=0,0,ROUND(Q62/K62,2))</f>
        <v/>
      </c>
      <c r="U62" s="12">
        <f>IF(COUNTIFS($E$14:$E$113,$E62,$J$14:$J$113,$J62,$C$14:$C$113,"&lt;&gt;")&lt;=1,"-",SUM(AK62:AT62)&amp;"-"&amp;SUM(AW62:BF62))</f>
        <v/>
      </c>
      <c r="V62" s="18">
        <f>IF(COUNTIFS($E$14:$E$113,$E62,$J$14:$J$113,$J62,$C$14:$C$113,"&lt;&gt;",$CF$14:$CF$113,$CF62)&lt;=1,"-",IF(SUM(BU62:CD62)=0,0,ROUND(SUM(BI62:BR62)/SUM(BU62:CD62),3)))</f>
        <v/>
      </c>
      <c r="W62" s="18">
        <f>IF(COUNTIFS($E$14:$E$113,$E62,$J$14:$J$113,$J62,$C$14:$C$113,"&lt;&gt;",$CF$14:$CF$113,$CF62,$V$14:$V$113,$V62)&lt;=1,"-",IF(P62=0,0,ROUND(O62/P62,3)))</f>
        <v/>
      </c>
      <c r="X62" s="19">
        <f>IF($C62="","",$E62&amp;"#"&amp;COUNTIFS($E$14:$E62,$E62,$C$14:$C62,"&lt;&gt;"))</f>
        <v/>
      </c>
      <c r="Y62" s="20">
        <f>IFERROR(INDEX($H$14:$H$113,MATCH($E62&amp;"#1",$X$14:$X$113,0)),"")</f>
        <v/>
      </c>
      <c r="Z62" s="20">
        <f>IFERROR(INDEX($H$14:$H$113,MATCH($E62&amp;"#2",$X$14:$X$113,0)),"")</f>
        <v/>
      </c>
      <c r="AA62" s="20">
        <f>IFERROR(INDEX($H$14:$H$113,MATCH($E62&amp;"#3",$X$14:$X$113,0)),"")</f>
        <v/>
      </c>
      <c r="AB62" s="20">
        <f>IFERROR(INDEX($H$14:$H$113,MATCH($E62&amp;"#4",$X$14:$X$113,0)),"")</f>
        <v/>
      </c>
      <c r="AC62" s="20">
        <f>IFERROR(INDEX($H$14:$H$113,MATCH($E62&amp;"#5",$X$14:$X$113,0)),"")</f>
        <v/>
      </c>
      <c r="AD62" s="20">
        <f>IFERROR(INDEX($H$14:$H$113,MATCH($E62&amp;"#6",$X$14:$X$113,0)),"")</f>
        <v/>
      </c>
      <c r="AE62" s="20">
        <f>IFERROR(INDEX($H$14:$H$113,MATCH($E62&amp;"#7",$X$14:$X$113,0)),"")</f>
        <v/>
      </c>
      <c r="AF62" s="20">
        <f>IFERROR(INDEX($H$14:$H$113,MATCH($E62&amp;"#8",$X$14:$X$113,0)),"")</f>
        <v/>
      </c>
      <c r="AG62" s="20">
        <f>IFERROR(INDEX($H$14:$H$113,MATCH($E62&amp;"#9",$X$14:$X$113,0)),"")</f>
        <v/>
      </c>
      <c r="AH62" s="20">
        <f>IFERROR(INDEX($H$14:$H$113,MATCH($E62&amp;"#10",$X$14:$X$113,0)),"")</f>
        <v/>
      </c>
      <c r="AJ62" s="21">
        <f>$C62</f>
        <v/>
      </c>
      <c r="AK62" s="22">
        <f>IF(AND($H62&lt;&gt;"",$Y62&lt;&gt;"",$H62&lt;&gt;$Y62,IFERROR(VLOOKUP($H62,areaCercaPuntiClassificaSquadra,3,FALSE),-1)=IFERROR(VLOOKUP($Y62,areaCercaPuntiClassificaSquadra,3,FALSE),-2)),SUMIFS(Dati!$B$2:$B$451,Dati!$A$2:$A$451,$H62,Dati!$H$2:$H$451,$Y62)+SUMIFS(Dati!$I$2:$I$451,Dati!$H$2:$H$451,$H62,Dati!$A$2:$A$451,$Y62),"-")</f>
        <v/>
      </c>
      <c r="AL62" s="22">
        <f>IF(AND($H62&lt;&gt;"",$Z62&lt;&gt;"",$H62&lt;&gt;$Z62,IFERROR(VLOOKUP($H62,areaCercaPuntiClassificaSquadra,3,FALSE),-1)=IFERROR(VLOOKUP($Z62,areaCercaPuntiClassificaSquadra,3,FALSE),-2)),SUMIFS(Dati!$B$2:$B$451,Dati!$A$2:$A$451,$H62,Dati!$H$2:$H$451,$Z62)+SUMIFS(Dati!$I$2:$I$451,Dati!$H$2:$H$451,$H62,Dati!$A$2:$A$451,$Z62),"-")</f>
        <v/>
      </c>
      <c r="AM62" s="22">
        <f>IF(AND($H62&lt;&gt;"",$AA62&lt;&gt;"",$H62&lt;&gt;$AA62,IFERROR(VLOOKUP($H62,areaCercaPuntiClassificaSquadra,3,FALSE),-1)=IFERROR(VLOOKUP($AA62,areaCercaPuntiClassificaSquadra,3,FALSE),-2)),SUMIFS(Dati!$B$2:$B$451,Dati!$A$2:$A$451,$H62,Dati!$H$2:$H$451,$AA62)+SUMIFS(Dati!$I$2:$I$451,Dati!$H$2:$H$451,$H62,Dati!$A$2:$A$451,$AA62),"-")</f>
        <v/>
      </c>
      <c r="AN62" s="22">
        <f>IF(AND($H62&lt;&gt;"",$AB62&lt;&gt;"",$H62&lt;&gt;$AB62,IFERROR(VLOOKUP($H62,areaCercaPuntiClassificaSquadra,3,FALSE),-1)=IFERROR(VLOOKUP($AB62,areaCercaPuntiClassificaSquadra,3,FALSE),-2)),SUMIFS(Dati!$B$2:$B$451,Dati!$A$2:$A$451,$H62,Dati!$H$2:$H$451,$AB62)+SUMIFS(Dati!$I$2:$I$451,Dati!$H$2:$H$451,$H62,Dati!$A$2:$A$451,$AB62),"-")</f>
        <v/>
      </c>
      <c r="AO62" s="22">
        <f>IF(AND($H62&lt;&gt;"",$AC62&lt;&gt;"",$H62&lt;&gt;$AC62,IFERROR(VLOOKUP($H62,areaCercaPuntiClassificaSquadra,3,FALSE),-1)=IFERROR(VLOOKUP($AC62,areaCercaPuntiClassificaSquadra,3,FALSE),-2)),SUMIFS(Dati!$B$2:$B$451,Dati!$A$2:$A$451,$H62,Dati!$H$2:$H$451,$AC62)+SUMIFS(Dati!$I$2:$I$451,Dati!$H$2:$H$451,$H62,Dati!$A$2:$A$451,$AC62),"-")</f>
        <v/>
      </c>
      <c r="AP62" s="22">
        <f>IF(AND($H62&lt;&gt;"",$AD62&lt;&gt;"",$H62&lt;&gt;$AD62,IFERROR(VLOOKUP($H62,areaCercaPuntiClassificaSquadra,3,FALSE),-1)=IFERROR(VLOOKUP($AD62,areaCercaPuntiClassificaSquadra,3,FALSE),-2)),SUMIFS(Dati!$B$2:$B$451,Dati!$A$2:$A$451,$H62,Dati!$H$2:$H$451,$AD62)+SUMIFS(Dati!$I$2:$I$451,Dati!$H$2:$H$451,$H62,Dati!$A$2:$A$451,$AD62),"-")</f>
        <v/>
      </c>
      <c r="AQ62" s="22">
        <f>IF(AND($H62&lt;&gt;"",$AE62&lt;&gt;"",$H62&lt;&gt;$AE62,IFERROR(VLOOKUP($H62,areaCercaPuntiClassificaSquadra,3,FALSE),-1)=IFERROR(VLOOKUP($AE62,areaCercaPuntiClassificaSquadra,3,FALSE),-2)),SUMIFS(Dati!$B$2:$B$451,Dati!$A$2:$A$451,$H62,Dati!$H$2:$H$451,$AE62)+SUMIFS(Dati!$I$2:$I$451,Dati!$H$2:$H$451,$H62,Dati!$A$2:$A$451,$AE62),"-")</f>
        <v/>
      </c>
      <c r="AR62" s="22">
        <f>IF(AND($H62&lt;&gt;"",$AF62&lt;&gt;"",$H62&lt;&gt;$AF62,IFERROR(VLOOKUP($H62,areaCercaPuntiClassificaSquadra,3,FALSE),-1)=IFERROR(VLOOKUP($AF62,areaCercaPuntiClassificaSquadra,3,FALSE),-2)),SUMIFS(Dati!$B$2:$B$451,Dati!$A$2:$A$451,$H62,Dati!$H$2:$H$451,$AF62)+SUMIFS(Dati!$I$2:$I$451,Dati!$H$2:$H$451,$H62,Dati!$A$2:$A$451,$AF62),"-")</f>
        <v/>
      </c>
      <c r="AS62" s="22">
        <f>IF(AND($H62&lt;&gt;"",$AG62&lt;&gt;"",$H62&lt;&gt;$AG62,IFERROR(VLOOKUP($H62,areaCercaPuntiClassificaSquadra,3,FALSE),-1)=IFERROR(VLOOKUP($AG62,areaCercaPuntiClassificaSquadra,3,FALSE),-2)),SUMIFS(Dati!$B$2:$B$451,Dati!$A$2:$A$451,$H62,Dati!$H$2:$H$451,$AG62)+SUMIFS(Dati!$I$2:$I$451,Dati!$H$2:$H$451,$H62,Dati!$A$2:$A$451,$AG62),"-")</f>
        <v/>
      </c>
      <c r="AT62" s="22">
        <f>IF(AND($H62&lt;&gt;"",$AH62&lt;&gt;"",$H62&lt;&gt;$AH62,IFERROR(VLOOKUP($H62,areaCercaPuntiClassificaSquadra,3,FALSE),-1)=IFERROR(VLOOKUP($AH62,areaCercaPuntiClassificaSquadra,3,FALSE),-2)),SUMIFS(Dati!$B$2:$B$451,Dati!$A$2:$A$451,$H62,Dati!$H$2:$H$451,$AH62)+SUMIFS(Dati!$I$2:$I$451,Dati!$H$2:$H$451,$H62,Dati!$A$2:$A$451,$AH62),"-")</f>
        <v/>
      </c>
      <c r="AV62" s="21">
        <f>$C62</f>
        <v/>
      </c>
      <c r="AW62" s="22">
        <f>IF(AND($H62&lt;&gt;"",$Y62&lt;&gt;"",$H62&lt;&gt;$Y62,IFERROR(VLOOKUP($H62,areaCercaPuntiClassificaSquadra,3,FALSE),-1)=IFERROR(VLOOKUP($Y62,areaCercaPuntiClassificaSquadra,3,FALSE),-2)),SUMIFS(Dati!$D$2:$D$451,Dati!$A$2:$A$451,$H62,Dati!$H$2:$H$451,$Y62)+SUMIFS(Dati!$K$2:$K$451,Dati!$H$2:$H$451,$H62,Dati!$A$2:$A$451,$Y62)+SUMIFS(Dati!$C$2:$C$451,Dati!$A$2:$A$451,$H62,Dati!$H$2:$H$451,$Y62)+SUMIFS(Dati!$J$2:$J$451,Dati!$H$2:$H$451,$H62,Dati!$A$2:$A$451,$Y62),"-")</f>
        <v/>
      </c>
      <c r="AX62" s="22">
        <f>IF(AND($H62&lt;&gt;"",$Z62&lt;&gt;"",$H62&lt;&gt;$Z62,IFERROR(VLOOKUP($H62,areaCercaPuntiClassificaSquadra,3,FALSE),-1)=IFERROR(VLOOKUP($Z62,areaCercaPuntiClassificaSquadra,3,FALSE),-2)),SUMIFS(Dati!$D$2:$D$451,Dati!$A$2:$A$451,$H62,Dati!$H$2:$H$451,$Z62)+SUMIFS(Dati!$K$2:$K$451,Dati!$H$2:$H$451,$H62,Dati!$A$2:$A$451,$Z62)+SUMIFS(Dati!$C$2:$C$451,Dati!$A$2:$A$451,$H62,Dati!$H$2:$H$451,$Z62)+SUMIFS(Dati!$J$2:$J$451,Dati!$H$2:$H$451,$H62,Dati!$A$2:$A$451,$Z62),"-")</f>
        <v/>
      </c>
      <c r="AY62" s="22">
        <f>IF(AND($H62&lt;&gt;"",$AA62&lt;&gt;"",$H62&lt;&gt;$AA62,IFERROR(VLOOKUP($H62,areaCercaPuntiClassificaSquadra,3,FALSE),-1)=IFERROR(VLOOKUP($AA62,areaCercaPuntiClassificaSquadra,3,FALSE),-2)),SUMIFS(Dati!$D$2:$D$451,Dati!$A$2:$A$451,$H62,Dati!$H$2:$H$451,$AA62)+SUMIFS(Dati!$K$2:$K$451,Dati!$H$2:$H$451,$H62,Dati!$A$2:$A$451,$AA62)+SUMIFS(Dati!$C$2:$C$451,Dati!$A$2:$A$451,$H62,Dati!$H$2:$H$451,$AA62)+SUMIFS(Dati!$J$2:$J$451,Dati!$H$2:$H$451,$H62,Dati!$A$2:$A$451,$AA62),"-")</f>
        <v/>
      </c>
      <c r="AZ62" s="22">
        <f>IF(AND($H62&lt;&gt;"",$AB62&lt;&gt;"",$H62&lt;&gt;$AB62,IFERROR(VLOOKUP($H62,areaCercaPuntiClassificaSquadra,3,FALSE),-1)=IFERROR(VLOOKUP($AB62,areaCercaPuntiClassificaSquadra,3,FALSE),-2)),SUMIFS(Dati!$D$2:$D$451,Dati!$A$2:$A$451,$H62,Dati!$H$2:$H$451,$AB62)+SUMIFS(Dati!$K$2:$K$451,Dati!$H$2:$H$451,$H62,Dati!$A$2:$A$451,$AB62)+SUMIFS(Dati!$C$2:$C$451,Dati!$A$2:$A$451,$H62,Dati!$H$2:$H$451,$AB62)+SUMIFS(Dati!$J$2:$J$451,Dati!$H$2:$H$451,$H62,Dati!$A$2:$A$451,$AB62),"-")</f>
        <v/>
      </c>
      <c r="BA62" s="22">
        <f>IF(AND($H62&lt;&gt;"",$AC62&lt;&gt;"",$H62&lt;&gt;$AC62,IFERROR(VLOOKUP($H62,areaCercaPuntiClassificaSquadra,3,FALSE),-1)=IFERROR(VLOOKUP($AC62,areaCercaPuntiClassificaSquadra,3,FALSE),-2)),SUMIFS(Dati!$D$2:$D$451,Dati!$A$2:$A$451,$H62,Dati!$H$2:$H$451,$AC62)+SUMIFS(Dati!$K$2:$K$451,Dati!$H$2:$H$451,$H62,Dati!$A$2:$A$451,$AC62)+SUMIFS(Dati!$C$2:$C$451,Dati!$A$2:$A$451,$H62,Dati!$H$2:$H$451,$AC62)+SUMIFS(Dati!$J$2:$J$451,Dati!$H$2:$H$451,$H62,Dati!$A$2:$A$451,$AC62),"-")</f>
        <v/>
      </c>
      <c r="BB62" s="22">
        <f>IF(AND($H62&lt;&gt;"",$AD62&lt;&gt;"",$H62&lt;&gt;$AD62,IFERROR(VLOOKUP($H62,areaCercaPuntiClassificaSquadra,3,FALSE),-1)=IFERROR(VLOOKUP($AD62,areaCercaPuntiClassificaSquadra,3,FALSE),-2)),SUMIFS(Dati!$D$2:$D$451,Dati!$A$2:$A$451,$H62,Dati!$H$2:$H$451,$AD62)+SUMIFS(Dati!$K$2:$K$451,Dati!$H$2:$H$451,$H62,Dati!$A$2:$A$451,$AD62)+SUMIFS(Dati!$C$2:$C$451,Dati!$A$2:$A$451,$H62,Dati!$H$2:$H$451,$AD62)+SUMIFS(Dati!$J$2:$J$451,Dati!$H$2:$H$451,$H62,Dati!$A$2:$A$451,$AD62),"-")</f>
        <v/>
      </c>
      <c r="BC62" s="22">
        <f>IF(AND($H62&lt;&gt;"",$AE62&lt;&gt;"",$H62&lt;&gt;$AE62,IFERROR(VLOOKUP($H62,areaCercaPuntiClassificaSquadra,3,FALSE),-1)=IFERROR(VLOOKUP($AE62,areaCercaPuntiClassificaSquadra,3,FALSE),-2)),SUMIFS(Dati!$D$2:$D$451,Dati!$A$2:$A$451,$H62,Dati!$H$2:$H$451,$AE62)+SUMIFS(Dati!$K$2:$K$451,Dati!$H$2:$H$451,$H62,Dati!$A$2:$A$451,$AE62)+SUMIFS(Dati!$C$2:$C$451,Dati!$A$2:$A$451,$H62,Dati!$H$2:$H$451,$AE62)+SUMIFS(Dati!$J$2:$J$451,Dati!$H$2:$H$451,$H62,Dati!$A$2:$A$451,$AE62),"-")</f>
        <v/>
      </c>
      <c r="BD62" s="22">
        <f>IF(AND($H62&lt;&gt;"",$AF62&lt;&gt;"",$H62&lt;&gt;$AF62,IFERROR(VLOOKUP($H62,areaCercaPuntiClassificaSquadra,3,FALSE),-1)=IFERROR(VLOOKUP($AF62,areaCercaPuntiClassificaSquadra,3,FALSE),-2)),SUMIFS(Dati!$D$2:$D$451,Dati!$A$2:$A$451,$H62,Dati!$H$2:$H$451,$AF62)+SUMIFS(Dati!$K$2:$K$451,Dati!$H$2:$H$451,$H62,Dati!$A$2:$A$451,$AF62)+SUMIFS(Dati!$C$2:$C$451,Dati!$A$2:$A$451,$H62,Dati!$H$2:$H$451,$AF62)+SUMIFS(Dati!$J$2:$J$451,Dati!$H$2:$H$451,$H62,Dati!$A$2:$A$451,$AF62),"-")</f>
        <v/>
      </c>
      <c r="BE62" s="22">
        <f>IF(AND($H62&lt;&gt;"",$AG62&lt;&gt;"",$H62&lt;&gt;$AG62,IFERROR(VLOOKUP($H62,areaCercaPuntiClassificaSquadra,3,FALSE),-1)=IFERROR(VLOOKUP($AG62,areaCercaPuntiClassificaSquadra,3,FALSE),-2)),SUMIFS(Dati!$D$2:$D$451,Dati!$A$2:$A$451,$H62,Dati!$H$2:$H$451,$AG62)+SUMIFS(Dati!$K$2:$K$451,Dati!$H$2:$H$451,$H62,Dati!$A$2:$A$451,$AG62)+SUMIFS(Dati!$C$2:$C$451,Dati!$A$2:$A$451,$H62,Dati!$H$2:$H$451,$AG62)+SUMIFS(Dati!$J$2:$J$451,Dati!$H$2:$H$451,$H62,Dati!$A$2:$A$451,$AG62),"-")</f>
        <v/>
      </c>
      <c r="BF62" s="22">
        <f>IF(AND($H62&lt;&gt;"",$AH62&lt;&gt;"",$H62&lt;&gt;$AH62,IFERROR(VLOOKUP($H62,areaCercaPuntiClassificaSquadra,3,FALSE),-1)=IFERROR(VLOOKUP($AH62,areaCercaPuntiClassificaSquadra,3,FALSE),-2)),SUMIFS(Dati!$D$2:$D$451,Dati!$A$2:$A$451,$H62,Dati!$H$2:$H$451,$AH62)+SUMIFS(Dati!$K$2:$K$451,Dati!$H$2:$H$451,$H62,Dati!$A$2:$A$451,$AH62)+SUMIFS(Dati!$C$2:$C$451,Dati!$A$2:$A$451,$H62,Dati!$H$2:$H$451,$AH62)+SUMIFS(Dati!$J$2:$J$451,Dati!$H$2:$H$451,$H62,Dati!$A$2:$A$451,$AH62),"-")</f>
        <v/>
      </c>
      <c r="BH62" s="21">
        <f>$C62</f>
        <v/>
      </c>
      <c r="BI62" s="22">
        <f>IF(AND($H62&lt;&gt;"",$Y62&lt;&gt;"",$H62&lt;&gt;$Y62,IFERROR(VLOOKUP($H62,areaCercaPuntiClassificaSquadra,3,FALSE),-1)=IFERROR(VLOOKUP($Y62,areaCercaPuntiClassificaSquadra,3,FALSE),-2)),SUMIFS(Dati!$E$2:$E$451,Dati!$A$2:$A$451,$H62,Dati!$H$2:$H$451,$Y62)+SUMIFS(Dati!$L$2:$L$451,Dati!$H$2:$H$451,$H62,Dati!$A$2:$A$451,$Y62),"-")</f>
        <v/>
      </c>
      <c r="BJ62" s="22">
        <f>IF(AND($H62&lt;&gt;"",$Z62&lt;&gt;"",$H62&lt;&gt;$Z62,IFERROR(VLOOKUP($H62,areaCercaPuntiClassificaSquadra,3,FALSE),-1)=IFERROR(VLOOKUP($Z62,areaCercaPuntiClassificaSquadra,3,FALSE),-2)),SUMIFS(Dati!$E$2:$E$451,Dati!$A$2:$A$451,$H62,Dati!$H$2:$H$451,$Z62)+SUMIFS(Dati!$L$2:$L$451,Dati!$H$2:$H$451,$H62,Dati!$A$2:$A$451,$Z62),"-")</f>
        <v/>
      </c>
      <c r="BK62" s="22">
        <f>IF(AND($H62&lt;&gt;"",$AA62&lt;&gt;"",$H62&lt;&gt;$AA62,IFERROR(VLOOKUP($H62,areaCercaPuntiClassificaSquadra,3,FALSE),-1)=IFERROR(VLOOKUP($AA62,areaCercaPuntiClassificaSquadra,3,FALSE),-2)),SUMIFS(Dati!$E$2:$E$451,Dati!$A$2:$A$451,$H62,Dati!$H$2:$H$451,$AA62)+SUMIFS(Dati!$L$2:$L$451,Dati!$H$2:$H$451,$H62,Dati!$A$2:$A$451,$AA62),"-")</f>
        <v/>
      </c>
      <c r="BL62" s="22">
        <f>IF(AND($H62&lt;&gt;"",$AB62&lt;&gt;"",$H62&lt;&gt;$AB62,IFERROR(VLOOKUP($H62,areaCercaPuntiClassificaSquadra,3,FALSE),-1)=IFERROR(VLOOKUP($AB62,areaCercaPuntiClassificaSquadra,3,FALSE),-2)),SUMIFS(Dati!$E$2:$E$451,Dati!$A$2:$A$451,$H62,Dati!$H$2:$H$451,$AB62)+SUMIFS(Dati!$L$2:$L$451,Dati!$H$2:$H$451,$H62,Dati!$A$2:$A$451,$AB62),"-")</f>
        <v/>
      </c>
      <c r="BM62" s="22">
        <f>IF(AND($H62&lt;&gt;"",$AC62&lt;&gt;"",$H62&lt;&gt;$AC62,IFERROR(VLOOKUP($H62,areaCercaPuntiClassificaSquadra,3,FALSE),-1)=IFERROR(VLOOKUP($AC62,areaCercaPuntiClassificaSquadra,3,FALSE),-2)),SUMIFS(Dati!$E$2:$E$451,Dati!$A$2:$A$451,$H62,Dati!$H$2:$H$451,$AC62)+SUMIFS(Dati!$L$2:$L$451,Dati!$H$2:$H$451,$H62,Dati!$A$2:$A$451,$AC62),"-")</f>
        <v/>
      </c>
      <c r="BN62" s="22">
        <f>IF(AND($H62&lt;&gt;"",$AD62&lt;&gt;"",$H62&lt;&gt;$AD62,IFERROR(VLOOKUP($H62,areaCercaPuntiClassificaSquadra,3,FALSE),-1)=IFERROR(VLOOKUP($AD62,areaCercaPuntiClassificaSquadra,3,FALSE),-2)),SUMIFS(Dati!$E$2:$E$451,Dati!$A$2:$A$451,$H62,Dati!$H$2:$H$451,$AD62)+SUMIFS(Dati!$L$2:$L$451,Dati!$H$2:$H$451,$H62,Dati!$A$2:$A$451,$AD62),"-")</f>
        <v/>
      </c>
      <c r="BO62" s="22">
        <f>IF(AND($H62&lt;&gt;"",$AE62&lt;&gt;"",$H62&lt;&gt;$AE62,IFERROR(VLOOKUP($H62,areaCercaPuntiClassificaSquadra,3,FALSE),-1)=IFERROR(VLOOKUP($AE62,areaCercaPuntiClassificaSquadra,3,FALSE),-2)),SUMIFS(Dati!$E$2:$E$451,Dati!$A$2:$A$451,$H62,Dati!$H$2:$H$451,$AE62)+SUMIFS(Dati!$L$2:$L$451,Dati!$H$2:$H$451,$H62,Dati!$A$2:$A$451,$AE62),"-")</f>
        <v/>
      </c>
      <c r="BP62" s="22">
        <f>IF(AND($H62&lt;&gt;"",$AF62&lt;&gt;"",$H62&lt;&gt;$AF62,IFERROR(VLOOKUP($H62,areaCercaPuntiClassificaSquadra,3,FALSE),-1)=IFERROR(VLOOKUP($AF62,areaCercaPuntiClassificaSquadra,3,FALSE),-2)),SUMIFS(Dati!$E$2:$E$451,Dati!$A$2:$A$451,$H62,Dati!$H$2:$H$451,$AF62)+SUMIFS(Dati!$L$2:$L$451,Dati!$H$2:$H$451,$H62,Dati!$A$2:$A$451,$AF62),"-")</f>
        <v/>
      </c>
      <c r="BQ62" s="22">
        <f>IF(AND($H62&lt;&gt;"",$AG62&lt;&gt;"",$H62&lt;&gt;$AG62,IFERROR(VLOOKUP($H62,areaCercaPuntiClassificaSquadra,3,FALSE),-1)=IFERROR(VLOOKUP($AG62,areaCercaPuntiClassificaSquadra,3,FALSE),-2)),SUMIFS(Dati!$E$2:$E$451,Dati!$A$2:$A$451,$H62,Dati!$H$2:$H$451,$AG62)+SUMIFS(Dati!$L$2:$L$451,Dati!$H$2:$H$451,$H62,Dati!$A$2:$A$451,$AG62),"-")</f>
        <v/>
      </c>
      <c r="BR62" s="22">
        <f>IF(AND($H62&lt;&gt;"",$AH62&lt;&gt;"",$H62&lt;&gt;$AH62,IFERROR(VLOOKUP($H62,areaCercaPuntiClassificaSquadra,3,FALSE),-1)=IFERROR(VLOOKUP($AH62,areaCercaPuntiClassificaSquadra,3,FALSE),-2)),SUMIFS(Dati!$E$2:$E$451,Dati!$A$2:$A$451,$H62,Dati!$H$2:$H$451,$AH62)+SUMIFS(Dati!$L$2:$L$451,Dati!$H$2:$H$451,$H62,Dati!$A$2:$A$451,$AH62),"-")</f>
        <v/>
      </c>
      <c r="BT62" s="21">
        <f>$C62</f>
        <v/>
      </c>
      <c r="BU62" s="22">
        <f>IF(AND($H62&lt;&gt;"",$Y62&lt;&gt;"",$H62&lt;&gt;$Y62,IFERROR(VLOOKUP($H62,areaCercaPuntiClassificaSquadra,3,FALSE),-1)=IFERROR(VLOOKUP($Y62,areaCercaPuntiClassificaSquadra,3,FALSE),-2)),SUMIFS(Dati!$F$2:$F$451,Dati!$A$2:$A$451,$H62,Dati!$H$2:$H$451,$Y62)+SUMIFS(Dati!$M$2:$M$451,Dati!$H$2:$H$451,$H62,Dati!$A$2:$A$451,$Y62),"-")</f>
        <v/>
      </c>
      <c r="BV62" s="22">
        <f>IF(AND($H62&lt;&gt;"",$Z62&lt;&gt;"",$H62&lt;&gt;$Z62,IFERROR(VLOOKUP($H62,areaCercaPuntiClassificaSquadra,3,FALSE),-1)=IFERROR(VLOOKUP($Z62,areaCercaPuntiClassificaSquadra,3,FALSE),-2)),SUMIFS(Dati!$F$2:$F$451,Dati!$A$2:$A$451,$H62,Dati!$H$2:$H$451,$Z62)+SUMIFS(Dati!$M$2:$M$451,Dati!$H$2:$H$451,$H62,Dati!$A$2:$A$451,$Z62),"-")</f>
        <v/>
      </c>
      <c r="BW62" s="22">
        <f>IF(AND($H62&lt;&gt;"",$AA62&lt;&gt;"",$H62&lt;&gt;$AA62,IFERROR(VLOOKUP($H62,areaCercaPuntiClassificaSquadra,3,FALSE),-1)=IFERROR(VLOOKUP($AA62,areaCercaPuntiClassificaSquadra,3,FALSE),-2)),SUMIFS(Dati!$F$2:$F$451,Dati!$A$2:$A$451,$H62,Dati!$H$2:$H$451,$AA62)+SUMIFS(Dati!$M$2:$M$451,Dati!$H$2:$H$451,$H62,Dati!$A$2:$A$451,$AA62),"-")</f>
        <v/>
      </c>
      <c r="BX62" s="22">
        <f>IF(AND($H62&lt;&gt;"",$AB62&lt;&gt;"",$H62&lt;&gt;$AB62,IFERROR(VLOOKUP($H62,areaCercaPuntiClassificaSquadra,3,FALSE),-1)=IFERROR(VLOOKUP($AB62,areaCercaPuntiClassificaSquadra,3,FALSE),-2)),SUMIFS(Dati!$F$2:$F$451,Dati!$A$2:$A$451,$H62,Dati!$H$2:$H$451,$AB62)+SUMIFS(Dati!$M$2:$M$451,Dati!$H$2:$H$451,$H62,Dati!$A$2:$A$451,$AB62),"-")</f>
        <v/>
      </c>
      <c r="BY62" s="22">
        <f>IF(AND($H62&lt;&gt;"",$AC62&lt;&gt;"",$H62&lt;&gt;$AC62,IFERROR(VLOOKUP($H62,areaCercaPuntiClassificaSquadra,3,FALSE),-1)=IFERROR(VLOOKUP($AC62,areaCercaPuntiClassificaSquadra,3,FALSE),-2)),SUMIFS(Dati!$F$2:$F$451,Dati!$A$2:$A$451,$H62,Dati!$H$2:$H$451,$AC62)+SUMIFS(Dati!$M$2:$M$451,Dati!$H$2:$H$451,$H62,Dati!$A$2:$A$451,$AC62),"-")</f>
        <v/>
      </c>
      <c r="BZ62" s="22">
        <f>IF(AND($H62&lt;&gt;"",$AD62&lt;&gt;"",$H62&lt;&gt;$AD62,IFERROR(VLOOKUP($H62,areaCercaPuntiClassificaSquadra,3,FALSE),-1)=IFERROR(VLOOKUP($AD62,areaCercaPuntiClassificaSquadra,3,FALSE),-2)),SUMIFS(Dati!$F$2:$F$451,Dati!$A$2:$A$451,$H62,Dati!$H$2:$H$451,$AD62)+SUMIFS(Dati!$M$2:$M$451,Dati!$H$2:$H$451,$H62,Dati!$A$2:$A$451,$AD62),"-")</f>
        <v/>
      </c>
      <c r="CA62" s="22">
        <f>IF(AND($H62&lt;&gt;"",$AE62&lt;&gt;"",$H62&lt;&gt;$AE62,IFERROR(VLOOKUP($H62,areaCercaPuntiClassificaSquadra,3,FALSE),-1)=IFERROR(VLOOKUP($AE62,areaCercaPuntiClassificaSquadra,3,FALSE),-2)),SUMIFS(Dati!$F$2:$F$451,Dati!$A$2:$A$451,$H62,Dati!$H$2:$H$451,$AE62)+SUMIFS(Dati!$M$2:$M$451,Dati!$H$2:$H$451,$H62,Dati!$A$2:$A$451,$AE62),"-")</f>
        <v/>
      </c>
      <c r="CB62" s="22">
        <f>IF(AND($H62&lt;&gt;"",$AF62&lt;&gt;"",$H62&lt;&gt;$AF62,IFERROR(VLOOKUP($H62,areaCercaPuntiClassificaSquadra,3,FALSE),-1)=IFERROR(VLOOKUP($AF62,areaCercaPuntiClassificaSquadra,3,FALSE),-2)),SUMIFS(Dati!$F$2:$F$451,Dati!$A$2:$A$451,$H62,Dati!$H$2:$H$451,$AF62)+SUMIFS(Dati!$M$2:$M$451,Dati!$H$2:$H$451,$H62,Dati!$A$2:$A$451,$AF62),"-")</f>
        <v/>
      </c>
      <c r="CC62" s="22">
        <f>IF(AND($H62&lt;&gt;"",$AG62&lt;&gt;"",$H62&lt;&gt;$AG62,IFERROR(VLOOKUP($H62,areaCercaPuntiClassificaSquadra,3,FALSE),-1)=IFERROR(VLOOKUP($AG62,areaCercaPuntiClassificaSquadra,3,FALSE),-2)),SUMIFS(Dati!$F$2:$F$451,Dati!$A$2:$A$451,$H62,Dati!$H$2:$H$451,$AG62)+SUMIFS(Dati!$M$2:$M$451,Dati!$H$2:$H$451,$H62,Dati!$A$2:$A$451,$AG62),"-")</f>
        <v/>
      </c>
      <c r="CD62" s="22">
        <f>IF(AND($H62&lt;&gt;"",$AH62&lt;&gt;"",$H62&lt;&gt;$AH62,IFERROR(VLOOKUP($H62,areaCercaPuntiClassificaSquadra,3,FALSE),-1)=IFERROR(VLOOKUP($AH62,areaCercaPuntiClassificaSquadra,3,FALSE),-2)),SUMIFS(Dati!$F$2:$F$451,Dati!$A$2:$A$451,$H62,Dati!$H$2:$H$451,$AH62)+SUMIFS(Dati!$M$2:$M$451,Dati!$H$2:$H$451,$H62,Dati!$A$2:$A$451,$AH62),"-")</f>
        <v/>
      </c>
      <c r="CF62" s="22">
        <f>IF($C62="","",SUM(AK62:AT62))</f>
        <v/>
      </c>
    </row>
    <row r="63">
      <c r="B63" s="12" t="inlineStr">
        <is>
          <t>E10</t>
        </is>
      </c>
      <c r="C63" s="13" t="n"/>
      <c r="D63" s="14" t="n"/>
      <c r="E63" s="29" t="inlineStr">
        <is>
          <t>E</t>
        </is>
      </c>
      <c r="G63" s="30">
        <f>IF($C63="","",$E63&amp;(COUNTIFS(I$14:I$113,"&gt;"&amp;I63,E$14:E$113,"="&amp;E63,C$14:C$113,"&lt;&gt;")+COUNTIFS(I$14:I$113,"="&amp;I63,H$14:H$113,"&lt;="&amp;H63,E$14:E$113,"="&amp;E63,C$14:C$113,"&lt;&gt;")))</f>
        <v/>
      </c>
      <c r="H63" s="17">
        <f>IF($C63="","",IFERROR(LEFT($C63,FIND("-",$C63)-1),$C63))</f>
        <v/>
      </c>
      <c r="I63" s="12">
        <f>TEXT(1000000000+J63,"|0000000000|")&amp;TEXT(SUM(AK63:AT63),"0000000000|")&amp;IF(SUM(BU63:CD63)=0,"0000000000|",TEXT(ROUND(SUM(BI63:BR63)/SUM(BU63:CD63),4)*100000,"0000000000|"))&amp;IF(P63=0,"0000000000|",TEXT(ROUND(O63/P63,4)*100000,"0000000000|"))</f>
        <v/>
      </c>
      <c r="J63" s="30">
        <f>L63*constPuntiVittoria+M63*constPuntiSconfitta+N63*constPuntiForfait+IF(D63="",0,D63)</f>
        <v/>
      </c>
      <c r="K63" s="12">
        <f>SUM(L63:N63)</f>
        <v/>
      </c>
      <c r="L63" s="12">
        <f>IF($H63="",0,SUMIF(Dati!$A$2:$A$451,$H63,Dati!$B$2:$B$451)+SUMIF(Dati!$H$2:$H$451,$H63,Dati!$I$2:$I$451))</f>
        <v/>
      </c>
      <c r="M63" s="12">
        <f>IF($H63="",0,SUMIF(Dati!$A$2:$A$451,$H63,Dati!$D$2:$D$451)+SUMIF(Dati!$H$2:$H$451,$H63,Dati!$K$2:$K$451))</f>
        <v/>
      </c>
      <c r="N63" s="12">
        <f>IF($H63="",0,SUMIF(Dati!$A$2:$A$451,$H63,Dati!$C$2:$C$451)+SUMIF(Dati!$H$2:$H$451,$H63,Dati!$J$2:$J$451))</f>
        <v/>
      </c>
      <c r="O63" s="12">
        <f>IF($H63="",0,SUMIF(Dati!$A$2:$A$451,$H63,Dati!$E$2:$E$451)+SUMIF(Dati!$H$2:$H$451,$H63,Dati!$L$2:$L$451))</f>
        <v/>
      </c>
      <c r="P63" s="12">
        <f>IF($H63="",0,SUMIF(Dati!$A$2:$A$451,$H63,Dati!$F$2:$F$451)+SUMIF(Dati!$H$2:$H$451,$H63,Dati!$M$2:$M$451))</f>
        <v/>
      </c>
      <c r="Q63" s="12">
        <f>IF($H63="",0,SUMIF(Dati!$A$2:$A$451,$H63,Dati!$G$2:$G$451)+SUMIF(Dati!$H$2:$H$451,$H63,Dati!$N$2:$N$451))</f>
        <v/>
      </c>
      <c r="R63" s="12">
        <f>IF(K63=0,0,ROUND(O63/K63,2))</f>
        <v/>
      </c>
      <c r="S63" s="12">
        <f>IF(K63=0,0,ROUND(P63/K63,2))</f>
        <v/>
      </c>
      <c r="T63" s="12">
        <f>IF(K63=0,0,ROUND(Q63/K63,2))</f>
        <v/>
      </c>
      <c r="U63" s="12">
        <f>IF(COUNTIFS($E$14:$E$113,$E63,$J$14:$J$113,$J63,$C$14:$C$113,"&lt;&gt;")&lt;=1,"-",SUM(AK63:AT63)&amp;"-"&amp;SUM(AW63:BF63))</f>
        <v/>
      </c>
      <c r="V63" s="18">
        <f>IF(COUNTIFS($E$14:$E$113,$E63,$J$14:$J$113,$J63,$C$14:$C$113,"&lt;&gt;",$CF$14:$CF$113,$CF63)&lt;=1,"-",IF(SUM(BU63:CD63)=0,0,ROUND(SUM(BI63:BR63)/SUM(BU63:CD63),3)))</f>
        <v/>
      </c>
      <c r="W63" s="18">
        <f>IF(COUNTIFS($E$14:$E$113,$E63,$J$14:$J$113,$J63,$C$14:$C$113,"&lt;&gt;",$CF$14:$CF$113,$CF63,$V$14:$V$113,$V63)&lt;=1,"-",IF(P63=0,0,ROUND(O63/P63,3)))</f>
        <v/>
      </c>
      <c r="X63" s="19">
        <f>IF($C63="","",$E63&amp;"#"&amp;COUNTIFS($E$14:$E63,$E63,$C$14:$C63,"&lt;&gt;"))</f>
        <v/>
      </c>
      <c r="Y63" s="20">
        <f>IFERROR(INDEX($H$14:$H$113,MATCH($E63&amp;"#1",$X$14:$X$113,0)),"")</f>
        <v/>
      </c>
      <c r="Z63" s="20">
        <f>IFERROR(INDEX($H$14:$H$113,MATCH($E63&amp;"#2",$X$14:$X$113,0)),"")</f>
        <v/>
      </c>
      <c r="AA63" s="20">
        <f>IFERROR(INDEX($H$14:$H$113,MATCH($E63&amp;"#3",$X$14:$X$113,0)),"")</f>
        <v/>
      </c>
      <c r="AB63" s="20">
        <f>IFERROR(INDEX($H$14:$H$113,MATCH($E63&amp;"#4",$X$14:$X$113,0)),"")</f>
        <v/>
      </c>
      <c r="AC63" s="20">
        <f>IFERROR(INDEX($H$14:$H$113,MATCH($E63&amp;"#5",$X$14:$X$113,0)),"")</f>
        <v/>
      </c>
      <c r="AD63" s="20">
        <f>IFERROR(INDEX($H$14:$H$113,MATCH($E63&amp;"#6",$X$14:$X$113,0)),"")</f>
        <v/>
      </c>
      <c r="AE63" s="20">
        <f>IFERROR(INDEX($H$14:$H$113,MATCH($E63&amp;"#7",$X$14:$X$113,0)),"")</f>
        <v/>
      </c>
      <c r="AF63" s="20">
        <f>IFERROR(INDEX($H$14:$H$113,MATCH($E63&amp;"#8",$X$14:$X$113,0)),"")</f>
        <v/>
      </c>
      <c r="AG63" s="20">
        <f>IFERROR(INDEX($H$14:$H$113,MATCH($E63&amp;"#9",$X$14:$X$113,0)),"")</f>
        <v/>
      </c>
      <c r="AH63" s="20">
        <f>IFERROR(INDEX($H$14:$H$113,MATCH($E63&amp;"#10",$X$14:$X$113,0)),"")</f>
        <v/>
      </c>
      <c r="AJ63" s="21">
        <f>$C63</f>
        <v/>
      </c>
      <c r="AK63" s="22">
        <f>IF(AND($H63&lt;&gt;"",$Y63&lt;&gt;"",$H63&lt;&gt;$Y63,IFERROR(VLOOKUP($H63,areaCercaPuntiClassificaSquadra,3,FALSE),-1)=IFERROR(VLOOKUP($Y63,areaCercaPuntiClassificaSquadra,3,FALSE),-2)),SUMIFS(Dati!$B$2:$B$451,Dati!$A$2:$A$451,$H63,Dati!$H$2:$H$451,$Y63)+SUMIFS(Dati!$I$2:$I$451,Dati!$H$2:$H$451,$H63,Dati!$A$2:$A$451,$Y63),"-")</f>
        <v/>
      </c>
      <c r="AL63" s="22">
        <f>IF(AND($H63&lt;&gt;"",$Z63&lt;&gt;"",$H63&lt;&gt;$Z63,IFERROR(VLOOKUP($H63,areaCercaPuntiClassificaSquadra,3,FALSE),-1)=IFERROR(VLOOKUP($Z63,areaCercaPuntiClassificaSquadra,3,FALSE),-2)),SUMIFS(Dati!$B$2:$B$451,Dati!$A$2:$A$451,$H63,Dati!$H$2:$H$451,$Z63)+SUMIFS(Dati!$I$2:$I$451,Dati!$H$2:$H$451,$H63,Dati!$A$2:$A$451,$Z63),"-")</f>
        <v/>
      </c>
      <c r="AM63" s="22">
        <f>IF(AND($H63&lt;&gt;"",$AA63&lt;&gt;"",$H63&lt;&gt;$AA63,IFERROR(VLOOKUP($H63,areaCercaPuntiClassificaSquadra,3,FALSE),-1)=IFERROR(VLOOKUP($AA63,areaCercaPuntiClassificaSquadra,3,FALSE),-2)),SUMIFS(Dati!$B$2:$B$451,Dati!$A$2:$A$451,$H63,Dati!$H$2:$H$451,$AA63)+SUMIFS(Dati!$I$2:$I$451,Dati!$H$2:$H$451,$H63,Dati!$A$2:$A$451,$AA63),"-")</f>
        <v/>
      </c>
      <c r="AN63" s="22">
        <f>IF(AND($H63&lt;&gt;"",$AB63&lt;&gt;"",$H63&lt;&gt;$AB63,IFERROR(VLOOKUP($H63,areaCercaPuntiClassificaSquadra,3,FALSE),-1)=IFERROR(VLOOKUP($AB63,areaCercaPuntiClassificaSquadra,3,FALSE),-2)),SUMIFS(Dati!$B$2:$B$451,Dati!$A$2:$A$451,$H63,Dati!$H$2:$H$451,$AB63)+SUMIFS(Dati!$I$2:$I$451,Dati!$H$2:$H$451,$H63,Dati!$A$2:$A$451,$AB63),"-")</f>
        <v/>
      </c>
      <c r="AO63" s="22">
        <f>IF(AND($H63&lt;&gt;"",$AC63&lt;&gt;"",$H63&lt;&gt;$AC63,IFERROR(VLOOKUP($H63,areaCercaPuntiClassificaSquadra,3,FALSE),-1)=IFERROR(VLOOKUP($AC63,areaCercaPuntiClassificaSquadra,3,FALSE),-2)),SUMIFS(Dati!$B$2:$B$451,Dati!$A$2:$A$451,$H63,Dati!$H$2:$H$451,$AC63)+SUMIFS(Dati!$I$2:$I$451,Dati!$H$2:$H$451,$H63,Dati!$A$2:$A$451,$AC63),"-")</f>
        <v/>
      </c>
      <c r="AP63" s="22">
        <f>IF(AND($H63&lt;&gt;"",$AD63&lt;&gt;"",$H63&lt;&gt;$AD63,IFERROR(VLOOKUP($H63,areaCercaPuntiClassificaSquadra,3,FALSE),-1)=IFERROR(VLOOKUP($AD63,areaCercaPuntiClassificaSquadra,3,FALSE),-2)),SUMIFS(Dati!$B$2:$B$451,Dati!$A$2:$A$451,$H63,Dati!$H$2:$H$451,$AD63)+SUMIFS(Dati!$I$2:$I$451,Dati!$H$2:$H$451,$H63,Dati!$A$2:$A$451,$AD63),"-")</f>
        <v/>
      </c>
      <c r="AQ63" s="22">
        <f>IF(AND($H63&lt;&gt;"",$AE63&lt;&gt;"",$H63&lt;&gt;$AE63,IFERROR(VLOOKUP($H63,areaCercaPuntiClassificaSquadra,3,FALSE),-1)=IFERROR(VLOOKUP($AE63,areaCercaPuntiClassificaSquadra,3,FALSE),-2)),SUMIFS(Dati!$B$2:$B$451,Dati!$A$2:$A$451,$H63,Dati!$H$2:$H$451,$AE63)+SUMIFS(Dati!$I$2:$I$451,Dati!$H$2:$H$451,$H63,Dati!$A$2:$A$451,$AE63),"-")</f>
        <v/>
      </c>
      <c r="AR63" s="22">
        <f>IF(AND($H63&lt;&gt;"",$AF63&lt;&gt;"",$H63&lt;&gt;$AF63,IFERROR(VLOOKUP($H63,areaCercaPuntiClassificaSquadra,3,FALSE),-1)=IFERROR(VLOOKUP($AF63,areaCercaPuntiClassificaSquadra,3,FALSE),-2)),SUMIFS(Dati!$B$2:$B$451,Dati!$A$2:$A$451,$H63,Dati!$H$2:$H$451,$AF63)+SUMIFS(Dati!$I$2:$I$451,Dati!$H$2:$H$451,$H63,Dati!$A$2:$A$451,$AF63),"-")</f>
        <v/>
      </c>
      <c r="AS63" s="22">
        <f>IF(AND($H63&lt;&gt;"",$AG63&lt;&gt;"",$H63&lt;&gt;$AG63,IFERROR(VLOOKUP($H63,areaCercaPuntiClassificaSquadra,3,FALSE),-1)=IFERROR(VLOOKUP($AG63,areaCercaPuntiClassificaSquadra,3,FALSE),-2)),SUMIFS(Dati!$B$2:$B$451,Dati!$A$2:$A$451,$H63,Dati!$H$2:$H$451,$AG63)+SUMIFS(Dati!$I$2:$I$451,Dati!$H$2:$H$451,$H63,Dati!$A$2:$A$451,$AG63),"-")</f>
        <v/>
      </c>
      <c r="AT63" s="22">
        <f>IF(AND($H63&lt;&gt;"",$AH63&lt;&gt;"",$H63&lt;&gt;$AH63,IFERROR(VLOOKUP($H63,areaCercaPuntiClassificaSquadra,3,FALSE),-1)=IFERROR(VLOOKUP($AH63,areaCercaPuntiClassificaSquadra,3,FALSE),-2)),SUMIFS(Dati!$B$2:$B$451,Dati!$A$2:$A$451,$H63,Dati!$H$2:$H$451,$AH63)+SUMIFS(Dati!$I$2:$I$451,Dati!$H$2:$H$451,$H63,Dati!$A$2:$A$451,$AH63),"-")</f>
        <v/>
      </c>
      <c r="AV63" s="21">
        <f>$C63</f>
        <v/>
      </c>
      <c r="AW63" s="22">
        <f>IF(AND($H63&lt;&gt;"",$Y63&lt;&gt;"",$H63&lt;&gt;$Y63,IFERROR(VLOOKUP($H63,areaCercaPuntiClassificaSquadra,3,FALSE),-1)=IFERROR(VLOOKUP($Y63,areaCercaPuntiClassificaSquadra,3,FALSE),-2)),SUMIFS(Dati!$D$2:$D$451,Dati!$A$2:$A$451,$H63,Dati!$H$2:$H$451,$Y63)+SUMIFS(Dati!$K$2:$K$451,Dati!$H$2:$H$451,$H63,Dati!$A$2:$A$451,$Y63)+SUMIFS(Dati!$C$2:$C$451,Dati!$A$2:$A$451,$H63,Dati!$H$2:$H$451,$Y63)+SUMIFS(Dati!$J$2:$J$451,Dati!$H$2:$H$451,$H63,Dati!$A$2:$A$451,$Y63),"-")</f>
        <v/>
      </c>
      <c r="AX63" s="22">
        <f>IF(AND($H63&lt;&gt;"",$Z63&lt;&gt;"",$H63&lt;&gt;$Z63,IFERROR(VLOOKUP($H63,areaCercaPuntiClassificaSquadra,3,FALSE),-1)=IFERROR(VLOOKUP($Z63,areaCercaPuntiClassificaSquadra,3,FALSE),-2)),SUMIFS(Dati!$D$2:$D$451,Dati!$A$2:$A$451,$H63,Dati!$H$2:$H$451,$Z63)+SUMIFS(Dati!$K$2:$K$451,Dati!$H$2:$H$451,$H63,Dati!$A$2:$A$451,$Z63)+SUMIFS(Dati!$C$2:$C$451,Dati!$A$2:$A$451,$H63,Dati!$H$2:$H$451,$Z63)+SUMIFS(Dati!$J$2:$J$451,Dati!$H$2:$H$451,$H63,Dati!$A$2:$A$451,$Z63),"-")</f>
        <v/>
      </c>
      <c r="AY63" s="22">
        <f>IF(AND($H63&lt;&gt;"",$AA63&lt;&gt;"",$H63&lt;&gt;$AA63,IFERROR(VLOOKUP($H63,areaCercaPuntiClassificaSquadra,3,FALSE),-1)=IFERROR(VLOOKUP($AA63,areaCercaPuntiClassificaSquadra,3,FALSE),-2)),SUMIFS(Dati!$D$2:$D$451,Dati!$A$2:$A$451,$H63,Dati!$H$2:$H$451,$AA63)+SUMIFS(Dati!$K$2:$K$451,Dati!$H$2:$H$451,$H63,Dati!$A$2:$A$451,$AA63)+SUMIFS(Dati!$C$2:$C$451,Dati!$A$2:$A$451,$H63,Dati!$H$2:$H$451,$AA63)+SUMIFS(Dati!$J$2:$J$451,Dati!$H$2:$H$451,$H63,Dati!$A$2:$A$451,$AA63),"-")</f>
        <v/>
      </c>
      <c r="AZ63" s="22">
        <f>IF(AND($H63&lt;&gt;"",$AB63&lt;&gt;"",$H63&lt;&gt;$AB63,IFERROR(VLOOKUP($H63,areaCercaPuntiClassificaSquadra,3,FALSE),-1)=IFERROR(VLOOKUP($AB63,areaCercaPuntiClassificaSquadra,3,FALSE),-2)),SUMIFS(Dati!$D$2:$D$451,Dati!$A$2:$A$451,$H63,Dati!$H$2:$H$451,$AB63)+SUMIFS(Dati!$K$2:$K$451,Dati!$H$2:$H$451,$H63,Dati!$A$2:$A$451,$AB63)+SUMIFS(Dati!$C$2:$C$451,Dati!$A$2:$A$451,$H63,Dati!$H$2:$H$451,$AB63)+SUMIFS(Dati!$J$2:$J$451,Dati!$H$2:$H$451,$H63,Dati!$A$2:$A$451,$AB63),"-")</f>
        <v/>
      </c>
      <c r="BA63" s="22">
        <f>IF(AND($H63&lt;&gt;"",$AC63&lt;&gt;"",$H63&lt;&gt;$AC63,IFERROR(VLOOKUP($H63,areaCercaPuntiClassificaSquadra,3,FALSE),-1)=IFERROR(VLOOKUP($AC63,areaCercaPuntiClassificaSquadra,3,FALSE),-2)),SUMIFS(Dati!$D$2:$D$451,Dati!$A$2:$A$451,$H63,Dati!$H$2:$H$451,$AC63)+SUMIFS(Dati!$K$2:$K$451,Dati!$H$2:$H$451,$H63,Dati!$A$2:$A$451,$AC63)+SUMIFS(Dati!$C$2:$C$451,Dati!$A$2:$A$451,$H63,Dati!$H$2:$H$451,$AC63)+SUMIFS(Dati!$J$2:$J$451,Dati!$H$2:$H$451,$H63,Dati!$A$2:$A$451,$AC63),"-")</f>
        <v/>
      </c>
      <c r="BB63" s="22">
        <f>IF(AND($H63&lt;&gt;"",$AD63&lt;&gt;"",$H63&lt;&gt;$AD63,IFERROR(VLOOKUP($H63,areaCercaPuntiClassificaSquadra,3,FALSE),-1)=IFERROR(VLOOKUP($AD63,areaCercaPuntiClassificaSquadra,3,FALSE),-2)),SUMIFS(Dati!$D$2:$D$451,Dati!$A$2:$A$451,$H63,Dati!$H$2:$H$451,$AD63)+SUMIFS(Dati!$K$2:$K$451,Dati!$H$2:$H$451,$H63,Dati!$A$2:$A$451,$AD63)+SUMIFS(Dati!$C$2:$C$451,Dati!$A$2:$A$451,$H63,Dati!$H$2:$H$451,$AD63)+SUMIFS(Dati!$J$2:$J$451,Dati!$H$2:$H$451,$H63,Dati!$A$2:$A$451,$AD63),"-")</f>
        <v/>
      </c>
      <c r="BC63" s="22">
        <f>IF(AND($H63&lt;&gt;"",$AE63&lt;&gt;"",$H63&lt;&gt;$AE63,IFERROR(VLOOKUP($H63,areaCercaPuntiClassificaSquadra,3,FALSE),-1)=IFERROR(VLOOKUP($AE63,areaCercaPuntiClassificaSquadra,3,FALSE),-2)),SUMIFS(Dati!$D$2:$D$451,Dati!$A$2:$A$451,$H63,Dati!$H$2:$H$451,$AE63)+SUMIFS(Dati!$K$2:$K$451,Dati!$H$2:$H$451,$H63,Dati!$A$2:$A$451,$AE63)+SUMIFS(Dati!$C$2:$C$451,Dati!$A$2:$A$451,$H63,Dati!$H$2:$H$451,$AE63)+SUMIFS(Dati!$J$2:$J$451,Dati!$H$2:$H$451,$H63,Dati!$A$2:$A$451,$AE63),"-")</f>
        <v/>
      </c>
      <c r="BD63" s="22">
        <f>IF(AND($H63&lt;&gt;"",$AF63&lt;&gt;"",$H63&lt;&gt;$AF63,IFERROR(VLOOKUP($H63,areaCercaPuntiClassificaSquadra,3,FALSE),-1)=IFERROR(VLOOKUP($AF63,areaCercaPuntiClassificaSquadra,3,FALSE),-2)),SUMIFS(Dati!$D$2:$D$451,Dati!$A$2:$A$451,$H63,Dati!$H$2:$H$451,$AF63)+SUMIFS(Dati!$K$2:$K$451,Dati!$H$2:$H$451,$H63,Dati!$A$2:$A$451,$AF63)+SUMIFS(Dati!$C$2:$C$451,Dati!$A$2:$A$451,$H63,Dati!$H$2:$H$451,$AF63)+SUMIFS(Dati!$J$2:$J$451,Dati!$H$2:$H$451,$H63,Dati!$A$2:$A$451,$AF63),"-")</f>
        <v/>
      </c>
      <c r="BE63" s="22">
        <f>IF(AND($H63&lt;&gt;"",$AG63&lt;&gt;"",$H63&lt;&gt;$AG63,IFERROR(VLOOKUP($H63,areaCercaPuntiClassificaSquadra,3,FALSE),-1)=IFERROR(VLOOKUP($AG63,areaCercaPuntiClassificaSquadra,3,FALSE),-2)),SUMIFS(Dati!$D$2:$D$451,Dati!$A$2:$A$451,$H63,Dati!$H$2:$H$451,$AG63)+SUMIFS(Dati!$K$2:$K$451,Dati!$H$2:$H$451,$H63,Dati!$A$2:$A$451,$AG63)+SUMIFS(Dati!$C$2:$C$451,Dati!$A$2:$A$451,$H63,Dati!$H$2:$H$451,$AG63)+SUMIFS(Dati!$J$2:$J$451,Dati!$H$2:$H$451,$H63,Dati!$A$2:$A$451,$AG63),"-")</f>
        <v/>
      </c>
      <c r="BF63" s="22">
        <f>IF(AND($H63&lt;&gt;"",$AH63&lt;&gt;"",$H63&lt;&gt;$AH63,IFERROR(VLOOKUP($H63,areaCercaPuntiClassificaSquadra,3,FALSE),-1)=IFERROR(VLOOKUP($AH63,areaCercaPuntiClassificaSquadra,3,FALSE),-2)),SUMIFS(Dati!$D$2:$D$451,Dati!$A$2:$A$451,$H63,Dati!$H$2:$H$451,$AH63)+SUMIFS(Dati!$K$2:$K$451,Dati!$H$2:$H$451,$H63,Dati!$A$2:$A$451,$AH63)+SUMIFS(Dati!$C$2:$C$451,Dati!$A$2:$A$451,$H63,Dati!$H$2:$H$451,$AH63)+SUMIFS(Dati!$J$2:$J$451,Dati!$H$2:$H$451,$H63,Dati!$A$2:$A$451,$AH63),"-")</f>
        <v/>
      </c>
      <c r="BH63" s="21">
        <f>$C63</f>
        <v/>
      </c>
      <c r="BI63" s="22">
        <f>IF(AND($H63&lt;&gt;"",$Y63&lt;&gt;"",$H63&lt;&gt;$Y63,IFERROR(VLOOKUP($H63,areaCercaPuntiClassificaSquadra,3,FALSE),-1)=IFERROR(VLOOKUP($Y63,areaCercaPuntiClassificaSquadra,3,FALSE),-2)),SUMIFS(Dati!$E$2:$E$451,Dati!$A$2:$A$451,$H63,Dati!$H$2:$H$451,$Y63)+SUMIFS(Dati!$L$2:$L$451,Dati!$H$2:$H$451,$H63,Dati!$A$2:$A$451,$Y63),"-")</f>
        <v/>
      </c>
      <c r="BJ63" s="22">
        <f>IF(AND($H63&lt;&gt;"",$Z63&lt;&gt;"",$H63&lt;&gt;$Z63,IFERROR(VLOOKUP($H63,areaCercaPuntiClassificaSquadra,3,FALSE),-1)=IFERROR(VLOOKUP($Z63,areaCercaPuntiClassificaSquadra,3,FALSE),-2)),SUMIFS(Dati!$E$2:$E$451,Dati!$A$2:$A$451,$H63,Dati!$H$2:$H$451,$Z63)+SUMIFS(Dati!$L$2:$L$451,Dati!$H$2:$H$451,$H63,Dati!$A$2:$A$451,$Z63),"-")</f>
        <v/>
      </c>
      <c r="BK63" s="22">
        <f>IF(AND($H63&lt;&gt;"",$AA63&lt;&gt;"",$H63&lt;&gt;$AA63,IFERROR(VLOOKUP($H63,areaCercaPuntiClassificaSquadra,3,FALSE),-1)=IFERROR(VLOOKUP($AA63,areaCercaPuntiClassificaSquadra,3,FALSE),-2)),SUMIFS(Dati!$E$2:$E$451,Dati!$A$2:$A$451,$H63,Dati!$H$2:$H$451,$AA63)+SUMIFS(Dati!$L$2:$L$451,Dati!$H$2:$H$451,$H63,Dati!$A$2:$A$451,$AA63),"-")</f>
        <v/>
      </c>
      <c r="BL63" s="22">
        <f>IF(AND($H63&lt;&gt;"",$AB63&lt;&gt;"",$H63&lt;&gt;$AB63,IFERROR(VLOOKUP($H63,areaCercaPuntiClassificaSquadra,3,FALSE),-1)=IFERROR(VLOOKUP($AB63,areaCercaPuntiClassificaSquadra,3,FALSE),-2)),SUMIFS(Dati!$E$2:$E$451,Dati!$A$2:$A$451,$H63,Dati!$H$2:$H$451,$AB63)+SUMIFS(Dati!$L$2:$L$451,Dati!$H$2:$H$451,$H63,Dati!$A$2:$A$451,$AB63),"-")</f>
        <v/>
      </c>
      <c r="BM63" s="22">
        <f>IF(AND($H63&lt;&gt;"",$AC63&lt;&gt;"",$H63&lt;&gt;$AC63,IFERROR(VLOOKUP($H63,areaCercaPuntiClassificaSquadra,3,FALSE),-1)=IFERROR(VLOOKUP($AC63,areaCercaPuntiClassificaSquadra,3,FALSE),-2)),SUMIFS(Dati!$E$2:$E$451,Dati!$A$2:$A$451,$H63,Dati!$H$2:$H$451,$AC63)+SUMIFS(Dati!$L$2:$L$451,Dati!$H$2:$H$451,$H63,Dati!$A$2:$A$451,$AC63),"-")</f>
        <v/>
      </c>
      <c r="BN63" s="22">
        <f>IF(AND($H63&lt;&gt;"",$AD63&lt;&gt;"",$H63&lt;&gt;$AD63,IFERROR(VLOOKUP($H63,areaCercaPuntiClassificaSquadra,3,FALSE),-1)=IFERROR(VLOOKUP($AD63,areaCercaPuntiClassificaSquadra,3,FALSE),-2)),SUMIFS(Dati!$E$2:$E$451,Dati!$A$2:$A$451,$H63,Dati!$H$2:$H$451,$AD63)+SUMIFS(Dati!$L$2:$L$451,Dati!$H$2:$H$451,$H63,Dati!$A$2:$A$451,$AD63),"-")</f>
        <v/>
      </c>
      <c r="BO63" s="22">
        <f>IF(AND($H63&lt;&gt;"",$AE63&lt;&gt;"",$H63&lt;&gt;$AE63,IFERROR(VLOOKUP($H63,areaCercaPuntiClassificaSquadra,3,FALSE),-1)=IFERROR(VLOOKUP($AE63,areaCercaPuntiClassificaSquadra,3,FALSE),-2)),SUMIFS(Dati!$E$2:$E$451,Dati!$A$2:$A$451,$H63,Dati!$H$2:$H$451,$AE63)+SUMIFS(Dati!$L$2:$L$451,Dati!$H$2:$H$451,$H63,Dati!$A$2:$A$451,$AE63),"-")</f>
        <v/>
      </c>
      <c r="BP63" s="22">
        <f>IF(AND($H63&lt;&gt;"",$AF63&lt;&gt;"",$H63&lt;&gt;$AF63,IFERROR(VLOOKUP($H63,areaCercaPuntiClassificaSquadra,3,FALSE),-1)=IFERROR(VLOOKUP($AF63,areaCercaPuntiClassificaSquadra,3,FALSE),-2)),SUMIFS(Dati!$E$2:$E$451,Dati!$A$2:$A$451,$H63,Dati!$H$2:$H$451,$AF63)+SUMIFS(Dati!$L$2:$L$451,Dati!$H$2:$H$451,$H63,Dati!$A$2:$A$451,$AF63),"-")</f>
        <v/>
      </c>
      <c r="BQ63" s="22">
        <f>IF(AND($H63&lt;&gt;"",$AG63&lt;&gt;"",$H63&lt;&gt;$AG63,IFERROR(VLOOKUP($H63,areaCercaPuntiClassificaSquadra,3,FALSE),-1)=IFERROR(VLOOKUP($AG63,areaCercaPuntiClassificaSquadra,3,FALSE),-2)),SUMIFS(Dati!$E$2:$E$451,Dati!$A$2:$A$451,$H63,Dati!$H$2:$H$451,$AG63)+SUMIFS(Dati!$L$2:$L$451,Dati!$H$2:$H$451,$H63,Dati!$A$2:$A$451,$AG63),"-")</f>
        <v/>
      </c>
      <c r="BR63" s="22">
        <f>IF(AND($H63&lt;&gt;"",$AH63&lt;&gt;"",$H63&lt;&gt;$AH63,IFERROR(VLOOKUP($H63,areaCercaPuntiClassificaSquadra,3,FALSE),-1)=IFERROR(VLOOKUP($AH63,areaCercaPuntiClassificaSquadra,3,FALSE),-2)),SUMIFS(Dati!$E$2:$E$451,Dati!$A$2:$A$451,$H63,Dati!$H$2:$H$451,$AH63)+SUMIFS(Dati!$L$2:$L$451,Dati!$H$2:$H$451,$H63,Dati!$A$2:$A$451,$AH63),"-")</f>
        <v/>
      </c>
      <c r="BT63" s="21">
        <f>$C63</f>
        <v/>
      </c>
      <c r="BU63" s="22">
        <f>IF(AND($H63&lt;&gt;"",$Y63&lt;&gt;"",$H63&lt;&gt;$Y63,IFERROR(VLOOKUP($H63,areaCercaPuntiClassificaSquadra,3,FALSE),-1)=IFERROR(VLOOKUP($Y63,areaCercaPuntiClassificaSquadra,3,FALSE),-2)),SUMIFS(Dati!$F$2:$F$451,Dati!$A$2:$A$451,$H63,Dati!$H$2:$H$451,$Y63)+SUMIFS(Dati!$M$2:$M$451,Dati!$H$2:$H$451,$H63,Dati!$A$2:$A$451,$Y63),"-")</f>
        <v/>
      </c>
      <c r="BV63" s="22">
        <f>IF(AND($H63&lt;&gt;"",$Z63&lt;&gt;"",$H63&lt;&gt;$Z63,IFERROR(VLOOKUP($H63,areaCercaPuntiClassificaSquadra,3,FALSE),-1)=IFERROR(VLOOKUP($Z63,areaCercaPuntiClassificaSquadra,3,FALSE),-2)),SUMIFS(Dati!$F$2:$F$451,Dati!$A$2:$A$451,$H63,Dati!$H$2:$H$451,$Z63)+SUMIFS(Dati!$M$2:$M$451,Dati!$H$2:$H$451,$H63,Dati!$A$2:$A$451,$Z63),"-")</f>
        <v/>
      </c>
      <c r="BW63" s="22">
        <f>IF(AND($H63&lt;&gt;"",$AA63&lt;&gt;"",$H63&lt;&gt;$AA63,IFERROR(VLOOKUP($H63,areaCercaPuntiClassificaSquadra,3,FALSE),-1)=IFERROR(VLOOKUP($AA63,areaCercaPuntiClassificaSquadra,3,FALSE),-2)),SUMIFS(Dati!$F$2:$F$451,Dati!$A$2:$A$451,$H63,Dati!$H$2:$H$451,$AA63)+SUMIFS(Dati!$M$2:$M$451,Dati!$H$2:$H$451,$H63,Dati!$A$2:$A$451,$AA63),"-")</f>
        <v/>
      </c>
      <c r="BX63" s="22">
        <f>IF(AND($H63&lt;&gt;"",$AB63&lt;&gt;"",$H63&lt;&gt;$AB63,IFERROR(VLOOKUP($H63,areaCercaPuntiClassificaSquadra,3,FALSE),-1)=IFERROR(VLOOKUP($AB63,areaCercaPuntiClassificaSquadra,3,FALSE),-2)),SUMIFS(Dati!$F$2:$F$451,Dati!$A$2:$A$451,$H63,Dati!$H$2:$H$451,$AB63)+SUMIFS(Dati!$M$2:$M$451,Dati!$H$2:$H$451,$H63,Dati!$A$2:$A$451,$AB63),"-")</f>
        <v/>
      </c>
      <c r="BY63" s="22">
        <f>IF(AND($H63&lt;&gt;"",$AC63&lt;&gt;"",$H63&lt;&gt;$AC63,IFERROR(VLOOKUP($H63,areaCercaPuntiClassificaSquadra,3,FALSE),-1)=IFERROR(VLOOKUP($AC63,areaCercaPuntiClassificaSquadra,3,FALSE),-2)),SUMIFS(Dati!$F$2:$F$451,Dati!$A$2:$A$451,$H63,Dati!$H$2:$H$451,$AC63)+SUMIFS(Dati!$M$2:$M$451,Dati!$H$2:$H$451,$H63,Dati!$A$2:$A$451,$AC63),"-")</f>
        <v/>
      </c>
      <c r="BZ63" s="22">
        <f>IF(AND($H63&lt;&gt;"",$AD63&lt;&gt;"",$H63&lt;&gt;$AD63,IFERROR(VLOOKUP($H63,areaCercaPuntiClassificaSquadra,3,FALSE),-1)=IFERROR(VLOOKUP($AD63,areaCercaPuntiClassificaSquadra,3,FALSE),-2)),SUMIFS(Dati!$F$2:$F$451,Dati!$A$2:$A$451,$H63,Dati!$H$2:$H$451,$AD63)+SUMIFS(Dati!$M$2:$M$451,Dati!$H$2:$H$451,$H63,Dati!$A$2:$A$451,$AD63),"-")</f>
        <v/>
      </c>
      <c r="CA63" s="22">
        <f>IF(AND($H63&lt;&gt;"",$AE63&lt;&gt;"",$H63&lt;&gt;$AE63,IFERROR(VLOOKUP($H63,areaCercaPuntiClassificaSquadra,3,FALSE),-1)=IFERROR(VLOOKUP($AE63,areaCercaPuntiClassificaSquadra,3,FALSE),-2)),SUMIFS(Dati!$F$2:$F$451,Dati!$A$2:$A$451,$H63,Dati!$H$2:$H$451,$AE63)+SUMIFS(Dati!$M$2:$M$451,Dati!$H$2:$H$451,$H63,Dati!$A$2:$A$451,$AE63),"-")</f>
        <v/>
      </c>
      <c r="CB63" s="22">
        <f>IF(AND($H63&lt;&gt;"",$AF63&lt;&gt;"",$H63&lt;&gt;$AF63,IFERROR(VLOOKUP($H63,areaCercaPuntiClassificaSquadra,3,FALSE),-1)=IFERROR(VLOOKUP($AF63,areaCercaPuntiClassificaSquadra,3,FALSE),-2)),SUMIFS(Dati!$F$2:$F$451,Dati!$A$2:$A$451,$H63,Dati!$H$2:$H$451,$AF63)+SUMIFS(Dati!$M$2:$M$451,Dati!$H$2:$H$451,$H63,Dati!$A$2:$A$451,$AF63),"-")</f>
        <v/>
      </c>
      <c r="CC63" s="22">
        <f>IF(AND($H63&lt;&gt;"",$AG63&lt;&gt;"",$H63&lt;&gt;$AG63,IFERROR(VLOOKUP($H63,areaCercaPuntiClassificaSquadra,3,FALSE),-1)=IFERROR(VLOOKUP($AG63,areaCercaPuntiClassificaSquadra,3,FALSE),-2)),SUMIFS(Dati!$F$2:$F$451,Dati!$A$2:$A$451,$H63,Dati!$H$2:$H$451,$AG63)+SUMIFS(Dati!$M$2:$M$451,Dati!$H$2:$H$451,$H63,Dati!$A$2:$A$451,$AG63),"-")</f>
        <v/>
      </c>
      <c r="CD63" s="22">
        <f>IF(AND($H63&lt;&gt;"",$AH63&lt;&gt;"",$H63&lt;&gt;$AH63,IFERROR(VLOOKUP($H63,areaCercaPuntiClassificaSquadra,3,FALSE),-1)=IFERROR(VLOOKUP($AH63,areaCercaPuntiClassificaSquadra,3,FALSE),-2)),SUMIFS(Dati!$F$2:$F$451,Dati!$A$2:$A$451,$H63,Dati!$H$2:$H$451,$AH63)+SUMIFS(Dati!$M$2:$M$451,Dati!$H$2:$H$451,$H63,Dati!$A$2:$A$451,$AH63),"-")</f>
        <v/>
      </c>
      <c r="CF63" s="22">
        <f>IF($C63="","",SUM(AK63:AT63))</f>
        <v/>
      </c>
    </row>
    <row r="64">
      <c r="B64" s="12" t="inlineStr">
        <is>
          <t>F01</t>
        </is>
      </c>
      <c r="C64" s="13" t="n"/>
      <c r="D64" s="14" t="n"/>
      <c r="E64" s="31" t="inlineStr">
        <is>
          <t>F</t>
        </is>
      </c>
      <c r="G64" s="32">
        <f>IF($C64="","",$E64&amp;(COUNTIFS(I$14:I$113,"&gt;"&amp;I64,E$14:E$113,"="&amp;E64,C$14:C$113,"&lt;&gt;")+COUNTIFS(I$14:I$113,"="&amp;I64,H$14:H$113,"&lt;="&amp;H64,E$14:E$113,"="&amp;E64,C$14:C$113,"&lt;&gt;")))</f>
        <v/>
      </c>
      <c r="H64" s="17">
        <f>IF($C64="","",IFERROR(LEFT($C64,FIND("-",$C64)-1),$C64))</f>
        <v/>
      </c>
      <c r="I64" s="12">
        <f>TEXT(1000000000+J64,"|0000000000|")&amp;TEXT(SUM(AK64:AT64),"0000000000|")&amp;IF(SUM(BU64:CD64)=0,"0000000000|",TEXT(ROUND(SUM(BI64:BR64)/SUM(BU64:CD64),4)*100000,"0000000000|"))&amp;IF(P64=0,"0000000000|",TEXT(ROUND(O64/P64,4)*100000,"0000000000|"))</f>
        <v/>
      </c>
      <c r="J64" s="32">
        <f>L64*constPuntiVittoria+M64*constPuntiSconfitta+N64*constPuntiForfait+IF(D64="",0,D64)</f>
        <v/>
      </c>
      <c r="K64" s="12">
        <f>SUM(L64:N64)</f>
        <v/>
      </c>
      <c r="L64" s="12">
        <f>IF($H64="",0,SUMIF(Dati!$A$2:$A$451,$H64,Dati!$B$2:$B$451)+SUMIF(Dati!$H$2:$H$451,$H64,Dati!$I$2:$I$451))</f>
        <v/>
      </c>
      <c r="M64" s="12">
        <f>IF($H64="",0,SUMIF(Dati!$A$2:$A$451,$H64,Dati!$D$2:$D$451)+SUMIF(Dati!$H$2:$H$451,$H64,Dati!$K$2:$K$451))</f>
        <v/>
      </c>
      <c r="N64" s="12">
        <f>IF($H64="",0,SUMIF(Dati!$A$2:$A$451,$H64,Dati!$C$2:$C$451)+SUMIF(Dati!$H$2:$H$451,$H64,Dati!$J$2:$J$451))</f>
        <v/>
      </c>
      <c r="O64" s="12">
        <f>IF($H64="",0,SUMIF(Dati!$A$2:$A$451,$H64,Dati!$E$2:$E$451)+SUMIF(Dati!$H$2:$H$451,$H64,Dati!$L$2:$L$451))</f>
        <v/>
      </c>
      <c r="P64" s="12">
        <f>IF($H64="",0,SUMIF(Dati!$A$2:$A$451,$H64,Dati!$F$2:$F$451)+SUMIF(Dati!$H$2:$H$451,$H64,Dati!$M$2:$M$451))</f>
        <v/>
      </c>
      <c r="Q64" s="12">
        <f>IF($H64="",0,SUMIF(Dati!$A$2:$A$451,$H64,Dati!$G$2:$G$451)+SUMIF(Dati!$H$2:$H$451,$H64,Dati!$N$2:$N$451))</f>
        <v/>
      </c>
      <c r="R64" s="12">
        <f>IF(K64=0,0,ROUND(O64/K64,2))</f>
        <v/>
      </c>
      <c r="S64" s="12">
        <f>IF(K64=0,0,ROUND(P64/K64,2))</f>
        <v/>
      </c>
      <c r="T64" s="12">
        <f>IF(K64=0,0,ROUND(Q64/K64,2))</f>
        <v/>
      </c>
      <c r="U64" s="12">
        <f>IF(COUNTIFS($E$14:$E$113,$E64,$J$14:$J$113,$J64,$C$14:$C$113,"&lt;&gt;")&lt;=1,"-",SUM(AK64:AT64)&amp;"-"&amp;SUM(AW64:BF64))</f>
        <v/>
      </c>
      <c r="V64" s="18">
        <f>IF(COUNTIFS($E$14:$E$113,$E64,$J$14:$J$113,$J64,$C$14:$C$113,"&lt;&gt;",$CF$14:$CF$113,$CF64)&lt;=1,"-",IF(SUM(BU64:CD64)=0,0,ROUND(SUM(BI64:BR64)/SUM(BU64:CD64),3)))</f>
        <v/>
      </c>
      <c r="W64" s="18">
        <f>IF(COUNTIFS($E$14:$E$113,$E64,$J$14:$J$113,$J64,$C$14:$C$113,"&lt;&gt;",$CF$14:$CF$113,$CF64,$V$14:$V$113,$V64)&lt;=1,"-",IF(P64=0,0,ROUND(O64/P64,3)))</f>
        <v/>
      </c>
      <c r="X64" s="19">
        <f>IF($C64="","",$E64&amp;"#"&amp;COUNTIFS($E$14:$E64,$E64,$C$14:$C64,"&lt;&gt;"))</f>
        <v/>
      </c>
      <c r="Y64" s="20">
        <f>IFERROR(INDEX($H$14:$H$113,MATCH($E64&amp;"#1",$X$14:$X$113,0)),"")</f>
        <v/>
      </c>
      <c r="Z64" s="20">
        <f>IFERROR(INDEX($H$14:$H$113,MATCH($E64&amp;"#2",$X$14:$X$113,0)),"")</f>
        <v/>
      </c>
      <c r="AA64" s="20">
        <f>IFERROR(INDEX($H$14:$H$113,MATCH($E64&amp;"#3",$X$14:$X$113,0)),"")</f>
        <v/>
      </c>
      <c r="AB64" s="20">
        <f>IFERROR(INDEX($H$14:$H$113,MATCH($E64&amp;"#4",$X$14:$X$113,0)),"")</f>
        <v/>
      </c>
      <c r="AC64" s="20">
        <f>IFERROR(INDEX($H$14:$H$113,MATCH($E64&amp;"#5",$X$14:$X$113,0)),"")</f>
        <v/>
      </c>
      <c r="AD64" s="20">
        <f>IFERROR(INDEX($H$14:$H$113,MATCH($E64&amp;"#6",$X$14:$X$113,0)),"")</f>
        <v/>
      </c>
      <c r="AE64" s="20">
        <f>IFERROR(INDEX($H$14:$H$113,MATCH($E64&amp;"#7",$X$14:$X$113,0)),"")</f>
        <v/>
      </c>
      <c r="AF64" s="20">
        <f>IFERROR(INDEX($H$14:$H$113,MATCH($E64&amp;"#8",$X$14:$X$113,0)),"")</f>
        <v/>
      </c>
      <c r="AG64" s="20">
        <f>IFERROR(INDEX($H$14:$H$113,MATCH($E64&amp;"#9",$X$14:$X$113,0)),"")</f>
        <v/>
      </c>
      <c r="AH64" s="20">
        <f>IFERROR(INDEX($H$14:$H$113,MATCH($E64&amp;"#10",$X$14:$X$113,0)),"")</f>
        <v/>
      </c>
      <c r="AJ64" s="21">
        <f>$C64</f>
        <v/>
      </c>
      <c r="AK64" s="22">
        <f>IF(AND($H64&lt;&gt;"",$Y64&lt;&gt;"",$H64&lt;&gt;$Y64,IFERROR(VLOOKUP($H64,areaCercaPuntiClassificaSquadra,3,FALSE),-1)=IFERROR(VLOOKUP($Y64,areaCercaPuntiClassificaSquadra,3,FALSE),-2)),SUMIFS(Dati!$B$2:$B$451,Dati!$A$2:$A$451,$H64,Dati!$H$2:$H$451,$Y64)+SUMIFS(Dati!$I$2:$I$451,Dati!$H$2:$H$451,$H64,Dati!$A$2:$A$451,$Y64),"-")</f>
        <v/>
      </c>
      <c r="AL64" s="22">
        <f>IF(AND($H64&lt;&gt;"",$Z64&lt;&gt;"",$H64&lt;&gt;$Z64,IFERROR(VLOOKUP($H64,areaCercaPuntiClassificaSquadra,3,FALSE),-1)=IFERROR(VLOOKUP($Z64,areaCercaPuntiClassificaSquadra,3,FALSE),-2)),SUMIFS(Dati!$B$2:$B$451,Dati!$A$2:$A$451,$H64,Dati!$H$2:$H$451,$Z64)+SUMIFS(Dati!$I$2:$I$451,Dati!$H$2:$H$451,$H64,Dati!$A$2:$A$451,$Z64),"-")</f>
        <v/>
      </c>
      <c r="AM64" s="22">
        <f>IF(AND($H64&lt;&gt;"",$AA64&lt;&gt;"",$H64&lt;&gt;$AA64,IFERROR(VLOOKUP($H64,areaCercaPuntiClassificaSquadra,3,FALSE),-1)=IFERROR(VLOOKUP($AA64,areaCercaPuntiClassificaSquadra,3,FALSE),-2)),SUMIFS(Dati!$B$2:$B$451,Dati!$A$2:$A$451,$H64,Dati!$H$2:$H$451,$AA64)+SUMIFS(Dati!$I$2:$I$451,Dati!$H$2:$H$451,$H64,Dati!$A$2:$A$451,$AA64),"-")</f>
        <v/>
      </c>
      <c r="AN64" s="22">
        <f>IF(AND($H64&lt;&gt;"",$AB64&lt;&gt;"",$H64&lt;&gt;$AB64,IFERROR(VLOOKUP($H64,areaCercaPuntiClassificaSquadra,3,FALSE),-1)=IFERROR(VLOOKUP($AB64,areaCercaPuntiClassificaSquadra,3,FALSE),-2)),SUMIFS(Dati!$B$2:$B$451,Dati!$A$2:$A$451,$H64,Dati!$H$2:$H$451,$AB64)+SUMIFS(Dati!$I$2:$I$451,Dati!$H$2:$H$451,$H64,Dati!$A$2:$A$451,$AB64),"-")</f>
        <v/>
      </c>
      <c r="AO64" s="22">
        <f>IF(AND($H64&lt;&gt;"",$AC64&lt;&gt;"",$H64&lt;&gt;$AC64,IFERROR(VLOOKUP($H64,areaCercaPuntiClassificaSquadra,3,FALSE),-1)=IFERROR(VLOOKUP($AC64,areaCercaPuntiClassificaSquadra,3,FALSE),-2)),SUMIFS(Dati!$B$2:$B$451,Dati!$A$2:$A$451,$H64,Dati!$H$2:$H$451,$AC64)+SUMIFS(Dati!$I$2:$I$451,Dati!$H$2:$H$451,$H64,Dati!$A$2:$A$451,$AC64),"-")</f>
        <v/>
      </c>
      <c r="AP64" s="22">
        <f>IF(AND($H64&lt;&gt;"",$AD64&lt;&gt;"",$H64&lt;&gt;$AD64,IFERROR(VLOOKUP($H64,areaCercaPuntiClassificaSquadra,3,FALSE),-1)=IFERROR(VLOOKUP($AD64,areaCercaPuntiClassificaSquadra,3,FALSE),-2)),SUMIFS(Dati!$B$2:$B$451,Dati!$A$2:$A$451,$H64,Dati!$H$2:$H$451,$AD64)+SUMIFS(Dati!$I$2:$I$451,Dati!$H$2:$H$451,$H64,Dati!$A$2:$A$451,$AD64),"-")</f>
        <v/>
      </c>
      <c r="AQ64" s="22">
        <f>IF(AND($H64&lt;&gt;"",$AE64&lt;&gt;"",$H64&lt;&gt;$AE64,IFERROR(VLOOKUP($H64,areaCercaPuntiClassificaSquadra,3,FALSE),-1)=IFERROR(VLOOKUP($AE64,areaCercaPuntiClassificaSquadra,3,FALSE),-2)),SUMIFS(Dati!$B$2:$B$451,Dati!$A$2:$A$451,$H64,Dati!$H$2:$H$451,$AE64)+SUMIFS(Dati!$I$2:$I$451,Dati!$H$2:$H$451,$H64,Dati!$A$2:$A$451,$AE64),"-")</f>
        <v/>
      </c>
      <c r="AR64" s="22">
        <f>IF(AND($H64&lt;&gt;"",$AF64&lt;&gt;"",$H64&lt;&gt;$AF64,IFERROR(VLOOKUP($H64,areaCercaPuntiClassificaSquadra,3,FALSE),-1)=IFERROR(VLOOKUP($AF64,areaCercaPuntiClassificaSquadra,3,FALSE),-2)),SUMIFS(Dati!$B$2:$B$451,Dati!$A$2:$A$451,$H64,Dati!$H$2:$H$451,$AF64)+SUMIFS(Dati!$I$2:$I$451,Dati!$H$2:$H$451,$H64,Dati!$A$2:$A$451,$AF64),"-")</f>
        <v/>
      </c>
      <c r="AS64" s="22">
        <f>IF(AND($H64&lt;&gt;"",$AG64&lt;&gt;"",$H64&lt;&gt;$AG64,IFERROR(VLOOKUP($H64,areaCercaPuntiClassificaSquadra,3,FALSE),-1)=IFERROR(VLOOKUP($AG64,areaCercaPuntiClassificaSquadra,3,FALSE),-2)),SUMIFS(Dati!$B$2:$B$451,Dati!$A$2:$A$451,$H64,Dati!$H$2:$H$451,$AG64)+SUMIFS(Dati!$I$2:$I$451,Dati!$H$2:$H$451,$H64,Dati!$A$2:$A$451,$AG64),"-")</f>
        <v/>
      </c>
      <c r="AT64" s="22">
        <f>IF(AND($H64&lt;&gt;"",$AH64&lt;&gt;"",$H64&lt;&gt;$AH64,IFERROR(VLOOKUP($H64,areaCercaPuntiClassificaSquadra,3,FALSE),-1)=IFERROR(VLOOKUP($AH64,areaCercaPuntiClassificaSquadra,3,FALSE),-2)),SUMIFS(Dati!$B$2:$B$451,Dati!$A$2:$A$451,$H64,Dati!$H$2:$H$451,$AH64)+SUMIFS(Dati!$I$2:$I$451,Dati!$H$2:$H$451,$H64,Dati!$A$2:$A$451,$AH64),"-")</f>
        <v/>
      </c>
      <c r="AV64" s="21">
        <f>$C64</f>
        <v/>
      </c>
      <c r="AW64" s="22">
        <f>IF(AND($H64&lt;&gt;"",$Y64&lt;&gt;"",$H64&lt;&gt;$Y64,IFERROR(VLOOKUP($H64,areaCercaPuntiClassificaSquadra,3,FALSE),-1)=IFERROR(VLOOKUP($Y64,areaCercaPuntiClassificaSquadra,3,FALSE),-2)),SUMIFS(Dati!$D$2:$D$451,Dati!$A$2:$A$451,$H64,Dati!$H$2:$H$451,$Y64)+SUMIFS(Dati!$K$2:$K$451,Dati!$H$2:$H$451,$H64,Dati!$A$2:$A$451,$Y64)+SUMIFS(Dati!$C$2:$C$451,Dati!$A$2:$A$451,$H64,Dati!$H$2:$H$451,$Y64)+SUMIFS(Dati!$J$2:$J$451,Dati!$H$2:$H$451,$H64,Dati!$A$2:$A$451,$Y64),"-")</f>
        <v/>
      </c>
      <c r="AX64" s="22">
        <f>IF(AND($H64&lt;&gt;"",$Z64&lt;&gt;"",$H64&lt;&gt;$Z64,IFERROR(VLOOKUP($H64,areaCercaPuntiClassificaSquadra,3,FALSE),-1)=IFERROR(VLOOKUP($Z64,areaCercaPuntiClassificaSquadra,3,FALSE),-2)),SUMIFS(Dati!$D$2:$D$451,Dati!$A$2:$A$451,$H64,Dati!$H$2:$H$451,$Z64)+SUMIFS(Dati!$K$2:$K$451,Dati!$H$2:$H$451,$H64,Dati!$A$2:$A$451,$Z64)+SUMIFS(Dati!$C$2:$C$451,Dati!$A$2:$A$451,$H64,Dati!$H$2:$H$451,$Z64)+SUMIFS(Dati!$J$2:$J$451,Dati!$H$2:$H$451,$H64,Dati!$A$2:$A$451,$Z64),"-")</f>
        <v/>
      </c>
      <c r="AY64" s="22">
        <f>IF(AND($H64&lt;&gt;"",$AA64&lt;&gt;"",$H64&lt;&gt;$AA64,IFERROR(VLOOKUP($H64,areaCercaPuntiClassificaSquadra,3,FALSE),-1)=IFERROR(VLOOKUP($AA64,areaCercaPuntiClassificaSquadra,3,FALSE),-2)),SUMIFS(Dati!$D$2:$D$451,Dati!$A$2:$A$451,$H64,Dati!$H$2:$H$451,$AA64)+SUMIFS(Dati!$K$2:$K$451,Dati!$H$2:$H$451,$H64,Dati!$A$2:$A$451,$AA64)+SUMIFS(Dati!$C$2:$C$451,Dati!$A$2:$A$451,$H64,Dati!$H$2:$H$451,$AA64)+SUMIFS(Dati!$J$2:$J$451,Dati!$H$2:$H$451,$H64,Dati!$A$2:$A$451,$AA64),"-")</f>
        <v/>
      </c>
      <c r="AZ64" s="22">
        <f>IF(AND($H64&lt;&gt;"",$AB64&lt;&gt;"",$H64&lt;&gt;$AB64,IFERROR(VLOOKUP($H64,areaCercaPuntiClassificaSquadra,3,FALSE),-1)=IFERROR(VLOOKUP($AB64,areaCercaPuntiClassificaSquadra,3,FALSE),-2)),SUMIFS(Dati!$D$2:$D$451,Dati!$A$2:$A$451,$H64,Dati!$H$2:$H$451,$AB64)+SUMIFS(Dati!$K$2:$K$451,Dati!$H$2:$H$451,$H64,Dati!$A$2:$A$451,$AB64)+SUMIFS(Dati!$C$2:$C$451,Dati!$A$2:$A$451,$H64,Dati!$H$2:$H$451,$AB64)+SUMIFS(Dati!$J$2:$J$451,Dati!$H$2:$H$451,$H64,Dati!$A$2:$A$451,$AB64),"-")</f>
        <v/>
      </c>
      <c r="BA64" s="22">
        <f>IF(AND($H64&lt;&gt;"",$AC64&lt;&gt;"",$H64&lt;&gt;$AC64,IFERROR(VLOOKUP($H64,areaCercaPuntiClassificaSquadra,3,FALSE),-1)=IFERROR(VLOOKUP($AC64,areaCercaPuntiClassificaSquadra,3,FALSE),-2)),SUMIFS(Dati!$D$2:$D$451,Dati!$A$2:$A$451,$H64,Dati!$H$2:$H$451,$AC64)+SUMIFS(Dati!$K$2:$K$451,Dati!$H$2:$H$451,$H64,Dati!$A$2:$A$451,$AC64)+SUMIFS(Dati!$C$2:$C$451,Dati!$A$2:$A$451,$H64,Dati!$H$2:$H$451,$AC64)+SUMIFS(Dati!$J$2:$J$451,Dati!$H$2:$H$451,$H64,Dati!$A$2:$A$451,$AC64),"-")</f>
        <v/>
      </c>
      <c r="BB64" s="22">
        <f>IF(AND($H64&lt;&gt;"",$AD64&lt;&gt;"",$H64&lt;&gt;$AD64,IFERROR(VLOOKUP($H64,areaCercaPuntiClassificaSquadra,3,FALSE),-1)=IFERROR(VLOOKUP($AD64,areaCercaPuntiClassificaSquadra,3,FALSE),-2)),SUMIFS(Dati!$D$2:$D$451,Dati!$A$2:$A$451,$H64,Dati!$H$2:$H$451,$AD64)+SUMIFS(Dati!$K$2:$K$451,Dati!$H$2:$H$451,$H64,Dati!$A$2:$A$451,$AD64)+SUMIFS(Dati!$C$2:$C$451,Dati!$A$2:$A$451,$H64,Dati!$H$2:$H$451,$AD64)+SUMIFS(Dati!$J$2:$J$451,Dati!$H$2:$H$451,$H64,Dati!$A$2:$A$451,$AD64),"-")</f>
        <v/>
      </c>
      <c r="BC64" s="22">
        <f>IF(AND($H64&lt;&gt;"",$AE64&lt;&gt;"",$H64&lt;&gt;$AE64,IFERROR(VLOOKUP($H64,areaCercaPuntiClassificaSquadra,3,FALSE),-1)=IFERROR(VLOOKUP($AE64,areaCercaPuntiClassificaSquadra,3,FALSE),-2)),SUMIFS(Dati!$D$2:$D$451,Dati!$A$2:$A$451,$H64,Dati!$H$2:$H$451,$AE64)+SUMIFS(Dati!$K$2:$K$451,Dati!$H$2:$H$451,$H64,Dati!$A$2:$A$451,$AE64)+SUMIFS(Dati!$C$2:$C$451,Dati!$A$2:$A$451,$H64,Dati!$H$2:$H$451,$AE64)+SUMIFS(Dati!$J$2:$J$451,Dati!$H$2:$H$451,$H64,Dati!$A$2:$A$451,$AE64),"-")</f>
        <v/>
      </c>
      <c r="BD64" s="22">
        <f>IF(AND($H64&lt;&gt;"",$AF64&lt;&gt;"",$H64&lt;&gt;$AF64,IFERROR(VLOOKUP($H64,areaCercaPuntiClassificaSquadra,3,FALSE),-1)=IFERROR(VLOOKUP($AF64,areaCercaPuntiClassificaSquadra,3,FALSE),-2)),SUMIFS(Dati!$D$2:$D$451,Dati!$A$2:$A$451,$H64,Dati!$H$2:$H$451,$AF64)+SUMIFS(Dati!$K$2:$K$451,Dati!$H$2:$H$451,$H64,Dati!$A$2:$A$451,$AF64)+SUMIFS(Dati!$C$2:$C$451,Dati!$A$2:$A$451,$H64,Dati!$H$2:$H$451,$AF64)+SUMIFS(Dati!$J$2:$J$451,Dati!$H$2:$H$451,$H64,Dati!$A$2:$A$451,$AF64),"-")</f>
        <v/>
      </c>
      <c r="BE64" s="22">
        <f>IF(AND($H64&lt;&gt;"",$AG64&lt;&gt;"",$H64&lt;&gt;$AG64,IFERROR(VLOOKUP($H64,areaCercaPuntiClassificaSquadra,3,FALSE),-1)=IFERROR(VLOOKUP($AG64,areaCercaPuntiClassificaSquadra,3,FALSE),-2)),SUMIFS(Dati!$D$2:$D$451,Dati!$A$2:$A$451,$H64,Dati!$H$2:$H$451,$AG64)+SUMIFS(Dati!$K$2:$K$451,Dati!$H$2:$H$451,$H64,Dati!$A$2:$A$451,$AG64)+SUMIFS(Dati!$C$2:$C$451,Dati!$A$2:$A$451,$H64,Dati!$H$2:$H$451,$AG64)+SUMIFS(Dati!$J$2:$J$451,Dati!$H$2:$H$451,$H64,Dati!$A$2:$A$451,$AG64),"-")</f>
        <v/>
      </c>
      <c r="BF64" s="22">
        <f>IF(AND($H64&lt;&gt;"",$AH64&lt;&gt;"",$H64&lt;&gt;$AH64,IFERROR(VLOOKUP($H64,areaCercaPuntiClassificaSquadra,3,FALSE),-1)=IFERROR(VLOOKUP($AH64,areaCercaPuntiClassificaSquadra,3,FALSE),-2)),SUMIFS(Dati!$D$2:$D$451,Dati!$A$2:$A$451,$H64,Dati!$H$2:$H$451,$AH64)+SUMIFS(Dati!$K$2:$K$451,Dati!$H$2:$H$451,$H64,Dati!$A$2:$A$451,$AH64)+SUMIFS(Dati!$C$2:$C$451,Dati!$A$2:$A$451,$H64,Dati!$H$2:$H$451,$AH64)+SUMIFS(Dati!$J$2:$J$451,Dati!$H$2:$H$451,$H64,Dati!$A$2:$A$451,$AH64),"-")</f>
        <v/>
      </c>
      <c r="BH64" s="21">
        <f>$C64</f>
        <v/>
      </c>
      <c r="BI64" s="22">
        <f>IF(AND($H64&lt;&gt;"",$Y64&lt;&gt;"",$H64&lt;&gt;$Y64,IFERROR(VLOOKUP($H64,areaCercaPuntiClassificaSquadra,3,FALSE),-1)=IFERROR(VLOOKUP($Y64,areaCercaPuntiClassificaSquadra,3,FALSE),-2)),SUMIFS(Dati!$E$2:$E$451,Dati!$A$2:$A$451,$H64,Dati!$H$2:$H$451,$Y64)+SUMIFS(Dati!$L$2:$L$451,Dati!$H$2:$H$451,$H64,Dati!$A$2:$A$451,$Y64),"-")</f>
        <v/>
      </c>
      <c r="BJ64" s="22">
        <f>IF(AND($H64&lt;&gt;"",$Z64&lt;&gt;"",$H64&lt;&gt;$Z64,IFERROR(VLOOKUP($H64,areaCercaPuntiClassificaSquadra,3,FALSE),-1)=IFERROR(VLOOKUP($Z64,areaCercaPuntiClassificaSquadra,3,FALSE),-2)),SUMIFS(Dati!$E$2:$E$451,Dati!$A$2:$A$451,$H64,Dati!$H$2:$H$451,$Z64)+SUMIFS(Dati!$L$2:$L$451,Dati!$H$2:$H$451,$H64,Dati!$A$2:$A$451,$Z64),"-")</f>
        <v/>
      </c>
      <c r="BK64" s="22">
        <f>IF(AND($H64&lt;&gt;"",$AA64&lt;&gt;"",$H64&lt;&gt;$AA64,IFERROR(VLOOKUP($H64,areaCercaPuntiClassificaSquadra,3,FALSE),-1)=IFERROR(VLOOKUP($AA64,areaCercaPuntiClassificaSquadra,3,FALSE),-2)),SUMIFS(Dati!$E$2:$E$451,Dati!$A$2:$A$451,$H64,Dati!$H$2:$H$451,$AA64)+SUMIFS(Dati!$L$2:$L$451,Dati!$H$2:$H$451,$H64,Dati!$A$2:$A$451,$AA64),"-")</f>
        <v/>
      </c>
      <c r="BL64" s="22">
        <f>IF(AND($H64&lt;&gt;"",$AB64&lt;&gt;"",$H64&lt;&gt;$AB64,IFERROR(VLOOKUP($H64,areaCercaPuntiClassificaSquadra,3,FALSE),-1)=IFERROR(VLOOKUP($AB64,areaCercaPuntiClassificaSquadra,3,FALSE),-2)),SUMIFS(Dati!$E$2:$E$451,Dati!$A$2:$A$451,$H64,Dati!$H$2:$H$451,$AB64)+SUMIFS(Dati!$L$2:$L$451,Dati!$H$2:$H$451,$H64,Dati!$A$2:$A$451,$AB64),"-")</f>
        <v/>
      </c>
      <c r="BM64" s="22">
        <f>IF(AND($H64&lt;&gt;"",$AC64&lt;&gt;"",$H64&lt;&gt;$AC64,IFERROR(VLOOKUP($H64,areaCercaPuntiClassificaSquadra,3,FALSE),-1)=IFERROR(VLOOKUP($AC64,areaCercaPuntiClassificaSquadra,3,FALSE),-2)),SUMIFS(Dati!$E$2:$E$451,Dati!$A$2:$A$451,$H64,Dati!$H$2:$H$451,$AC64)+SUMIFS(Dati!$L$2:$L$451,Dati!$H$2:$H$451,$H64,Dati!$A$2:$A$451,$AC64),"-")</f>
        <v/>
      </c>
      <c r="BN64" s="22">
        <f>IF(AND($H64&lt;&gt;"",$AD64&lt;&gt;"",$H64&lt;&gt;$AD64,IFERROR(VLOOKUP($H64,areaCercaPuntiClassificaSquadra,3,FALSE),-1)=IFERROR(VLOOKUP($AD64,areaCercaPuntiClassificaSquadra,3,FALSE),-2)),SUMIFS(Dati!$E$2:$E$451,Dati!$A$2:$A$451,$H64,Dati!$H$2:$H$451,$AD64)+SUMIFS(Dati!$L$2:$L$451,Dati!$H$2:$H$451,$H64,Dati!$A$2:$A$451,$AD64),"-")</f>
        <v/>
      </c>
      <c r="BO64" s="22">
        <f>IF(AND($H64&lt;&gt;"",$AE64&lt;&gt;"",$H64&lt;&gt;$AE64,IFERROR(VLOOKUP($H64,areaCercaPuntiClassificaSquadra,3,FALSE),-1)=IFERROR(VLOOKUP($AE64,areaCercaPuntiClassificaSquadra,3,FALSE),-2)),SUMIFS(Dati!$E$2:$E$451,Dati!$A$2:$A$451,$H64,Dati!$H$2:$H$451,$AE64)+SUMIFS(Dati!$L$2:$L$451,Dati!$H$2:$H$451,$H64,Dati!$A$2:$A$451,$AE64),"-")</f>
        <v/>
      </c>
      <c r="BP64" s="22">
        <f>IF(AND($H64&lt;&gt;"",$AF64&lt;&gt;"",$H64&lt;&gt;$AF64,IFERROR(VLOOKUP($H64,areaCercaPuntiClassificaSquadra,3,FALSE),-1)=IFERROR(VLOOKUP($AF64,areaCercaPuntiClassificaSquadra,3,FALSE),-2)),SUMIFS(Dati!$E$2:$E$451,Dati!$A$2:$A$451,$H64,Dati!$H$2:$H$451,$AF64)+SUMIFS(Dati!$L$2:$L$451,Dati!$H$2:$H$451,$H64,Dati!$A$2:$A$451,$AF64),"-")</f>
        <v/>
      </c>
      <c r="BQ64" s="22">
        <f>IF(AND($H64&lt;&gt;"",$AG64&lt;&gt;"",$H64&lt;&gt;$AG64,IFERROR(VLOOKUP($H64,areaCercaPuntiClassificaSquadra,3,FALSE),-1)=IFERROR(VLOOKUP($AG64,areaCercaPuntiClassificaSquadra,3,FALSE),-2)),SUMIFS(Dati!$E$2:$E$451,Dati!$A$2:$A$451,$H64,Dati!$H$2:$H$451,$AG64)+SUMIFS(Dati!$L$2:$L$451,Dati!$H$2:$H$451,$H64,Dati!$A$2:$A$451,$AG64),"-")</f>
        <v/>
      </c>
      <c r="BR64" s="22">
        <f>IF(AND($H64&lt;&gt;"",$AH64&lt;&gt;"",$H64&lt;&gt;$AH64,IFERROR(VLOOKUP($H64,areaCercaPuntiClassificaSquadra,3,FALSE),-1)=IFERROR(VLOOKUP($AH64,areaCercaPuntiClassificaSquadra,3,FALSE),-2)),SUMIFS(Dati!$E$2:$E$451,Dati!$A$2:$A$451,$H64,Dati!$H$2:$H$451,$AH64)+SUMIFS(Dati!$L$2:$L$451,Dati!$H$2:$H$451,$H64,Dati!$A$2:$A$451,$AH64),"-")</f>
        <v/>
      </c>
      <c r="BT64" s="21">
        <f>$C64</f>
        <v/>
      </c>
      <c r="BU64" s="22">
        <f>IF(AND($H64&lt;&gt;"",$Y64&lt;&gt;"",$H64&lt;&gt;$Y64,IFERROR(VLOOKUP($H64,areaCercaPuntiClassificaSquadra,3,FALSE),-1)=IFERROR(VLOOKUP($Y64,areaCercaPuntiClassificaSquadra,3,FALSE),-2)),SUMIFS(Dati!$F$2:$F$451,Dati!$A$2:$A$451,$H64,Dati!$H$2:$H$451,$Y64)+SUMIFS(Dati!$M$2:$M$451,Dati!$H$2:$H$451,$H64,Dati!$A$2:$A$451,$Y64),"-")</f>
        <v/>
      </c>
      <c r="BV64" s="22">
        <f>IF(AND($H64&lt;&gt;"",$Z64&lt;&gt;"",$H64&lt;&gt;$Z64,IFERROR(VLOOKUP($H64,areaCercaPuntiClassificaSquadra,3,FALSE),-1)=IFERROR(VLOOKUP($Z64,areaCercaPuntiClassificaSquadra,3,FALSE),-2)),SUMIFS(Dati!$F$2:$F$451,Dati!$A$2:$A$451,$H64,Dati!$H$2:$H$451,$Z64)+SUMIFS(Dati!$M$2:$M$451,Dati!$H$2:$H$451,$H64,Dati!$A$2:$A$451,$Z64),"-")</f>
        <v/>
      </c>
      <c r="BW64" s="22">
        <f>IF(AND($H64&lt;&gt;"",$AA64&lt;&gt;"",$H64&lt;&gt;$AA64,IFERROR(VLOOKUP($H64,areaCercaPuntiClassificaSquadra,3,FALSE),-1)=IFERROR(VLOOKUP($AA64,areaCercaPuntiClassificaSquadra,3,FALSE),-2)),SUMIFS(Dati!$F$2:$F$451,Dati!$A$2:$A$451,$H64,Dati!$H$2:$H$451,$AA64)+SUMIFS(Dati!$M$2:$M$451,Dati!$H$2:$H$451,$H64,Dati!$A$2:$A$451,$AA64),"-")</f>
        <v/>
      </c>
      <c r="BX64" s="22">
        <f>IF(AND($H64&lt;&gt;"",$AB64&lt;&gt;"",$H64&lt;&gt;$AB64,IFERROR(VLOOKUP($H64,areaCercaPuntiClassificaSquadra,3,FALSE),-1)=IFERROR(VLOOKUP($AB64,areaCercaPuntiClassificaSquadra,3,FALSE),-2)),SUMIFS(Dati!$F$2:$F$451,Dati!$A$2:$A$451,$H64,Dati!$H$2:$H$451,$AB64)+SUMIFS(Dati!$M$2:$M$451,Dati!$H$2:$H$451,$H64,Dati!$A$2:$A$451,$AB64),"-")</f>
        <v/>
      </c>
      <c r="BY64" s="22">
        <f>IF(AND($H64&lt;&gt;"",$AC64&lt;&gt;"",$H64&lt;&gt;$AC64,IFERROR(VLOOKUP($H64,areaCercaPuntiClassificaSquadra,3,FALSE),-1)=IFERROR(VLOOKUP($AC64,areaCercaPuntiClassificaSquadra,3,FALSE),-2)),SUMIFS(Dati!$F$2:$F$451,Dati!$A$2:$A$451,$H64,Dati!$H$2:$H$451,$AC64)+SUMIFS(Dati!$M$2:$M$451,Dati!$H$2:$H$451,$H64,Dati!$A$2:$A$451,$AC64),"-")</f>
        <v/>
      </c>
      <c r="BZ64" s="22">
        <f>IF(AND($H64&lt;&gt;"",$AD64&lt;&gt;"",$H64&lt;&gt;$AD64,IFERROR(VLOOKUP($H64,areaCercaPuntiClassificaSquadra,3,FALSE),-1)=IFERROR(VLOOKUP($AD64,areaCercaPuntiClassificaSquadra,3,FALSE),-2)),SUMIFS(Dati!$F$2:$F$451,Dati!$A$2:$A$451,$H64,Dati!$H$2:$H$451,$AD64)+SUMIFS(Dati!$M$2:$M$451,Dati!$H$2:$H$451,$H64,Dati!$A$2:$A$451,$AD64),"-")</f>
        <v/>
      </c>
      <c r="CA64" s="22">
        <f>IF(AND($H64&lt;&gt;"",$AE64&lt;&gt;"",$H64&lt;&gt;$AE64,IFERROR(VLOOKUP($H64,areaCercaPuntiClassificaSquadra,3,FALSE),-1)=IFERROR(VLOOKUP($AE64,areaCercaPuntiClassificaSquadra,3,FALSE),-2)),SUMIFS(Dati!$F$2:$F$451,Dati!$A$2:$A$451,$H64,Dati!$H$2:$H$451,$AE64)+SUMIFS(Dati!$M$2:$M$451,Dati!$H$2:$H$451,$H64,Dati!$A$2:$A$451,$AE64),"-")</f>
        <v/>
      </c>
      <c r="CB64" s="22">
        <f>IF(AND($H64&lt;&gt;"",$AF64&lt;&gt;"",$H64&lt;&gt;$AF64,IFERROR(VLOOKUP($H64,areaCercaPuntiClassificaSquadra,3,FALSE),-1)=IFERROR(VLOOKUP($AF64,areaCercaPuntiClassificaSquadra,3,FALSE),-2)),SUMIFS(Dati!$F$2:$F$451,Dati!$A$2:$A$451,$H64,Dati!$H$2:$H$451,$AF64)+SUMIFS(Dati!$M$2:$M$451,Dati!$H$2:$H$451,$H64,Dati!$A$2:$A$451,$AF64),"-")</f>
        <v/>
      </c>
      <c r="CC64" s="22">
        <f>IF(AND($H64&lt;&gt;"",$AG64&lt;&gt;"",$H64&lt;&gt;$AG64,IFERROR(VLOOKUP($H64,areaCercaPuntiClassificaSquadra,3,FALSE),-1)=IFERROR(VLOOKUP($AG64,areaCercaPuntiClassificaSquadra,3,FALSE),-2)),SUMIFS(Dati!$F$2:$F$451,Dati!$A$2:$A$451,$H64,Dati!$H$2:$H$451,$AG64)+SUMIFS(Dati!$M$2:$M$451,Dati!$H$2:$H$451,$H64,Dati!$A$2:$A$451,$AG64),"-")</f>
        <v/>
      </c>
      <c r="CD64" s="22">
        <f>IF(AND($H64&lt;&gt;"",$AH64&lt;&gt;"",$H64&lt;&gt;$AH64,IFERROR(VLOOKUP($H64,areaCercaPuntiClassificaSquadra,3,FALSE),-1)=IFERROR(VLOOKUP($AH64,areaCercaPuntiClassificaSquadra,3,FALSE),-2)),SUMIFS(Dati!$F$2:$F$451,Dati!$A$2:$A$451,$H64,Dati!$H$2:$H$451,$AH64)+SUMIFS(Dati!$M$2:$M$451,Dati!$H$2:$H$451,$H64,Dati!$A$2:$A$451,$AH64),"-")</f>
        <v/>
      </c>
      <c r="CF64" s="22">
        <f>IF($C64="","",SUM(AK64:AT64))</f>
        <v/>
      </c>
    </row>
    <row r="65">
      <c r="B65" s="12" t="inlineStr">
        <is>
          <t>F02</t>
        </is>
      </c>
      <c r="C65" s="13" t="n"/>
      <c r="D65" s="14" t="n"/>
      <c r="E65" s="31" t="inlineStr">
        <is>
          <t>F</t>
        </is>
      </c>
      <c r="G65" s="32">
        <f>IF($C65="","",$E65&amp;(COUNTIFS(I$14:I$113,"&gt;"&amp;I65,E$14:E$113,"="&amp;E65,C$14:C$113,"&lt;&gt;")+COUNTIFS(I$14:I$113,"="&amp;I65,H$14:H$113,"&lt;="&amp;H65,E$14:E$113,"="&amp;E65,C$14:C$113,"&lt;&gt;")))</f>
        <v/>
      </c>
      <c r="H65" s="17">
        <f>IF($C65="","",IFERROR(LEFT($C65,FIND("-",$C65)-1),$C65))</f>
        <v/>
      </c>
      <c r="I65" s="12">
        <f>TEXT(1000000000+J65,"|0000000000|")&amp;TEXT(SUM(AK65:AT65),"0000000000|")&amp;IF(SUM(BU65:CD65)=0,"0000000000|",TEXT(ROUND(SUM(BI65:BR65)/SUM(BU65:CD65),4)*100000,"0000000000|"))&amp;IF(P65=0,"0000000000|",TEXT(ROUND(O65/P65,4)*100000,"0000000000|"))</f>
        <v/>
      </c>
      <c r="J65" s="32">
        <f>L65*constPuntiVittoria+M65*constPuntiSconfitta+N65*constPuntiForfait+IF(D65="",0,D65)</f>
        <v/>
      </c>
      <c r="K65" s="12">
        <f>SUM(L65:N65)</f>
        <v/>
      </c>
      <c r="L65" s="12">
        <f>IF($H65="",0,SUMIF(Dati!$A$2:$A$451,$H65,Dati!$B$2:$B$451)+SUMIF(Dati!$H$2:$H$451,$H65,Dati!$I$2:$I$451))</f>
        <v/>
      </c>
      <c r="M65" s="12">
        <f>IF($H65="",0,SUMIF(Dati!$A$2:$A$451,$H65,Dati!$D$2:$D$451)+SUMIF(Dati!$H$2:$H$451,$H65,Dati!$K$2:$K$451))</f>
        <v/>
      </c>
      <c r="N65" s="12">
        <f>IF($H65="",0,SUMIF(Dati!$A$2:$A$451,$H65,Dati!$C$2:$C$451)+SUMIF(Dati!$H$2:$H$451,$H65,Dati!$J$2:$J$451))</f>
        <v/>
      </c>
      <c r="O65" s="12">
        <f>IF($H65="",0,SUMIF(Dati!$A$2:$A$451,$H65,Dati!$E$2:$E$451)+SUMIF(Dati!$H$2:$H$451,$H65,Dati!$L$2:$L$451))</f>
        <v/>
      </c>
      <c r="P65" s="12">
        <f>IF($H65="",0,SUMIF(Dati!$A$2:$A$451,$H65,Dati!$F$2:$F$451)+SUMIF(Dati!$H$2:$H$451,$H65,Dati!$M$2:$M$451))</f>
        <v/>
      </c>
      <c r="Q65" s="12">
        <f>IF($H65="",0,SUMIF(Dati!$A$2:$A$451,$H65,Dati!$G$2:$G$451)+SUMIF(Dati!$H$2:$H$451,$H65,Dati!$N$2:$N$451))</f>
        <v/>
      </c>
      <c r="R65" s="12">
        <f>IF(K65=0,0,ROUND(O65/K65,2))</f>
        <v/>
      </c>
      <c r="S65" s="12">
        <f>IF(K65=0,0,ROUND(P65/K65,2))</f>
        <v/>
      </c>
      <c r="T65" s="12">
        <f>IF(K65=0,0,ROUND(Q65/K65,2))</f>
        <v/>
      </c>
      <c r="U65" s="12">
        <f>IF(COUNTIFS($E$14:$E$113,$E65,$J$14:$J$113,$J65,$C$14:$C$113,"&lt;&gt;")&lt;=1,"-",SUM(AK65:AT65)&amp;"-"&amp;SUM(AW65:BF65))</f>
        <v/>
      </c>
      <c r="V65" s="18">
        <f>IF(COUNTIFS($E$14:$E$113,$E65,$J$14:$J$113,$J65,$C$14:$C$113,"&lt;&gt;",$CF$14:$CF$113,$CF65)&lt;=1,"-",IF(SUM(BU65:CD65)=0,0,ROUND(SUM(BI65:BR65)/SUM(BU65:CD65),3)))</f>
        <v/>
      </c>
      <c r="W65" s="18">
        <f>IF(COUNTIFS($E$14:$E$113,$E65,$J$14:$J$113,$J65,$C$14:$C$113,"&lt;&gt;",$CF$14:$CF$113,$CF65,$V$14:$V$113,$V65)&lt;=1,"-",IF(P65=0,0,ROUND(O65/P65,3)))</f>
        <v/>
      </c>
      <c r="X65" s="19">
        <f>IF($C65="","",$E65&amp;"#"&amp;COUNTIFS($E$14:$E65,$E65,$C$14:$C65,"&lt;&gt;"))</f>
        <v/>
      </c>
      <c r="Y65" s="20">
        <f>IFERROR(INDEX($H$14:$H$113,MATCH($E65&amp;"#1",$X$14:$X$113,0)),"")</f>
        <v/>
      </c>
      <c r="Z65" s="20">
        <f>IFERROR(INDEX($H$14:$H$113,MATCH($E65&amp;"#2",$X$14:$X$113,0)),"")</f>
        <v/>
      </c>
      <c r="AA65" s="20">
        <f>IFERROR(INDEX($H$14:$H$113,MATCH($E65&amp;"#3",$X$14:$X$113,0)),"")</f>
        <v/>
      </c>
      <c r="AB65" s="20">
        <f>IFERROR(INDEX($H$14:$H$113,MATCH($E65&amp;"#4",$X$14:$X$113,0)),"")</f>
        <v/>
      </c>
      <c r="AC65" s="20">
        <f>IFERROR(INDEX($H$14:$H$113,MATCH($E65&amp;"#5",$X$14:$X$113,0)),"")</f>
        <v/>
      </c>
      <c r="AD65" s="20">
        <f>IFERROR(INDEX($H$14:$H$113,MATCH($E65&amp;"#6",$X$14:$X$113,0)),"")</f>
        <v/>
      </c>
      <c r="AE65" s="20">
        <f>IFERROR(INDEX($H$14:$H$113,MATCH($E65&amp;"#7",$X$14:$X$113,0)),"")</f>
        <v/>
      </c>
      <c r="AF65" s="20">
        <f>IFERROR(INDEX($H$14:$H$113,MATCH($E65&amp;"#8",$X$14:$X$113,0)),"")</f>
        <v/>
      </c>
      <c r="AG65" s="20">
        <f>IFERROR(INDEX($H$14:$H$113,MATCH($E65&amp;"#9",$X$14:$X$113,0)),"")</f>
        <v/>
      </c>
      <c r="AH65" s="20">
        <f>IFERROR(INDEX($H$14:$H$113,MATCH($E65&amp;"#10",$X$14:$X$113,0)),"")</f>
        <v/>
      </c>
      <c r="AJ65" s="21">
        <f>$C65</f>
        <v/>
      </c>
      <c r="AK65" s="22">
        <f>IF(AND($H65&lt;&gt;"",$Y65&lt;&gt;"",$H65&lt;&gt;$Y65,IFERROR(VLOOKUP($H65,areaCercaPuntiClassificaSquadra,3,FALSE),-1)=IFERROR(VLOOKUP($Y65,areaCercaPuntiClassificaSquadra,3,FALSE),-2)),SUMIFS(Dati!$B$2:$B$451,Dati!$A$2:$A$451,$H65,Dati!$H$2:$H$451,$Y65)+SUMIFS(Dati!$I$2:$I$451,Dati!$H$2:$H$451,$H65,Dati!$A$2:$A$451,$Y65),"-")</f>
        <v/>
      </c>
      <c r="AL65" s="22">
        <f>IF(AND($H65&lt;&gt;"",$Z65&lt;&gt;"",$H65&lt;&gt;$Z65,IFERROR(VLOOKUP($H65,areaCercaPuntiClassificaSquadra,3,FALSE),-1)=IFERROR(VLOOKUP($Z65,areaCercaPuntiClassificaSquadra,3,FALSE),-2)),SUMIFS(Dati!$B$2:$B$451,Dati!$A$2:$A$451,$H65,Dati!$H$2:$H$451,$Z65)+SUMIFS(Dati!$I$2:$I$451,Dati!$H$2:$H$451,$H65,Dati!$A$2:$A$451,$Z65),"-")</f>
        <v/>
      </c>
      <c r="AM65" s="22">
        <f>IF(AND($H65&lt;&gt;"",$AA65&lt;&gt;"",$H65&lt;&gt;$AA65,IFERROR(VLOOKUP($H65,areaCercaPuntiClassificaSquadra,3,FALSE),-1)=IFERROR(VLOOKUP($AA65,areaCercaPuntiClassificaSquadra,3,FALSE),-2)),SUMIFS(Dati!$B$2:$B$451,Dati!$A$2:$A$451,$H65,Dati!$H$2:$H$451,$AA65)+SUMIFS(Dati!$I$2:$I$451,Dati!$H$2:$H$451,$H65,Dati!$A$2:$A$451,$AA65),"-")</f>
        <v/>
      </c>
      <c r="AN65" s="22">
        <f>IF(AND($H65&lt;&gt;"",$AB65&lt;&gt;"",$H65&lt;&gt;$AB65,IFERROR(VLOOKUP($H65,areaCercaPuntiClassificaSquadra,3,FALSE),-1)=IFERROR(VLOOKUP($AB65,areaCercaPuntiClassificaSquadra,3,FALSE),-2)),SUMIFS(Dati!$B$2:$B$451,Dati!$A$2:$A$451,$H65,Dati!$H$2:$H$451,$AB65)+SUMIFS(Dati!$I$2:$I$451,Dati!$H$2:$H$451,$H65,Dati!$A$2:$A$451,$AB65),"-")</f>
        <v/>
      </c>
      <c r="AO65" s="22">
        <f>IF(AND($H65&lt;&gt;"",$AC65&lt;&gt;"",$H65&lt;&gt;$AC65,IFERROR(VLOOKUP($H65,areaCercaPuntiClassificaSquadra,3,FALSE),-1)=IFERROR(VLOOKUP($AC65,areaCercaPuntiClassificaSquadra,3,FALSE),-2)),SUMIFS(Dati!$B$2:$B$451,Dati!$A$2:$A$451,$H65,Dati!$H$2:$H$451,$AC65)+SUMIFS(Dati!$I$2:$I$451,Dati!$H$2:$H$451,$H65,Dati!$A$2:$A$451,$AC65),"-")</f>
        <v/>
      </c>
      <c r="AP65" s="22">
        <f>IF(AND($H65&lt;&gt;"",$AD65&lt;&gt;"",$H65&lt;&gt;$AD65,IFERROR(VLOOKUP($H65,areaCercaPuntiClassificaSquadra,3,FALSE),-1)=IFERROR(VLOOKUP($AD65,areaCercaPuntiClassificaSquadra,3,FALSE),-2)),SUMIFS(Dati!$B$2:$B$451,Dati!$A$2:$A$451,$H65,Dati!$H$2:$H$451,$AD65)+SUMIFS(Dati!$I$2:$I$451,Dati!$H$2:$H$451,$H65,Dati!$A$2:$A$451,$AD65),"-")</f>
        <v/>
      </c>
      <c r="AQ65" s="22">
        <f>IF(AND($H65&lt;&gt;"",$AE65&lt;&gt;"",$H65&lt;&gt;$AE65,IFERROR(VLOOKUP($H65,areaCercaPuntiClassificaSquadra,3,FALSE),-1)=IFERROR(VLOOKUP($AE65,areaCercaPuntiClassificaSquadra,3,FALSE),-2)),SUMIFS(Dati!$B$2:$B$451,Dati!$A$2:$A$451,$H65,Dati!$H$2:$H$451,$AE65)+SUMIFS(Dati!$I$2:$I$451,Dati!$H$2:$H$451,$H65,Dati!$A$2:$A$451,$AE65),"-")</f>
        <v/>
      </c>
      <c r="AR65" s="22">
        <f>IF(AND($H65&lt;&gt;"",$AF65&lt;&gt;"",$H65&lt;&gt;$AF65,IFERROR(VLOOKUP($H65,areaCercaPuntiClassificaSquadra,3,FALSE),-1)=IFERROR(VLOOKUP($AF65,areaCercaPuntiClassificaSquadra,3,FALSE),-2)),SUMIFS(Dati!$B$2:$B$451,Dati!$A$2:$A$451,$H65,Dati!$H$2:$H$451,$AF65)+SUMIFS(Dati!$I$2:$I$451,Dati!$H$2:$H$451,$H65,Dati!$A$2:$A$451,$AF65),"-")</f>
        <v/>
      </c>
      <c r="AS65" s="22">
        <f>IF(AND($H65&lt;&gt;"",$AG65&lt;&gt;"",$H65&lt;&gt;$AG65,IFERROR(VLOOKUP($H65,areaCercaPuntiClassificaSquadra,3,FALSE),-1)=IFERROR(VLOOKUP($AG65,areaCercaPuntiClassificaSquadra,3,FALSE),-2)),SUMIFS(Dati!$B$2:$B$451,Dati!$A$2:$A$451,$H65,Dati!$H$2:$H$451,$AG65)+SUMIFS(Dati!$I$2:$I$451,Dati!$H$2:$H$451,$H65,Dati!$A$2:$A$451,$AG65),"-")</f>
        <v/>
      </c>
      <c r="AT65" s="22">
        <f>IF(AND($H65&lt;&gt;"",$AH65&lt;&gt;"",$H65&lt;&gt;$AH65,IFERROR(VLOOKUP($H65,areaCercaPuntiClassificaSquadra,3,FALSE),-1)=IFERROR(VLOOKUP($AH65,areaCercaPuntiClassificaSquadra,3,FALSE),-2)),SUMIFS(Dati!$B$2:$B$451,Dati!$A$2:$A$451,$H65,Dati!$H$2:$H$451,$AH65)+SUMIFS(Dati!$I$2:$I$451,Dati!$H$2:$H$451,$H65,Dati!$A$2:$A$451,$AH65),"-")</f>
        <v/>
      </c>
      <c r="AV65" s="21">
        <f>$C65</f>
        <v/>
      </c>
      <c r="AW65" s="22">
        <f>IF(AND($H65&lt;&gt;"",$Y65&lt;&gt;"",$H65&lt;&gt;$Y65,IFERROR(VLOOKUP($H65,areaCercaPuntiClassificaSquadra,3,FALSE),-1)=IFERROR(VLOOKUP($Y65,areaCercaPuntiClassificaSquadra,3,FALSE),-2)),SUMIFS(Dati!$D$2:$D$451,Dati!$A$2:$A$451,$H65,Dati!$H$2:$H$451,$Y65)+SUMIFS(Dati!$K$2:$K$451,Dati!$H$2:$H$451,$H65,Dati!$A$2:$A$451,$Y65)+SUMIFS(Dati!$C$2:$C$451,Dati!$A$2:$A$451,$H65,Dati!$H$2:$H$451,$Y65)+SUMIFS(Dati!$J$2:$J$451,Dati!$H$2:$H$451,$H65,Dati!$A$2:$A$451,$Y65),"-")</f>
        <v/>
      </c>
      <c r="AX65" s="22">
        <f>IF(AND($H65&lt;&gt;"",$Z65&lt;&gt;"",$H65&lt;&gt;$Z65,IFERROR(VLOOKUP($H65,areaCercaPuntiClassificaSquadra,3,FALSE),-1)=IFERROR(VLOOKUP($Z65,areaCercaPuntiClassificaSquadra,3,FALSE),-2)),SUMIFS(Dati!$D$2:$D$451,Dati!$A$2:$A$451,$H65,Dati!$H$2:$H$451,$Z65)+SUMIFS(Dati!$K$2:$K$451,Dati!$H$2:$H$451,$H65,Dati!$A$2:$A$451,$Z65)+SUMIFS(Dati!$C$2:$C$451,Dati!$A$2:$A$451,$H65,Dati!$H$2:$H$451,$Z65)+SUMIFS(Dati!$J$2:$J$451,Dati!$H$2:$H$451,$H65,Dati!$A$2:$A$451,$Z65),"-")</f>
        <v/>
      </c>
      <c r="AY65" s="22">
        <f>IF(AND($H65&lt;&gt;"",$AA65&lt;&gt;"",$H65&lt;&gt;$AA65,IFERROR(VLOOKUP($H65,areaCercaPuntiClassificaSquadra,3,FALSE),-1)=IFERROR(VLOOKUP($AA65,areaCercaPuntiClassificaSquadra,3,FALSE),-2)),SUMIFS(Dati!$D$2:$D$451,Dati!$A$2:$A$451,$H65,Dati!$H$2:$H$451,$AA65)+SUMIFS(Dati!$K$2:$K$451,Dati!$H$2:$H$451,$H65,Dati!$A$2:$A$451,$AA65)+SUMIFS(Dati!$C$2:$C$451,Dati!$A$2:$A$451,$H65,Dati!$H$2:$H$451,$AA65)+SUMIFS(Dati!$J$2:$J$451,Dati!$H$2:$H$451,$H65,Dati!$A$2:$A$451,$AA65),"-")</f>
        <v/>
      </c>
      <c r="AZ65" s="22">
        <f>IF(AND($H65&lt;&gt;"",$AB65&lt;&gt;"",$H65&lt;&gt;$AB65,IFERROR(VLOOKUP($H65,areaCercaPuntiClassificaSquadra,3,FALSE),-1)=IFERROR(VLOOKUP($AB65,areaCercaPuntiClassificaSquadra,3,FALSE),-2)),SUMIFS(Dati!$D$2:$D$451,Dati!$A$2:$A$451,$H65,Dati!$H$2:$H$451,$AB65)+SUMIFS(Dati!$K$2:$K$451,Dati!$H$2:$H$451,$H65,Dati!$A$2:$A$451,$AB65)+SUMIFS(Dati!$C$2:$C$451,Dati!$A$2:$A$451,$H65,Dati!$H$2:$H$451,$AB65)+SUMIFS(Dati!$J$2:$J$451,Dati!$H$2:$H$451,$H65,Dati!$A$2:$A$451,$AB65),"-")</f>
        <v/>
      </c>
      <c r="BA65" s="22">
        <f>IF(AND($H65&lt;&gt;"",$AC65&lt;&gt;"",$H65&lt;&gt;$AC65,IFERROR(VLOOKUP($H65,areaCercaPuntiClassificaSquadra,3,FALSE),-1)=IFERROR(VLOOKUP($AC65,areaCercaPuntiClassificaSquadra,3,FALSE),-2)),SUMIFS(Dati!$D$2:$D$451,Dati!$A$2:$A$451,$H65,Dati!$H$2:$H$451,$AC65)+SUMIFS(Dati!$K$2:$K$451,Dati!$H$2:$H$451,$H65,Dati!$A$2:$A$451,$AC65)+SUMIFS(Dati!$C$2:$C$451,Dati!$A$2:$A$451,$H65,Dati!$H$2:$H$451,$AC65)+SUMIFS(Dati!$J$2:$J$451,Dati!$H$2:$H$451,$H65,Dati!$A$2:$A$451,$AC65),"-")</f>
        <v/>
      </c>
      <c r="BB65" s="22">
        <f>IF(AND($H65&lt;&gt;"",$AD65&lt;&gt;"",$H65&lt;&gt;$AD65,IFERROR(VLOOKUP($H65,areaCercaPuntiClassificaSquadra,3,FALSE),-1)=IFERROR(VLOOKUP($AD65,areaCercaPuntiClassificaSquadra,3,FALSE),-2)),SUMIFS(Dati!$D$2:$D$451,Dati!$A$2:$A$451,$H65,Dati!$H$2:$H$451,$AD65)+SUMIFS(Dati!$K$2:$K$451,Dati!$H$2:$H$451,$H65,Dati!$A$2:$A$451,$AD65)+SUMIFS(Dati!$C$2:$C$451,Dati!$A$2:$A$451,$H65,Dati!$H$2:$H$451,$AD65)+SUMIFS(Dati!$J$2:$J$451,Dati!$H$2:$H$451,$H65,Dati!$A$2:$A$451,$AD65),"-")</f>
        <v/>
      </c>
      <c r="BC65" s="22">
        <f>IF(AND($H65&lt;&gt;"",$AE65&lt;&gt;"",$H65&lt;&gt;$AE65,IFERROR(VLOOKUP($H65,areaCercaPuntiClassificaSquadra,3,FALSE),-1)=IFERROR(VLOOKUP($AE65,areaCercaPuntiClassificaSquadra,3,FALSE),-2)),SUMIFS(Dati!$D$2:$D$451,Dati!$A$2:$A$451,$H65,Dati!$H$2:$H$451,$AE65)+SUMIFS(Dati!$K$2:$K$451,Dati!$H$2:$H$451,$H65,Dati!$A$2:$A$451,$AE65)+SUMIFS(Dati!$C$2:$C$451,Dati!$A$2:$A$451,$H65,Dati!$H$2:$H$451,$AE65)+SUMIFS(Dati!$J$2:$J$451,Dati!$H$2:$H$451,$H65,Dati!$A$2:$A$451,$AE65),"-")</f>
        <v/>
      </c>
      <c r="BD65" s="22">
        <f>IF(AND($H65&lt;&gt;"",$AF65&lt;&gt;"",$H65&lt;&gt;$AF65,IFERROR(VLOOKUP($H65,areaCercaPuntiClassificaSquadra,3,FALSE),-1)=IFERROR(VLOOKUP($AF65,areaCercaPuntiClassificaSquadra,3,FALSE),-2)),SUMIFS(Dati!$D$2:$D$451,Dati!$A$2:$A$451,$H65,Dati!$H$2:$H$451,$AF65)+SUMIFS(Dati!$K$2:$K$451,Dati!$H$2:$H$451,$H65,Dati!$A$2:$A$451,$AF65)+SUMIFS(Dati!$C$2:$C$451,Dati!$A$2:$A$451,$H65,Dati!$H$2:$H$451,$AF65)+SUMIFS(Dati!$J$2:$J$451,Dati!$H$2:$H$451,$H65,Dati!$A$2:$A$451,$AF65),"-")</f>
        <v/>
      </c>
      <c r="BE65" s="22">
        <f>IF(AND($H65&lt;&gt;"",$AG65&lt;&gt;"",$H65&lt;&gt;$AG65,IFERROR(VLOOKUP($H65,areaCercaPuntiClassificaSquadra,3,FALSE),-1)=IFERROR(VLOOKUP($AG65,areaCercaPuntiClassificaSquadra,3,FALSE),-2)),SUMIFS(Dati!$D$2:$D$451,Dati!$A$2:$A$451,$H65,Dati!$H$2:$H$451,$AG65)+SUMIFS(Dati!$K$2:$K$451,Dati!$H$2:$H$451,$H65,Dati!$A$2:$A$451,$AG65)+SUMIFS(Dati!$C$2:$C$451,Dati!$A$2:$A$451,$H65,Dati!$H$2:$H$451,$AG65)+SUMIFS(Dati!$J$2:$J$451,Dati!$H$2:$H$451,$H65,Dati!$A$2:$A$451,$AG65),"-")</f>
        <v/>
      </c>
      <c r="BF65" s="22">
        <f>IF(AND($H65&lt;&gt;"",$AH65&lt;&gt;"",$H65&lt;&gt;$AH65,IFERROR(VLOOKUP($H65,areaCercaPuntiClassificaSquadra,3,FALSE),-1)=IFERROR(VLOOKUP($AH65,areaCercaPuntiClassificaSquadra,3,FALSE),-2)),SUMIFS(Dati!$D$2:$D$451,Dati!$A$2:$A$451,$H65,Dati!$H$2:$H$451,$AH65)+SUMIFS(Dati!$K$2:$K$451,Dati!$H$2:$H$451,$H65,Dati!$A$2:$A$451,$AH65)+SUMIFS(Dati!$C$2:$C$451,Dati!$A$2:$A$451,$H65,Dati!$H$2:$H$451,$AH65)+SUMIFS(Dati!$J$2:$J$451,Dati!$H$2:$H$451,$H65,Dati!$A$2:$A$451,$AH65),"-")</f>
        <v/>
      </c>
      <c r="BH65" s="21">
        <f>$C65</f>
        <v/>
      </c>
      <c r="BI65" s="22">
        <f>IF(AND($H65&lt;&gt;"",$Y65&lt;&gt;"",$H65&lt;&gt;$Y65,IFERROR(VLOOKUP($H65,areaCercaPuntiClassificaSquadra,3,FALSE),-1)=IFERROR(VLOOKUP($Y65,areaCercaPuntiClassificaSquadra,3,FALSE),-2)),SUMIFS(Dati!$E$2:$E$451,Dati!$A$2:$A$451,$H65,Dati!$H$2:$H$451,$Y65)+SUMIFS(Dati!$L$2:$L$451,Dati!$H$2:$H$451,$H65,Dati!$A$2:$A$451,$Y65),"-")</f>
        <v/>
      </c>
      <c r="BJ65" s="22">
        <f>IF(AND($H65&lt;&gt;"",$Z65&lt;&gt;"",$H65&lt;&gt;$Z65,IFERROR(VLOOKUP($H65,areaCercaPuntiClassificaSquadra,3,FALSE),-1)=IFERROR(VLOOKUP($Z65,areaCercaPuntiClassificaSquadra,3,FALSE),-2)),SUMIFS(Dati!$E$2:$E$451,Dati!$A$2:$A$451,$H65,Dati!$H$2:$H$451,$Z65)+SUMIFS(Dati!$L$2:$L$451,Dati!$H$2:$H$451,$H65,Dati!$A$2:$A$451,$Z65),"-")</f>
        <v/>
      </c>
      <c r="BK65" s="22">
        <f>IF(AND($H65&lt;&gt;"",$AA65&lt;&gt;"",$H65&lt;&gt;$AA65,IFERROR(VLOOKUP($H65,areaCercaPuntiClassificaSquadra,3,FALSE),-1)=IFERROR(VLOOKUP($AA65,areaCercaPuntiClassificaSquadra,3,FALSE),-2)),SUMIFS(Dati!$E$2:$E$451,Dati!$A$2:$A$451,$H65,Dati!$H$2:$H$451,$AA65)+SUMIFS(Dati!$L$2:$L$451,Dati!$H$2:$H$451,$H65,Dati!$A$2:$A$451,$AA65),"-")</f>
        <v/>
      </c>
      <c r="BL65" s="22">
        <f>IF(AND($H65&lt;&gt;"",$AB65&lt;&gt;"",$H65&lt;&gt;$AB65,IFERROR(VLOOKUP($H65,areaCercaPuntiClassificaSquadra,3,FALSE),-1)=IFERROR(VLOOKUP($AB65,areaCercaPuntiClassificaSquadra,3,FALSE),-2)),SUMIFS(Dati!$E$2:$E$451,Dati!$A$2:$A$451,$H65,Dati!$H$2:$H$451,$AB65)+SUMIFS(Dati!$L$2:$L$451,Dati!$H$2:$H$451,$H65,Dati!$A$2:$A$451,$AB65),"-")</f>
        <v/>
      </c>
      <c r="BM65" s="22">
        <f>IF(AND($H65&lt;&gt;"",$AC65&lt;&gt;"",$H65&lt;&gt;$AC65,IFERROR(VLOOKUP($H65,areaCercaPuntiClassificaSquadra,3,FALSE),-1)=IFERROR(VLOOKUP($AC65,areaCercaPuntiClassificaSquadra,3,FALSE),-2)),SUMIFS(Dati!$E$2:$E$451,Dati!$A$2:$A$451,$H65,Dati!$H$2:$H$451,$AC65)+SUMIFS(Dati!$L$2:$L$451,Dati!$H$2:$H$451,$H65,Dati!$A$2:$A$451,$AC65),"-")</f>
        <v/>
      </c>
      <c r="BN65" s="22">
        <f>IF(AND($H65&lt;&gt;"",$AD65&lt;&gt;"",$H65&lt;&gt;$AD65,IFERROR(VLOOKUP($H65,areaCercaPuntiClassificaSquadra,3,FALSE),-1)=IFERROR(VLOOKUP($AD65,areaCercaPuntiClassificaSquadra,3,FALSE),-2)),SUMIFS(Dati!$E$2:$E$451,Dati!$A$2:$A$451,$H65,Dati!$H$2:$H$451,$AD65)+SUMIFS(Dati!$L$2:$L$451,Dati!$H$2:$H$451,$H65,Dati!$A$2:$A$451,$AD65),"-")</f>
        <v/>
      </c>
      <c r="BO65" s="22">
        <f>IF(AND($H65&lt;&gt;"",$AE65&lt;&gt;"",$H65&lt;&gt;$AE65,IFERROR(VLOOKUP($H65,areaCercaPuntiClassificaSquadra,3,FALSE),-1)=IFERROR(VLOOKUP($AE65,areaCercaPuntiClassificaSquadra,3,FALSE),-2)),SUMIFS(Dati!$E$2:$E$451,Dati!$A$2:$A$451,$H65,Dati!$H$2:$H$451,$AE65)+SUMIFS(Dati!$L$2:$L$451,Dati!$H$2:$H$451,$H65,Dati!$A$2:$A$451,$AE65),"-")</f>
        <v/>
      </c>
      <c r="BP65" s="22">
        <f>IF(AND($H65&lt;&gt;"",$AF65&lt;&gt;"",$H65&lt;&gt;$AF65,IFERROR(VLOOKUP($H65,areaCercaPuntiClassificaSquadra,3,FALSE),-1)=IFERROR(VLOOKUP($AF65,areaCercaPuntiClassificaSquadra,3,FALSE),-2)),SUMIFS(Dati!$E$2:$E$451,Dati!$A$2:$A$451,$H65,Dati!$H$2:$H$451,$AF65)+SUMIFS(Dati!$L$2:$L$451,Dati!$H$2:$H$451,$H65,Dati!$A$2:$A$451,$AF65),"-")</f>
        <v/>
      </c>
      <c r="BQ65" s="22">
        <f>IF(AND($H65&lt;&gt;"",$AG65&lt;&gt;"",$H65&lt;&gt;$AG65,IFERROR(VLOOKUP($H65,areaCercaPuntiClassificaSquadra,3,FALSE),-1)=IFERROR(VLOOKUP($AG65,areaCercaPuntiClassificaSquadra,3,FALSE),-2)),SUMIFS(Dati!$E$2:$E$451,Dati!$A$2:$A$451,$H65,Dati!$H$2:$H$451,$AG65)+SUMIFS(Dati!$L$2:$L$451,Dati!$H$2:$H$451,$H65,Dati!$A$2:$A$451,$AG65),"-")</f>
        <v/>
      </c>
      <c r="BR65" s="22">
        <f>IF(AND($H65&lt;&gt;"",$AH65&lt;&gt;"",$H65&lt;&gt;$AH65,IFERROR(VLOOKUP($H65,areaCercaPuntiClassificaSquadra,3,FALSE),-1)=IFERROR(VLOOKUP($AH65,areaCercaPuntiClassificaSquadra,3,FALSE),-2)),SUMIFS(Dati!$E$2:$E$451,Dati!$A$2:$A$451,$H65,Dati!$H$2:$H$451,$AH65)+SUMIFS(Dati!$L$2:$L$451,Dati!$H$2:$H$451,$H65,Dati!$A$2:$A$451,$AH65),"-")</f>
        <v/>
      </c>
      <c r="BT65" s="21">
        <f>$C65</f>
        <v/>
      </c>
      <c r="BU65" s="22">
        <f>IF(AND($H65&lt;&gt;"",$Y65&lt;&gt;"",$H65&lt;&gt;$Y65,IFERROR(VLOOKUP($H65,areaCercaPuntiClassificaSquadra,3,FALSE),-1)=IFERROR(VLOOKUP($Y65,areaCercaPuntiClassificaSquadra,3,FALSE),-2)),SUMIFS(Dati!$F$2:$F$451,Dati!$A$2:$A$451,$H65,Dati!$H$2:$H$451,$Y65)+SUMIFS(Dati!$M$2:$M$451,Dati!$H$2:$H$451,$H65,Dati!$A$2:$A$451,$Y65),"-")</f>
        <v/>
      </c>
      <c r="BV65" s="22">
        <f>IF(AND($H65&lt;&gt;"",$Z65&lt;&gt;"",$H65&lt;&gt;$Z65,IFERROR(VLOOKUP($H65,areaCercaPuntiClassificaSquadra,3,FALSE),-1)=IFERROR(VLOOKUP($Z65,areaCercaPuntiClassificaSquadra,3,FALSE),-2)),SUMIFS(Dati!$F$2:$F$451,Dati!$A$2:$A$451,$H65,Dati!$H$2:$H$451,$Z65)+SUMIFS(Dati!$M$2:$M$451,Dati!$H$2:$H$451,$H65,Dati!$A$2:$A$451,$Z65),"-")</f>
        <v/>
      </c>
      <c r="BW65" s="22">
        <f>IF(AND($H65&lt;&gt;"",$AA65&lt;&gt;"",$H65&lt;&gt;$AA65,IFERROR(VLOOKUP($H65,areaCercaPuntiClassificaSquadra,3,FALSE),-1)=IFERROR(VLOOKUP($AA65,areaCercaPuntiClassificaSquadra,3,FALSE),-2)),SUMIFS(Dati!$F$2:$F$451,Dati!$A$2:$A$451,$H65,Dati!$H$2:$H$451,$AA65)+SUMIFS(Dati!$M$2:$M$451,Dati!$H$2:$H$451,$H65,Dati!$A$2:$A$451,$AA65),"-")</f>
        <v/>
      </c>
      <c r="BX65" s="22">
        <f>IF(AND($H65&lt;&gt;"",$AB65&lt;&gt;"",$H65&lt;&gt;$AB65,IFERROR(VLOOKUP($H65,areaCercaPuntiClassificaSquadra,3,FALSE),-1)=IFERROR(VLOOKUP($AB65,areaCercaPuntiClassificaSquadra,3,FALSE),-2)),SUMIFS(Dati!$F$2:$F$451,Dati!$A$2:$A$451,$H65,Dati!$H$2:$H$451,$AB65)+SUMIFS(Dati!$M$2:$M$451,Dati!$H$2:$H$451,$H65,Dati!$A$2:$A$451,$AB65),"-")</f>
        <v/>
      </c>
      <c r="BY65" s="22">
        <f>IF(AND($H65&lt;&gt;"",$AC65&lt;&gt;"",$H65&lt;&gt;$AC65,IFERROR(VLOOKUP($H65,areaCercaPuntiClassificaSquadra,3,FALSE),-1)=IFERROR(VLOOKUP($AC65,areaCercaPuntiClassificaSquadra,3,FALSE),-2)),SUMIFS(Dati!$F$2:$F$451,Dati!$A$2:$A$451,$H65,Dati!$H$2:$H$451,$AC65)+SUMIFS(Dati!$M$2:$M$451,Dati!$H$2:$H$451,$H65,Dati!$A$2:$A$451,$AC65),"-")</f>
        <v/>
      </c>
      <c r="BZ65" s="22">
        <f>IF(AND($H65&lt;&gt;"",$AD65&lt;&gt;"",$H65&lt;&gt;$AD65,IFERROR(VLOOKUP($H65,areaCercaPuntiClassificaSquadra,3,FALSE),-1)=IFERROR(VLOOKUP($AD65,areaCercaPuntiClassificaSquadra,3,FALSE),-2)),SUMIFS(Dati!$F$2:$F$451,Dati!$A$2:$A$451,$H65,Dati!$H$2:$H$451,$AD65)+SUMIFS(Dati!$M$2:$M$451,Dati!$H$2:$H$451,$H65,Dati!$A$2:$A$451,$AD65),"-")</f>
        <v/>
      </c>
      <c r="CA65" s="22">
        <f>IF(AND($H65&lt;&gt;"",$AE65&lt;&gt;"",$H65&lt;&gt;$AE65,IFERROR(VLOOKUP($H65,areaCercaPuntiClassificaSquadra,3,FALSE),-1)=IFERROR(VLOOKUP($AE65,areaCercaPuntiClassificaSquadra,3,FALSE),-2)),SUMIFS(Dati!$F$2:$F$451,Dati!$A$2:$A$451,$H65,Dati!$H$2:$H$451,$AE65)+SUMIFS(Dati!$M$2:$M$451,Dati!$H$2:$H$451,$H65,Dati!$A$2:$A$451,$AE65),"-")</f>
        <v/>
      </c>
      <c r="CB65" s="22">
        <f>IF(AND($H65&lt;&gt;"",$AF65&lt;&gt;"",$H65&lt;&gt;$AF65,IFERROR(VLOOKUP($H65,areaCercaPuntiClassificaSquadra,3,FALSE),-1)=IFERROR(VLOOKUP($AF65,areaCercaPuntiClassificaSquadra,3,FALSE),-2)),SUMIFS(Dati!$F$2:$F$451,Dati!$A$2:$A$451,$H65,Dati!$H$2:$H$451,$AF65)+SUMIFS(Dati!$M$2:$M$451,Dati!$H$2:$H$451,$H65,Dati!$A$2:$A$451,$AF65),"-")</f>
        <v/>
      </c>
      <c r="CC65" s="22">
        <f>IF(AND($H65&lt;&gt;"",$AG65&lt;&gt;"",$H65&lt;&gt;$AG65,IFERROR(VLOOKUP($H65,areaCercaPuntiClassificaSquadra,3,FALSE),-1)=IFERROR(VLOOKUP($AG65,areaCercaPuntiClassificaSquadra,3,FALSE),-2)),SUMIFS(Dati!$F$2:$F$451,Dati!$A$2:$A$451,$H65,Dati!$H$2:$H$451,$AG65)+SUMIFS(Dati!$M$2:$M$451,Dati!$H$2:$H$451,$H65,Dati!$A$2:$A$451,$AG65),"-")</f>
        <v/>
      </c>
      <c r="CD65" s="22">
        <f>IF(AND($H65&lt;&gt;"",$AH65&lt;&gt;"",$H65&lt;&gt;$AH65,IFERROR(VLOOKUP($H65,areaCercaPuntiClassificaSquadra,3,FALSE),-1)=IFERROR(VLOOKUP($AH65,areaCercaPuntiClassificaSquadra,3,FALSE),-2)),SUMIFS(Dati!$F$2:$F$451,Dati!$A$2:$A$451,$H65,Dati!$H$2:$H$451,$AH65)+SUMIFS(Dati!$M$2:$M$451,Dati!$H$2:$H$451,$H65,Dati!$A$2:$A$451,$AH65),"-")</f>
        <v/>
      </c>
      <c r="CF65" s="22">
        <f>IF($C65="","",SUM(AK65:AT65))</f>
        <v/>
      </c>
    </row>
    <row r="66">
      <c r="B66" s="12" t="inlineStr">
        <is>
          <t>F03</t>
        </is>
      </c>
      <c r="C66" s="13" t="n"/>
      <c r="D66" s="14" t="n"/>
      <c r="E66" s="31" t="inlineStr">
        <is>
          <t>F</t>
        </is>
      </c>
      <c r="G66" s="32">
        <f>IF($C66="","",$E66&amp;(COUNTIFS(I$14:I$113,"&gt;"&amp;I66,E$14:E$113,"="&amp;E66,C$14:C$113,"&lt;&gt;")+COUNTIFS(I$14:I$113,"="&amp;I66,H$14:H$113,"&lt;="&amp;H66,E$14:E$113,"="&amp;E66,C$14:C$113,"&lt;&gt;")))</f>
        <v/>
      </c>
      <c r="H66" s="17">
        <f>IF($C66="","",IFERROR(LEFT($C66,FIND("-",$C66)-1),$C66))</f>
        <v/>
      </c>
      <c r="I66" s="12">
        <f>TEXT(1000000000+J66,"|0000000000|")&amp;TEXT(SUM(AK66:AT66),"0000000000|")&amp;IF(SUM(BU66:CD66)=0,"0000000000|",TEXT(ROUND(SUM(BI66:BR66)/SUM(BU66:CD66),4)*100000,"0000000000|"))&amp;IF(P66=0,"0000000000|",TEXT(ROUND(O66/P66,4)*100000,"0000000000|"))</f>
        <v/>
      </c>
      <c r="J66" s="32">
        <f>L66*constPuntiVittoria+M66*constPuntiSconfitta+N66*constPuntiForfait+IF(D66="",0,D66)</f>
        <v/>
      </c>
      <c r="K66" s="12">
        <f>SUM(L66:N66)</f>
        <v/>
      </c>
      <c r="L66" s="12">
        <f>IF($H66="",0,SUMIF(Dati!$A$2:$A$451,$H66,Dati!$B$2:$B$451)+SUMIF(Dati!$H$2:$H$451,$H66,Dati!$I$2:$I$451))</f>
        <v/>
      </c>
      <c r="M66" s="12">
        <f>IF($H66="",0,SUMIF(Dati!$A$2:$A$451,$H66,Dati!$D$2:$D$451)+SUMIF(Dati!$H$2:$H$451,$H66,Dati!$K$2:$K$451))</f>
        <v/>
      </c>
      <c r="N66" s="12">
        <f>IF($H66="",0,SUMIF(Dati!$A$2:$A$451,$H66,Dati!$C$2:$C$451)+SUMIF(Dati!$H$2:$H$451,$H66,Dati!$J$2:$J$451))</f>
        <v/>
      </c>
      <c r="O66" s="12">
        <f>IF($H66="",0,SUMIF(Dati!$A$2:$A$451,$H66,Dati!$E$2:$E$451)+SUMIF(Dati!$H$2:$H$451,$H66,Dati!$L$2:$L$451))</f>
        <v/>
      </c>
      <c r="P66" s="12">
        <f>IF($H66="",0,SUMIF(Dati!$A$2:$A$451,$H66,Dati!$F$2:$F$451)+SUMIF(Dati!$H$2:$H$451,$H66,Dati!$M$2:$M$451))</f>
        <v/>
      </c>
      <c r="Q66" s="12">
        <f>IF($H66="",0,SUMIF(Dati!$A$2:$A$451,$H66,Dati!$G$2:$G$451)+SUMIF(Dati!$H$2:$H$451,$H66,Dati!$N$2:$N$451))</f>
        <v/>
      </c>
      <c r="R66" s="12">
        <f>IF(K66=0,0,ROUND(O66/K66,2))</f>
        <v/>
      </c>
      <c r="S66" s="12">
        <f>IF(K66=0,0,ROUND(P66/K66,2))</f>
        <v/>
      </c>
      <c r="T66" s="12">
        <f>IF(K66=0,0,ROUND(Q66/K66,2))</f>
        <v/>
      </c>
      <c r="U66" s="12">
        <f>IF(COUNTIFS($E$14:$E$113,$E66,$J$14:$J$113,$J66,$C$14:$C$113,"&lt;&gt;")&lt;=1,"-",SUM(AK66:AT66)&amp;"-"&amp;SUM(AW66:BF66))</f>
        <v/>
      </c>
      <c r="V66" s="18">
        <f>IF(COUNTIFS($E$14:$E$113,$E66,$J$14:$J$113,$J66,$C$14:$C$113,"&lt;&gt;",$CF$14:$CF$113,$CF66)&lt;=1,"-",IF(SUM(BU66:CD66)=0,0,ROUND(SUM(BI66:BR66)/SUM(BU66:CD66),3)))</f>
        <v/>
      </c>
      <c r="W66" s="18">
        <f>IF(COUNTIFS($E$14:$E$113,$E66,$J$14:$J$113,$J66,$C$14:$C$113,"&lt;&gt;",$CF$14:$CF$113,$CF66,$V$14:$V$113,$V66)&lt;=1,"-",IF(P66=0,0,ROUND(O66/P66,3)))</f>
        <v/>
      </c>
      <c r="X66" s="19">
        <f>IF($C66="","",$E66&amp;"#"&amp;COUNTIFS($E$14:$E66,$E66,$C$14:$C66,"&lt;&gt;"))</f>
        <v/>
      </c>
      <c r="Y66" s="20">
        <f>IFERROR(INDEX($H$14:$H$113,MATCH($E66&amp;"#1",$X$14:$X$113,0)),"")</f>
        <v/>
      </c>
      <c r="Z66" s="20">
        <f>IFERROR(INDEX($H$14:$H$113,MATCH($E66&amp;"#2",$X$14:$X$113,0)),"")</f>
        <v/>
      </c>
      <c r="AA66" s="20">
        <f>IFERROR(INDEX($H$14:$H$113,MATCH($E66&amp;"#3",$X$14:$X$113,0)),"")</f>
        <v/>
      </c>
      <c r="AB66" s="20">
        <f>IFERROR(INDEX($H$14:$H$113,MATCH($E66&amp;"#4",$X$14:$X$113,0)),"")</f>
        <v/>
      </c>
      <c r="AC66" s="20">
        <f>IFERROR(INDEX($H$14:$H$113,MATCH($E66&amp;"#5",$X$14:$X$113,0)),"")</f>
        <v/>
      </c>
      <c r="AD66" s="20">
        <f>IFERROR(INDEX($H$14:$H$113,MATCH($E66&amp;"#6",$X$14:$X$113,0)),"")</f>
        <v/>
      </c>
      <c r="AE66" s="20">
        <f>IFERROR(INDEX($H$14:$H$113,MATCH($E66&amp;"#7",$X$14:$X$113,0)),"")</f>
        <v/>
      </c>
      <c r="AF66" s="20">
        <f>IFERROR(INDEX($H$14:$H$113,MATCH($E66&amp;"#8",$X$14:$X$113,0)),"")</f>
        <v/>
      </c>
      <c r="AG66" s="20">
        <f>IFERROR(INDEX($H$14:$H$113,MATCH($E66&amp;"#9",$X$14:$X$113,0)),"")</f>
        <v/>
      </c>
      <c r="AH66" s="20">
        <f>IFERROR(INDEX($H$14:$H$113,MATCH($E66&amp;"#10",$X$14:$X$113,0)),"")</f>
        <v/>
      </c>
      <c r="AJ66" s="21">
        <f>$C66</f>
        <v/>
      </c>
      <c r="AK66" s="22">
        <f>IF(AND($H66&lt;&gt;"",$Y66&lt;&gt;"",$H66&lt;&gt;$Y66,IFERROR(VLOOKUP($H66,areaCercaPuntiClassificaSquadra,3,FALSE),-1)=IFERROR(VLOOKUP($Y66,areaCercaPuntiClassificaSquadra,3,FALSE),-2)),SUMIFS(Dati!$B$2:$B$451,Dati!$A$2:$A$451,$H66,Dati!$H$2:$H$451,$Y66)+SUMIFS(Dati!$I$2:$I$451,Dati!$H$2:$H$451,$H66,Dati!$A$2:$A$451,$Y66),"-")</f>
        <v/>
      </c>
      <c r="AL66" s="22">
        <f>IF(AND($H66&lt;&gt;"",$Z66&lt;&gt;"",$H66&lt;&gt;$Z66,IFERROR(VLOOKUP($H66,areaCercaPuntiClassificaSquadra,3,FALSE),-1)=IFERROR(VLOOKUP($Z66,areaCercaPuntiClassificaSquadra,3,FALSE),-2)),SUMIFS(Dati!$B$2:$B$451,Dati!$A$2:$A$451,$H66,Dati!$H$2:$H$451,$Z66)+SUMIFS(Dati!$I$2:$I$451,Dati!$H$2:$H$451,$H66,Dati!$A$2:$A$451,$Z66),"-")</f>
        <v/>
      </c>
      <c r="AM66" s="22">
        <f>IF(AND($H66&lt;&gt;"",$AA66&lt;&gt;"",$H66&lt;&gt;$AA66,IFERROR(VLOOKUP($H66,areaCercaPuntiClassificaSquadra,3,FALSE),-1)=IFERROR(VLOOKUP($AA66,areaCercaPuntiClassificaSquadra,3,FALSE),-2)),SUMIFS(Dati!$B$2:$B$451,Dati!$A$2:$A$451,$H66,Dati!$H$2:$H$451,$AA66)+SUMIFS(Dati!$I$2:$I$451,Dati!$H$2:$H$451,$H66,Dati!$A$2:$A$451,$AA66),"-")</f>
        <v/>
      </c>
      <c r="AN66" s="22">
        <f>IF(AND($H66&lt;&gt;"",$AB66&lt;&gt;"",$H66&lt;&gt;$AB66,IFERROR(VLOOKUP($H66,areaCercaPuntiClassificaSquadra,3,FALSE),-1)=IFERROR(VLOOKUP($AB66,areaCercaPuntiClassificaSquadra,3,FALSE),-2)),SUMIFS(Dati!$B$2:$B$451,Dati!$A$2:$A$451,$H66,Dati!$H$2:$H$451,$AB66)+SUMIFS(Dati!$I$2:$I$451,Dati!$H$2:$H$451,$H66,Dati!$A$2:$A$451,$AB66),"-")</f>
        <v/>
      </c>
      <c r="AO66" s="22">
        <f>IF(AND($H66&lt;&gt;"",$AC66&lt;&gt;"",$H66&lt;&gt;$AC66,IFERROR(VLOOKUP($H66,areaCercaPuntiClassificaSquadra,3,FALSE),-1)=IFERROR(VLOOKUP($AC66,areaCercaPuntiClassificaSquadra,3,FALSE),-2)),SUMIFS(Dati!$B$2:$B$451,Dati!$A$2:$A$451,$H66,Dati!$H$2:$H$451,$AC66)+SUMIFS(Dati!$I$2:$I$451,Dati!$H$2:$H$451,$H66,Dati!$A$2:$A$451,$AC66),"-")</f>
        <v/>
      </c>
      <c r="AP66" s="22">
        <f>IF(AND($H66&lt;&gt;"",$AD66&lt;&gt;"",$H66&lt;&gt;$AD66,IFERROR(VLOOKUP($H66,areaCercaPuntiClassificaSquadra,3,FALSE),-1)=IFERROR(VLOOKUP($AD66,areaCercaPuntiClassificaSquadra,3,FALSE),-2)),SUMIFS(Dati!$B$2:$B$451,Dati!$A$2:$A$451,$H66,Dati!$H$2:$H$451,$AD66)+SUMIFS(Dati!$I$2:$I$451,Dati!$H$2:$H$451,$H66,Dati!$A$2:$A$451,$AD66),"-")</f>
        <v/>
      </c>
      <c r="AQ66" s="22">
        <f>IF(AND($H66&lt;&gt;"",$AE66&lt;&gt;"",$H66&lt;&gt;$AE66,IFERROR(VLOOKUP($H66,areaCercaPuntiClassificaSquadra,3,FALSE),-1)=IFERROR(VLOOKUP($AE66,areaCercaPuntiClassificaSquadra,3,FALSE),-2)),SUMIFS(Dati!$B$2:$B$451,Dati!$A$2:$A$451,$H66,Dati!$H$2:$H$451,$AE66)+SUMIFS(Dati!$I$2:$I$451,Dati!$H$2:$H$451,$H66,Dati!$A$2:$A$451,$AE66),"-")</f>
        <v/>
      </c>
      <c r="AR66" s="22">
        <f>IF(AND($H66&lt;&gt;"",$AF66&lt;&gt;"",$H66&lt;&gt;$AF66,IFERROR(VLOOKUP($H66,areaCercaPuntiClassificaSquadra,3,FALSE),-1)=IFERROR(VLOOKUP($AF66,areaCercaPuntiClassificaSquadra,3,FALSE),-2)),SUMIFS(Dati!$B$2:$B$451,Dati!$A$2:$A$451,$H66,Dati!$H$2:$H$451,$AF66)+SUMIFS(Dati!$I$2:$I$451,Dati!$H$2:$H$451,$H66,Dati!$A$2:$A$451,$AF66),"-")</f>
        <v/>
      </c>
      <c r="AS66" s="22">
        <f>IF(AND($H66&lt;&gt;"",$AG66&lt;&gt;"",$H66&lt;&gt;$AG66,IFERROR(VLOOKUP($H66,areaCercaPuntiClassificaSquadra,3,FALSE),-1)=IFERROR(VLOOKUP($AG66,areaCercaPuntiClassificaSquadra,3,FALSE),-2)),SUMIFS(Dati!$B$2:$B$451,Dati!$A$2:$A$451,$H66,Dati!$H$2:$H$451,$AG66)+SUMIFS(Dati!$I$2:$I$451,Dati!$H$2:$H$451,$H66,Dati!$A$2:$A$451,$AG66),"-")</f>
        <v/>
      </c>
      <c r="AT66" s="22">
        <f>IF(AND($H66&lt;&gt;"",$AH66&lt;&gt;"",$H66&lt;&gt;$AH66,IFERROR(VLOOKUP($H66,areaCercaPuntiClassificaSquadra,3,FALSE),-1)=IFERROR(VLOOKUP($AH66,areaCercaPuntiClassificaSquadra,3,FALSE),-2)),SUMIFS(Dati!$B$2:$B$451,Dati!$A$2:$A$451,$H66,Dati!$H$2:$H$451,$AH66)+SUMIFS(Dati!$I$2:$I$451,Dati!$H$2:$H$451,$H66,Dati!$A$2:$A$451,$AH66),"-")</f>
        <v/>
      </c>
      <c r="AV66" s="21">
        <f>$C66</f>
        <v/>
      </c>
      <c r="AW66" s="22">
        <f>IF(AND($H66&lt;&gt;"",$Y66&lt;&gt;"",$H66&lt;&gt;$Y66,IFERROR(VLOOKUP($H66,areaCercaPuntiClassificaSquadra,3,FALSE),-1)=IFERROR(VLOOKUP($Y66,areaCercaPuntiClassificaSquadra,3,FALSE),-2)),SUMIFS(Dati!$D$2:$D$451,Dati!$A$2:$A$451,$H66,Dati!$H$2:$H$451,$Y66)+SUMIFS(Dati!$K$2:$K$451,Dati!$H$2:$H$451,$H66,Dati!$A$2:$A$451,$Y66)+SUMIFS(Dati!$C$2:$C$451,Dati!$A$2:$A$451,$H66,Dati!$H$2:$H$451,$Y66)+SUMIFS(Dati!$J$2:$J$451,Dati!$H$2:$H$451,$H66,Dati!$A$2:$A$451,$Y66),"-")</f>
        <v/>
      </c>
      <c r="AX66" s="22">
        <f>IF(AND($H66&lt;&gt;"",$Z66&lt;&gt;"",$H66&lt;&gt;$Z66,IFERROR(VLOOKUP($H66,areaCercaPuntiClassificaSquadra,3,FALSE),-1)=IFERROR(VLOOKUP($Z66,areaCercaPuntiClassificaSquadra,3,FALSE),-2)),SUMIFS(Dati!$D$2:$D$451,Dati!$A$2:$A$451,$H66,Dati!$H$2:$H$451,$Z66)+SUMIFS(Dati!$K$2:$K$451,Dati!$H$2:$H$451,$H66,Dati!$A$2:$A$451,$Z66)+SUMIFS(Dati!$C$2:$C$451,Dati!$A$2:$A$451,$H66,Dati!$H$2:$H$451,$Z66)+SUMIFS(Dati!$J$2:$J$451,Dati!$H$2:$H$451,$H66,Dati!$A$2:$A$451,$Z66),"-")</f>
        <v/>
      </c>
      <c r="AY66" s="22">
        <f>IF(AND($H66&lt;&gt;"",$AA66&lt;&gt;"",$H66&lt;&gt;$AA66,IFERROR(VLOOKUP($H66,areaCercaPuntiClassificaSquadra,3,FALSE),-1)=IFERROR(VLOOKUP($AA66,areaCercaPuntiClassificaSquadra,3,FALSE),-2)),SUMIFS(Dati!$D$2:$D$451,Dati!$A$2:$A$451,$H66,Dati!$H$2:$H$451,$AA66)+SUMIFS(Dati!$K$2:$K$451,Dati!$H$2:$H$451,$H66,Dati!$A$2:$A$451,$AA66)+SUMIFS(Dati!$C$2:$C$451,Dati!$A$2:$A$451,$H66,Dati!$H$2:$H$451,$AA66)+SUMIFS(Dati!$J$2:$J$451,Dati!$H$2:$H$451,$H66,Dati!$A$2:$A$451,$AA66),"-")</f>
        <v/>
      </c>
      <c r="AZ66" s="22">
        <f>IF(AND($H66&lt;&gt;"",$AB66&lt;&gt;"",$H66&lt;&gt;$AB66,IFERROR(VLOOKUP($H66,areaCercaPuntiClassificaSquadra,3,FALSE),-1)=IFERROR(VLOOKUP($AB66,areaCercaPuntiClassificaSquadra,3,FALSE),-2)),SUMIFS(Dati!$D$2:$D$451,Dati!$A$2:$A$451,$H66,Dati!$H$2:$H$451,$AB66)+SUMIFS(Dati!$K$2:$K$451,Dati!$H$2:$H$451,$H66,Dati!$A$2:$A$451,$AB66)+SUMIFS(Dati!$C$2:$C$451,Dati!$A$2:$A$451,$H66,Dati!$H$2:$H$451,$AB66)+SUMIFS(Dati!$J$2:$J$451,Dati!$H$2:$H$451,$H66,Dati!$A$2:$A$451,$AB66),"-")</f>
        <v/>
      </c>
      <c r="BA66" s="22">
        <f>IF(AND($H66&lt;&gt;"",$AC66&lt;&gt;"",$H66&lt;&gt;$AC66,IFERROR(VLOOKUP($H66,areaCercaPuntiClassificaSquadra,3,FALSE),-1)=IFERROR(VLOOKUP($AC66,areaCercaPuntiClassificaSquadra,3,FALSE),-2)),SUMIFS(Dati!$D$2:$D$451,Dati!$A$2:$A$451,$H66,Dati!$H$2:$H$451,$AC66)+SUMIFS(Dati!$K$2:$K$451,Dati!$H$2:$H$451,$H66,Dati!$A$2:$A$451,$AC66)+SUMIFS(Dati!$C$2:$C$451,Dati!$A$2:$A$451,$H66,Dati!$H$2:$H$451,$AC66)+SUMIFS(Dati!$J$2:$J$451,Dati!$H$2:$H$451,$H66,Dati!$A$2:$A$451,$AC66),"-")</f>
        <v/>
      </c>
      <c r="BB66" s="22">
        <f>IF(AND($H66&lt;&gt;"",$AD66&lt;&gt;"",$H66&lt;&gt;$AD66,IFERROR(VLOOKUP($H66,areaCercaPuntiClassificaSquadra,3,FALSE),-1)=IFERROR(VLOOKUP($AD66,areaCercaPuntiClassificaSquadra,3,FALSE),-2)),SUMIFS(Dati!$D$2:$D$451,Dati!$A$2:$A$451,$H66,Dati!$H$2:$H$451,$AD66)+SUMIFS(Dati!$K$2:$K$451,Dati!$H$2:$H$451,$H66,Dati!$A$2:$A$451,$AD66)+SUMIFS(Dati!$C$2:$C$451,Dati!$A$2:$A$451,$H66,Dati!$H$2:$H$451,$AD66)+SUMIFS(Dati!$J$2:$J$451,Dati!$H$2:$H$451,$H66,Dati!$A$2:$A$451,$AD66),"-")</f>
        <v/>
      </c>
      <c r="BC66" s="22">
        <f>IF(AND($H66&lt;&gt;"",$AE66&lt;&gt;"",$H66&lt;&gt;$AE66,IFERROR(VLOOKUP($H66,areaCercaPuntiClassificaSquadra,3,FALSE),-1)=IFERROR(VLOOKUP($AE66,areaCercaPuntiClassificaSquadra,3,FALSE),-2)),SUMIFS(Dati!$D$2:$D$451,Dati!$A$2:$A$451,$H66,Dati!$H$2:$H$451,$AE66)+SUMIFS(Dati!$K$2:$K$451,Dati!$H$2:$H$451,$H66,Dati!$A$2:$A$451,$AE66)+SUMIFS(Dati!$C$2:$C$451,Dati!$A$2:$A$451,$H66,Dati!$H$2:$H$451,$AE66)+SUMIFS(Dati!$J$2:$J$451,Dati!$H$2:$H$451,$H66,Dati!$A$2:$A$451,$AE66),"-")</f>
        <v/>
      </c>
      <c r="BD66" s="22">
        <f>IF(AND($H66&lt;&gt;"",$AF66&lt;&gt;"",$H66&lt;&gt;$AF66,IFERROR(VLOOKUP($H66,areaCercaPuntiClassificaSquadra,3,FALSE),-1)=IFERROR(VLOOKUP($AF66,areaCercaPuntiClassificaSquadra,3,FALSE),-2)),SUMIFS(Dati!$D$2:$D$451,Dati!$A$2:$A$451,$H66,Dati!$H$2:$H$451,$AF66)+SUMIFS(Dati!$K$2:$K$451,Dati!$H$2:$H$451,$H66,Dati!$A$2:$A$451,$AF66)+SUMIFS(Dati!$C$2:$C$451,Dati!$A$2:$A$451,$H66,Dati!$H$2:$H$451,$AF66)+SUMIFS(Dati!$J$2:$J$451,Dati!$H$2:$H$451,$H66,Dati!$A$2:$A$451,$AF66),"-")</f>
        <v/>
      </c>
      <c r="BE66" s="22">
        <f>IF(AND($H66&lt;&gt;"",$AG66&lt;&gt;"",$H66&lt;&gt;$AG66,IFERROR(VLOOKUP($H66,areaCercaPuntiClassificaSquadra,3,FALSE),-1)=IFERROR(VLOOKUP($AG66,areaCercaPuntiClassificaSquadra,3,FALSE),-2)),SUMIFS(Dati!$D$2:$D$451,Dati!$A$2:$A$451,$H66,Dati!$H$2:$H$451,$AG66)+SUMIFS(Dati!$K$2:$K$451,Dati!$H$2:$H$451,$H66,Dati!$A$2:$A$451,$AG66)+SUMIFS(Dati!$C$2:$C$451,Dati!$A$2:$A$451,$H66,Dati!$H$2:$H$451,$AG66)+SUMIFS(Dati!$J$2:$J$451,Dati!$H$2:$H$451,$H66,Dati!$A$2:$A$451,$AG66),"-")</f>
        <v/>
      </c>
      <c r="BF66" s="22">
        <f>IF(AND($H66&lt;&gt;"",$AH66&lt;&gt;"",$H66&lt;&gt;$AH66,IFERROR(VLOOKUP($H66,areaCercaPuntiClassificaSquadra,3,FALSE),-1)=IFERROR(VLOOKUP($AH66,areaCercaPuntiClassificaSquadra,3,FALSE),-2)),SUMIFS(Dati!$D$2:$D$451,Dati!$A$2:$A$451,$H66,Dati!$H$2:$H$451,$AH66)+SUMIFS(Dati!$K$2:$K$451,Dati!$H$2:$H$451,$H66,Dati!$A$2:$A$451,$AH66)+SUMIFS(Dati!$C$2:$C$451,Dati!$A$2:$A$451,$H66,Dati!$H$2:$H$451,$AH66)+SUMIFS(Dati!$J$2:$J$451,Dati!$H$2:$H$451,$H66,Dati!$A$2:$A$451,$AH66),"-")</f>
        <v/>
      </c>
      <c r="BH66" s="21">
        <f>$C66</f>
        <v/>
      </c>
      <c r="BI66" s="22">
        <f>IF(AND($H66&lt;&gt;"",$Y66&lt;&gt;"",$H66&lt;&gt;$Y66,IFERROR(VLOOKUP($H66,areaCercaPuntiClassificaSquadra,3,FALSE),-1)=IFERROR(VLOOKUP($Y66,areaCercaPuntiClassificaSquadra,3,FALSE),-2)),SUMIFS(Dati!$E$2:$E$451,Dati!$A$2:$A$451,$H66,Dati!$H$2:$H$451,$Y66)+SUMIFS(Dati!$L$2:$L$451,Dati!$H$2:$H$451,$H66,Dati!$A$2:$A$451,$Y66),"-")</f>
        <v/>
      </c>
      <c r="BJ66" s="22">
        <f>IF(AND($H66&lt;&gt;"",$Z66&lt;&gt;"",$H66&lt;&gt;$Z66,IFERROR(VLOOKUP($H66,areaCercaPuntiClassificaSquadra,3,FALSE),-1)=IFERROR(VLOOKUP($Z66,areaCercaPuntiClassificaSquadra,3,FALSE),-2)),SUMIFS(Dati!$E$2:$E$451,Dati!$A$2:$A$451,$H66,Dati!$H$2:$H$451,$Z66)+SUMIFS(Dati!$L$2:$L$451,Dati!$H$2:$H$451,$H66,Dati!$A$2:$A$451,$Z66),"-")</f>
        <v/>
      </c>
      <c r="BK66" s="22">
        <f>IF(AND($H66&lt;&gt;"",$AA66&lt;&gt;"",$H66&lt;&gt;$AA66,IFERROR(VLOOKUP($H66,areaCercaPuntiClassificaSquadra,3,FALSE),-1)=IFERROR(VLOOKUP($AA66,areaCercaPuntiClassificaSquadra,3,FALSE),-2)),SUMIFS(Dati!$E$2:$E$451,Dati!$A$2:$A$451,$H66,Dati!$H$2:$H$451,$AA66)+SUMIFS(Dati!$L$2:$L$451,Dati!$H$2:$H$451,$H66,Dati!$A$2:$A$451,$AA66),"-")</f>
        <v/>
      </c>
      <c r="BL66" s="22">
        <f>IF(AND($H66&lt;&gt;"",$AB66&lt;&gt;"",$H66&lt;&gt;$AB66,IFERROR(VLOOKUP($H66,areaCercaPuntiClassificaSquadra,3,FALSE),-1)=IFERROR(VLOOKUP($AB66,areaCercaPuntiClassificaSquadra,3,FALSE),-2)),SUMIFS(Dati!$E$2:$E$451,Dati!$A$2:$A$451,$H66,Dati!$H$2:$H$451,$AB66)+SUMIFS(Dati!$L$2:$L$451,Dati!$H$2:$H$451,$H66,Dati!$A$2:$A$451,$AB66),"-")</f>
        <v/>
      </c>
      <c r="BM66" s="22">
        <f>IF(AND($H66&lt;&gt;"",$AC66&lt;&gt;"",$H66&lt;&gt;$AC66,IFERROR(VLOOKUP($H66,areaCercaPuntiClassificaSquadra,3,FALSE),-1)=IFERROR(VLOOKUP($AC66,areaCercaPuntiClassificaSquadra,3,FALSE),-2)),SUMIFS(Dati!$E$2:$E$451,Dati!$A$2:$A$451,$H66,Dati!$H$2:$H$451,$AC66)+SUMIFS(Dati!$L$2:$L$451,Dati!$H$2:$H$451,$H66,Dati!$A$2:$A$451,$AC66),"-")</f>
        <v/>
      </c>
      <c r="BN66" s="22">
        <f>IF(AND($H66&lt;&gt;"",$AD66&lt;&gt;"",$H66&lt;&gt;$AD66,IFERROR(VLOOKUP($H66,areaCercaPuntiClassificaSquadra,3,FALSE),-1)=IFERROR(VLOOKUP($AD66,areaCercaPuntiClassificaSquadra,3,FALSE),-2)),SUMIFS(Dati!$E$2:$E$451,Dati!$A$2:$A$451,$H66,Dati!$H$2:$H$451,$AD66)+SUMIFS(Dati!$L$2:$L$451,Dati!$H$2:$H$451,$H66,Dati!$A$2:$A$451,$AD66),"-")</f>
        <v/>
      </c>
      <c r="BO66" s="22">
        <f>IF(AND($H66&lt;&gt;"",$AE66&lt;&gt;"",$H66&lt;&gt;$AE66,IFERROR(VLOOKUP($H66,areaCercaPuntiClassificaSquadra,3,FALSE),-1)=IFERROR(VLOOKUP($AE66,areaCercaPuntiClassificaSquadra,3,FALSE),-2)),SUMIFS(Dati!$E$2:$E$451,Dati!$A$2:$A$451,$H66,Dati!$H$2:$H$451,$AE66)+SUMIFS(Dati!$L$2:$L$451,Dati!$H$2:$H$451,$H66,Dati!$A$2:$A$451,$AE66),"-")</f>
        <v/>
      </c>
      <c r="BP66" s="22">
        <f>IF(AND($H66&lt;&gt;"",$AF66&lt;&gt;"",$H66&lt;&gt;$AF66,IFERROR(VLOOKUP($H66,areaCercaPuntiClassificaSquadra,3,FALSE),-1)=IFERROR(VLOOKUP($AF66,areaCercaPuntiClassificaSquadra,3,FALSE),-2)),SUMIFS(Dati!$E$2:$E$451,Dati!$A$2:$A$451,$H66,Dati!$H$2:$H$451,$AF66)+SUMIFS(Dati!$L$2:$L$451,Dati!$H$2:$H$451,$H66,Dati!$A$2:$A$451,$AF66),"-")</f>
        <v/>
      </c>
      <c r="BQ66" s="22">
        <f>IF(AND($H66&lt;&gt;"",$AG66&lt;&gt;"",$H66&lt;&gt;$AG66,IFERROR(VLOOKUP($H66,areaCercaPuntiClassificaSquadra,3,FALSE),-1)=IFERROR(VLOOKUP($AG66,areaCercaPuntiClassificaSquadra,3,FALSE),-2)),SUMIFS(Dati!$E$2:$E$451,Dati!$A$2:$A$451,$H66,Dati!$H$2:$H$451,$AG66)+SUMIFS(Dati!$L$2:$L$451,Dati!$H$2:$H$451,$H66,Dati!$A$2:$A$451,$AG66),"-")</f>
        <v/>
      </c>
      <c r="BR66" s="22">
        <f>IF(AND($H66&lt;&gt;"",$AH66&lt;&gt;"",$H66&lt;&gt;$AH66,IFERROR(VLOOKUP($H66,areaCercaPuntiClassificaSquadra,3,FALSE),-1)=IFERROR(VLOOKUP($AH66,areaCercaPuntiClassificaSquadra,3,FALSE),-2)),SUMIFS(Dati!$E$2:$E$451,Dati!$A$2:$A$451,$H66,Dati!$H$2:$H$451,$AH66)+SUMIFS(Dati!$L$2:$L$451,Dati!$H$2:$H$451,$H66,Dati!$A$2:$A$451,$AH66),"-")</f>
        <v/>
      </c>
      <c r="BT66" s="21">
        <f>$C66</f>
        <v/>
      </c>
      <c r="BU66" s="22">
        <f>IF(AND($H66&lt;&gt;"",$Y66&lt;&gt;"",$H66&lt;&gt;$Y66,IFERROR(VLOOKUP($H66,areaCercaPuntiClassificaSquadra,3,FALSE),-1)=IFERROR(VLOOKUP($Y66,areaCercaPuntiClassificaSquadra,3,FALSE),-2)),SUMIFS(Dati!$F$2:$F$451,Dati!$A$2:$A$451,$H66,Dati!$H$2:$H$451,$Y66)+SUMIFS(Dati!$M$2:$M$451,Dati!$H$2:$H$451,$H66,Dati!$A$2:$A$451,$Y66),"-")</f>
        <v/>
      </c>
      <c r="BV66" s="22">
        <f>IF(AND($H66&lt;&gt;"",$Z66&lt;&gt;"",$H66&lt;&gt;$Z66,IFERROR(VLOOKUP($H66,areaCercaPuntiClassificaSquadra,3,FALSE),-1)=IFERROR(VLOOKUP($Z66,areaCercaPuntiClassificaSquadra,3,FALSE),-2)),SUMIFS(Dati!$F$2:$F$451,Dati!$A$2:$A$451,$H66,Dati!$H$2:$H$451,$Z66)+SUMIFS(Dati!$M$2:$M$451,Dati!$H$2:$H$451,$H66,Dati!$A$2:$A$451,$Z66),"-")</f>
        <v/>
      </c>
      <c r="BW66" s="22">
        <f>IF(AND($H66&lt;&gt;"",$AA66&lt;&gt;"",$H66&lt;&gt;$AA66,IFERROR(VLOOKUP($H66,areaCercaPuntiClassificaSquadra,3,FALSE),-1)=IFERROR(VLOOKUP($AA66,areaCercaPuntiClassificaSquadra,3,FALSE),-2)),SUMIFS(Dati!$F$2:$F$451,Dati!$A$2:$A$451,$H66,Dati!$H$2:$H$451,$AA66)+SUMIFS(Dati!$M$2:$M$451,Dati!$H$2:$H$451,$H66,Dati!$A$2:$A$451,$AA66),"-")</f>
        <v/>
      </c>
      <c r="BX66" s="22">
        <f>IF(AND($H66&lt;&gt;"",$AB66&lt;&gt;"",$H66&lt;&gt;$AB66,IFERROR(VLOOKUP($H66,areaCercaPuntiClassificaSquadra,3,FALSE),-1)=IFERROR(VLOOKUP($AB66,areaCercaPuntiClassificaSquadra,3,FALSE),-2)),SUMIFS(Dati!$F$2:$F$451,Dati!$A$2:$A$451,$H66,Dati!$H$2:$H$451,$AB66)+SUMIFS(Dati!$M$2:$M$451,Dati!$H$2:$H$451,$H66,Dati!$A$2:$A$451,$AB66),"-")</f>
        <v/>
      </c>
      <c r="BY66" s="22">
        <f>IF(AND($H66&lt;&gt;"",$AC66&lt;&gt;"",$H66&lt;&gt;$AC66,IFERROR(VLOOKUP($H66,areaCercaPuntiClassificaSquadra,3,FALSE),-1)=IFERROR(VLOOKUP($AC66,areaCercaPuntiClassificaSquadra,3,FALSE),-2)),SUMIFS(Dati!$F$2:$F$451,Dati!$A$2:$A$451,$H66,Dati!$H$2:$H$451,$AC66)+SUMIFS(Dati!$M$2:$M$451,Dati!$H$2:$H$451,$H66,Dati!$A$2:$A$451,$AC66),"-")</f>
        <v/>
      </c>
      <c r="BZ66" s="22">
        <f>IF(AND($H66&lt;&gt;"",$AD66&lt;&gt;"",$H66&lt;&gt;$AD66,IFERROR(VLOOKUP($H66,areaCercaPuntiClassificaSquadra,3,FALSE),-1)=IFERROR(VLOOKUP($AD66,areaCercaPuntiClassificaSquadra,3,FALSE),-2)),SUMIFS(Dati!$F$2:$F$451,Dati!$A$2:$A$451,$H66,Dati!$H$2:$H$451,$AD66)+SUMIFS(Dati!$M$2:$M$451,Dati!$H$2:$H$451,$H66,Dati!$A$2:$A$451,$AD66),"-")</f>
        <v/>
      </c>
      <c r="CA66" s="22">
        <f>IF(AND($H66&lt;&gt;"",$AE66&lt;&gt;"",$H66&lt;&gt;$AE66,IFERROR(VLOOKUP($H66,areaCercaPuntiClassificaSquadra,3,FALSE),-1)=IFERROR(VLOOKUP($AE66,areaCercaPuntiClassificaSquadra,3,FALSE),-2)),SUMIFS(Dati!$F$2:$F$451,Dati!$A$2:$A$451,$H66,Dati!$H$2:$H$451,$AE66)+SUMIFS(Dati!$M$2:$M$451,Dati!$H$2:$H$451,$H66,Dati!$A$2:$A$451,$AE66),"-")</f>
        <v/>
      </c>
      <c r="CB66" s="22">
        <f>IF(AND($H66&lt;&gt;"",$AF66&lt;&gt;"",$H66&lt;&gt;$AF66,IFERROR(VLOOKUP($H66,areaCercaPuntiClassificaSquadra,3,FALSE),-1)=IFERROR(VLOOKUP($AF66,areaCercaPuntiClassificaSquadra,3,FALSE),-2)),SUMIFS(Dati!$F$2:$F$451,Dati!$A$2:$A$451,$H66,Dati!$H$2:$H$451,$AF66)+SUMIFS(Dati!$M$2:$M$451,Dati!$H$2:$H$451,$H66,Dati!$A$2:$A$451,$AF66),"-")</f>
        <v/>
      </c>
      <c r="CC66" s="22">
        <f>IF(AND($H66&lt;&gt;"",$AG66&lt;&gt;"",$H66&lt;&gt;$AG66,IFERROR(VLOOKUP($H66,areaCercaPuntiClassificaSquadra,3,FALSE),-1)=IFERROR(VLOOKUP($AG66,areaCercaPuntiClassificaSquadra,3,FALSE),-2)),SUMIFS(Dati!$F$2:$F$451,Dati!$A$2:$A$451,$H66,Dati!$H$2:$H$451,$AG66)+SUMIFS(Dati!$M$2:$M$451,Dati!$H$2:$H$451,$H66,Dati!$A$2:$A$451,$AG66),"-")</f>
        <v/>
      </c>
      <c r="CD66" s="22">
        <f>IF(AND($H66&lt;&gt;"",$AH66&lt;&gt;"",$H66&lt;&gt;$AH66,IFERROR(VLOOKUP($H66,areaCercaPuntiClassificaSquadra,3,FALSE),-1)=IFERROR(VLOOKUP($AH66,areaCercaPuntiClassificaSquadra,3,FALSE),-2)),SUMIFS(Dati!$F$2:$F$451,Dati!$A$2:$A$451,$H66,Dati!$H$2:$H$451,$AH66)+SUMIFS(Dati!$M$2:$M$451,Dati!$H$2:$H$451,$H66,Dati!$A$2:$A$451,$AH66),"-")</f>
        <v/>
      </c>
      <c r="CF66" s="22">
        <f>IF($C66="","",SUM(AK66:AT66))</f>
        <v/>
      </c>
    </row>
    <row r="67">
      <c r="B67" s="12" t="inlineStr">
        <is>
          <t>F04</t>
        </is>
      </c>
      <c r="C67" s="13" t="n"/>
      <c r="D67" s="14" t="n"/>
      <c r="E67" s="31" t="inlineStr">
        <is>
          <t>F</t>
        </is>
      </c>
      <c r="G67" s="32">
        <f>IF($C67="","",$E67&amp;(COUNTIFS(I$14:I$113,"&gt;"&amp;I67,E$14:E$113,"="&amp;E67,C$14:C$113,"&lt;&gt;")+COUNTIFS(I$14:I$113,"="&amp;I67,H$14:H$113,"&lt;="&amp;H67,E$14:E$113,"="&amp;E67,C$14:C$113,"&lt;&gt;")))</f>
        <v/>
      </c>
      <c r="H67" s="17">
        <f>IF($C67="","",IFERROR(LEFT($C67,FIND("-",$C67)-1),$C67))</f>
        <v/>
      </c>
      <c r="I67" s="12">
        <f>TEXT(1000000000+J67,"|0000000000|")&amp;TEXT(SUM(AK67:AT67),"0000000000|")&amp;IF(SUM(BU67:CD67)=0,"0000000000|",TEXT(ROUND(SUM(BI67:BR67)/SUM(BU67:CD67),4)*100000,"0000000000|"))&amp;IF(P67=0,"0000000000|",TEXT(ROUND(O67/P67,4)*100000,"0000000000|"))</f>
        <v/>
      </c>
      <c r="J67" s="32">
        <f>L67*constPuntiVittoria+M67*constPuntiSconfitta+N67*constPuntiForfait+IF(D67="",0,D67)</f>
        <v/>
      </c>
      <c r="K67" s="12">
        <f>SUM(L67:N67)</f>
        <v/>
      </c>
      <c r="L67" s="12">
        <f>IF($H67="",0,SUMIF(Dati!$A$2:$A$451,$H67,Dati!$B$2:$B$451)+SUMIF(Dati!$H$2:$H$451,$H67,Dati!$I$2:$I$451))</f>
        <v/>
      </c>
      <c r="M67" s="12">
        <f>IF($H67="",0,SUMIF(Dati!$A$2:$A$451,$H67,Dati!$D$2:$D$451)+SUMIF(Dati!$H$2:$H$451,$H67,Dati!$K$2:$K$451))</f>
        <v/>
      </c>
      <c r="N67" s="12">
        <f>IF($H67="",0,SUMIF(Dati!$A$2:$A$451,$H67,Dati!$C$2:$C$451)+SUMIF(Dati!$H$2:$H$451,$H67,Dati!$J$2:$J$451))</f>
        <v/>
      </c>
      <c r="O67" s="12">
        <f>IF($H67="",0,SUMIF(Dati!$A$2:$A$451,$H67,Dati!$E$2:$E$451)+SUMIF(Dati!$H$2:$H$451,$H67,Dati!$L$2:$L$451))</f>
        <v/>
      </c>
      <c r="P67" s="12">
        <f>IF($H67="",0,SUMIF(Dati!$A$2:$A$451,$H67,Dati!$F$2:$F$451)+SUMIF(Dati!$H$2:$H$451,$H67,Dati!$M$2:$M$451))</f>
        <v/>
      </c>
      <c r="Q67" s="12">
        <f>IF($H67="",0,SUMIF(Dati!$A$2:$A$451,$H67,Dati!$G$2:$G$451)+SUMIF(Dati!$H$2:$H$451,$H67,Dati!$N$2:$N$451))</f>
        <v/>
      </c>
      <c r="R67" s="12">
        <f>IF(K67=0,0,ROUND(O67/K67,2))</f>
        <v/>
      </c>
      <c r="S67" s="12">
        <f>IF(K67=0,0,ROUND(P67/K67,2))</f>
        <v/>
      </c>
      <c r="T67" s="12">
        <f>IF(K67=0,0,ROUND(Q67/K67,2))</f>
        <v/>
      </c>
      <c r="U67" s="12">
        <f>IF(COUNTIFS($E$14:$E$113,$E67,$J$14:$J$113,$J67,$C$14:$C$113,"&lt;&gt;")&lt;=1,"-",SUM(AK67:AT67)&amp;"-"&amp;SUM(AW67:BF67))</f>
        <v/>
      </c>
      <c r="V67" s="18">
        <f>IF(COUNTIFS($E$14:$E$113,$E67,$J$14:$J$113,$J67,$C$14:$C$113,"&lt;&gt;",$CF$14:$CF$113,$CF67)&lt;=1,"-",IF(SUM(BU67:CD67)=0,0,ROUND(SUM(BI67:BR67)/SUM(BU67:CD67),3)))</f>
        <v/>
      </c>
      <c r="W67" s="18">
        <f>IF(COUNTIFS($E$14:$E$113,$E67,$J$14:$J$113,$J67,$C$14:$C$113,"&lt;&gt;",$CF$14:$CF$113,$CF67,$V$14:$V$113,$V67)&lt;=1,"-",IF(P67=0,0,ROUND(O67/P67,3)))</f>
        <v/>
      </c>
      <c r="X67" s="19">
        <f>IF($C67="","",$E67&amp;"#"&amp;COUNTIFS($E$14:$E67,$E67,$C$14:$C67,"&lt;&gt;"))</f>
        <v/>
      </c>
      <c r="Y67" s="20">
        <f>IFERROR(INDEX($H$14:$H$113,MATCH($E67&amp;"#1",$X$14:$X$113,0)),"")</f>
        <v/>
      </c>
      <c r="Z67" s="20">
        <f>IFERROR(INDEX($H$14:$H$113,MATCH($E67&amp;"#2",$X$14:$X$113,0)),"")</f>
        <v/>
      </c>
      <c r="AA67" s="20">
        <f>IFERROR(INDEX($H$14:$H$113,MATCH($E67&amp;"#3",$X$14:$X$113,0)),"")</f>
        <v/>
      </c>
      <c r="AB67" s="20">
        <f>IFERROR(INDEX($H$14:$H$113,MATCH($E67&amp;"#4",$X$14:$X$113,0)),"")</f>
        <v/>
      </c>
      <c r="AC67" s="20">
        <f>IFERROR(INDEX($H$14:$H$113,MATCH($E67&amp;"#5",$X$14:$X$113,0)),"")</f>
        <v/>
      </c>
      <c r="AD67" s="20">
        <f>IFERROR(INDEX($H$14:$H$113,MATCH($E67&amp;"#6",$X$14:$X$113,0)),"")</f>
        <v/>
      </c>
      <c r="AE67" s="20">
        <f>IFERROR(INDEX($H$14:$H$113,MATCH($E67&amp;"#7",$X$14:$X$113,0)),"")</f>
        <v/>
      </c>
      <c r="AF67" s="20">
        <f>IFERROR(INDEX($H$14:$H$113,MATCH($E67&amp;"#8",$X$14:$X$113,0)),"")</f>
        <v/>
      </c>
      <c r="AG67" s="20">
        <f>IFERROR(INDEX($H$14:$H$113,MATCH($E67&amp;"#9",$X$14:$X$113,0)),"")</f>
        <v/>
      </c>
      <c r="AH67" s="20">
        <f>IFERROR(INDEX($H$14:$H$113,MATCH($E67&amp;"#10",$X$14:$X$113,0)),"")</f>
        <v/>
      </c>
      <c r="AJ67" s="21">
        <f>$C67</f>
        <v/>
      </c>
      <c r="AK67" s="22">
        <f>IF(AND($H67&lt;&gt;"",$Y67&lt;&gt;"",$H67&lt;&gt;$Y67,IFERROR(VLOOKUP($H67,areaCercaPuntiClassificaSquadra,3,FALSE),-1)=IFERROR(VLOOKUP($Y67,areaCercaPuntiClassificaSquadra,3,FALSE),-2)),SUMIFS(Dati!$B$2:$B$451,Dati!$A$2:$A$451,$H67,Dati!$H$2:$H$451,$Y67)+SUMIFS(Dati!$I$2:$I$451,Dati!$H$2:$H$451,$H67,Dati!$A$2:$A$451,$Y67),"-")</f>
        <v/>
      </c>
      <c r="AL67" s="22">
        <f>IF(AND($H67&lt;&gt;"",$Z67&lt;&gt;"",$H67&lt;&gt;$Z67,IFERROR(VLOOKUP($H67,areaCercaPuntiClassificaSquadra,3,FALSE),-1)=IFERROR(VLOOKUP($Z67,areaCercaPuntiClassificaSquadra,3,FALSE),-2)),SUMIFS(Dati!$B$2:$B$451,Dati!$A$2:$A$451,$H67,Dati!$H$2:$H$451,$Z67)+SUMIFS(Dati!$I$2:$I$451,Dati!$H$2:$H$451,$H67,Dati!$A$2:$A$451,$Z67),"-")</f>
        <v/>
      </c>
      <c r="AM67" s="22">
        <f>IF(AND($H67&lt;&gt;"",$AA67&lt;&gt;"",$H67&lt;&gt;$AA67,IFERROR(VLOOKUP($H67,areaCercaPuntiClassificaSquadra,3,FALSE),-1)=IFERROR(VLOOKUP($AA67,areaCercaPuntiClassificaSquadra,3,FALSE),-2)),SUMIFS(Dati!$B$2:$B$451,Dati!$A$2:$A$451,$H67,Dati!$H$2:$H$451,$AA67)+SUMIFS(Dati!$I$2:$I$451,Dati!$H$2:$H$451,$H67,Dati!$A$2:$A$451,$AA67),"-")</f>
        <v/>
      </c>
      <c r="AN67" s="22">
        <f>IF(AND($H67&lt;&gt;"",$AB67&lt;&gt;"",$H67&lt;&gt;$AB67,IFERROR(VLOOKUP($H67,areaCercaPuntiClassificaSquadra,3,FALSE),-1)=IFERROR(VLOOKUP($AB67,areaCercaPuntiClassificaSquadra,3,FALSE),-2)),SUMIFS(Dati!$B$2:$B$451,Dati!$A$2:$A$451,$H67,Dati!$H$2:$H$451,$AB67)+SUMIFS(Dati!$I$2:$I$451,Dati!$H$2:$H$451,$H67,Dati!$A$2:$A$451,$AB67),"-")</f>
        <v/>
      </c>
      <c r="AO67" s="22">
        <f>IF(AND($H67&lt;&gt;"",$AC67&lt;&gt;"",$H67&lt;&gt;$AC67,IFERROR(VLOOKUP($H67,areaCercaPuntiClassificaSquadra,3,FALSE),-1)=IFERROR(VLOOKUP($AC67,areaCercaPuntiClassificaSquadra,3,FALSE),-2)),SUMIFS(Dati!$B$2:$B$451,Dati!$A$2:$A$451,$H67,Dati!$H$2:$H$451,$AC67)+SUMIFS(Dati!$I$2:$I$451,Dati!$H$2:$H$451,$H67,Dati!$A$2:$A$451,$AC67),"-")</f>
        <v/>
      </c>
      <c r="AP67" s="22">
        <f>IF(AND($H67&lt;&gt;"",$AD67&lt;&gt;"",$H67&lt;&gt;$AD67,IFERROR(VLOOKUP($H67,areaCercaPuntiClassificaSquadra,3,FALSE),-1)=IFERROR(VLOOKUP($AD67,areaCercaPuntiClassificaSquadra,3,FALSE),-2)),SUMIFS(Dati!$B$2:$B$451,Dati!$A$2:$A$451,$H67,Dati!$H$2:$H$451,$AD67)+SUMIFS(Dati!$I$2:$I$451,Dati!$H$2:$H$451,$H67,Dati!$A$2:$A$451,$AD67),"-")</f>
        <v/>
      </c>
      <c r="AQ67" s="22">
        <f>IF(AND($H67&lt;&gt;"",$AE67&lt;&gt;"",$H67&lt;&gt;$AE67,IFERROR(VLOOKUP($H67,areaCercaPuntiClassificaSquadra,3,FALSE),-1)=IFERROR(VLOOKUP($AE67,areaCercaPuntiClassificaSquadra,3,FALSE),-2)),SUMIFS(Dati!$B$2:$B$451,Dati!$A$2:$A$451,$H67,Dati!$H$2:$H$451,$AE67)+SUMIFS(Dati!$I$2:$I$451,Dati!$H$2:$H$451,$H67,Dati!$A$2:$A$451,$AE67),"-")</f>
        <v/>
      </c>
      <c r="AR67" s="22">
        <f>IF(AND($H67&lt;&gt;"",$AF67&lt;&gt;"",$H67&lt;&gt;$AF67,IFERROR(VLOOKUP($H67,areaCercaPuntiClassificaSquadra,3,FALSE),-1)=IFERROR(VLOOKUP($AF67,areaCercaPuntiClassificaSquadra,3,FALSE),-2)),SUMIFS(Dati!$B$2:$B$451,Dati!$A$2:$A$451,$H67,Dati!$H$2:$H$451,$AF67)+SUMIFS(Dati!$I$2:$I$451,Dati!$H$2:$H$451,$H67,Dati!$A$2:$A$451,$AF67),"-")</f>
        <v/>
      </c>
      <c r="AS67" s="22">
        <f>IF(AND($H67&lt;&gt;"",$AG67&lt;&gt;"",$H67&lt;&gt;$AG67,IFERROR(VLOOKUP($H67,areaCercaPuntiClassificaSquadra,3,FALSE),-1)=IFERROR(VLOOKUP($AG67,areaCercaPuntiClassificaSquadra,3,FALSE),-2)),SUMIFS(Dati!$B$2:$B$451,Dati!$A$2:$A$451,$H67,Dati!$H$2:$H$451,$AG67)+SUMIFS(Dati!$I$2:$I$451,Dati!$H$2:$H$451,$H67,Dati!$A$2:$A$451,$AG67),"-")</f>
        <v/>
      </c>
      <c r="AT67" s="22">
        <f>IF(AND($H67&lt;&gt;"",$AH67&lt;&gt;"",$H67&lt;&gt;$AH67,IFERROR(VLOOKUP($H67,areaCercaPuntiClassificaSquadra,3,FALSE),-1)=IFERROR(VLOOKUP($AH67,areaCercaPuntiClassificaSquadra,3,FALSE),-2)),SUMIFS(Dati!$B$2:$B$451,Dati!$A$2:$A$451,$H67,Dati!$H$2:$H$451,$AH67)+SUMIFS(Dati!$I$2:$I$451,Dati!$H$2:$H$451,$H67,Dati!$A$2:$A$451,$AH67),"-")</f>
        <v/>
      </c>
      <c r="AV67" s="21">
        <f>$C67</f>
        <v/>
      </c>
      <c r="AW67" s="22">
        <f>IF(AND($H67&lt;&gt;"",$Y67&lt;&gt;"",$H67&lt;&gt;$Y67,IFERROR(VLOOKUP($H67,areaCercaPuntiClassificaSquadra,3,FALSE),-1)=IFERROR(VLOOKUP($Y67,areaCercaPuntiClassificaSquadra,3,FALSE),-2)),SUMIFS(Dati!$D$2:$D$451,Dati!$A$2:$A$451,$H67,Dati!$H$2:$H$451,$Y67)+SUMIFS(Dati!$K$2:$K$451,Dati!$H$2:$H$451,$H67,Dati!$A$2:$A$451,$Y67)+SUMIFS(Dati!$C$2:$C$451,Dati!$A$2:$A$451,$H67,Dati!$H$2:$H$451,$Y67)+SUMIFS(Dati!$J$2:$J$451,Dati!$H$2:$H$451,$H67,Dati!$A$2:$A$451,$Y67),"-")</f>
        <v/>
      </c>
      <c r="AX67" s="22">
        <f>IF(AND($H67&lt;&gt;"",$Z67&lt;&gt;"",$H67&lt;&gt;$Z67,IFERROR(VLOOKUP($H67,areaCercaPuntiClassificaSquadra,3,FALSE),-1)=IFERROR(VLOOKUP($Z67,areaCercaPuntiClassificaSquadra,3,FALSE),-2)),SUMIFS(Dati!$D$2:$D$451,Dati!$A$2:$A$451,$H67,Dati!$H$2:$H$451,$Z67)+SUMIFS(Dati!$K$2:$K$451,Dati!$H$2:$H$451,$H67,Dati!$A$2:$A$451,$Z67)+SUMIFS(Dati!$C$2:$C$451,Dati!$A$2:$A$451,$H67,Dati!$H$2:$H$451,$Z67)+SUMIFS(Dati!$J$2:$J$451,Dati!$H$2:$H$451,$H67,Dati!$A$2:$A$451,$Z67),"-")</f>
        <v/>
      </c>
      <c r="AY67" s="22">
        <f>IF(AND($H67&lt;&gt;"",$AA67&lt;&gt;"",$H67&lt;&gt;$AA67,IFERROR(VLOOKUP($H67,areaCercaPuntiClassificaSquadra,3,FALSE),-1)=IFERROR(VLOOKUP($AA67,areaCercaPuntiClassificaSquadra,3,FALSE),-2)),SUMIFS(Dati!$D$2:$D$451,Dati!$A$2:$A$451,$H67,Dati!$H$2:$H$451,$AA67)+SUMIFS(Dati!$K$2:$K$451,Dati!$H$2:$H$451,$H67,Dati!$A$2:$A$451,$AA67)+SUMIFS(Dati!$C$2:$C$451,Dati!$A$2:$A$451,$H67,Dati!$H$2:$H$451,$AA67)+SUMIFS(Dati!$J$2:$J$451,Dati!$H$2:$H$451,$H67,Dati!$A$2:$A$451,$AA67),"-")</f>
        <v/>
      </c>
      <c r="AZ67" s="22">
        <f>IF(AND($H67&lt;&gt;"",$AB67&lt;&gt;"",$H67&lt;&gt;$AB67,IFERROR(VLOOKUP($H67,areaCercaPuntiClassificaSquadra,3,FALSE),-1)=IFERROR(VLOOKUP($AB67,areaCercaPuntiClassificaSquadra,3,FALSE),-2)),SUMIFS(Dati!$D$2:$D$451,Dati!$A$2:$A$451,$H67,Dati!$H$2:$H$451,$AB67)+SUMIFS(Dati!$K$2:$K$451,Dati!$H$2:$H$451,$H67,Dati!$A$2:$A$451,$AB67)+SUMIFS(Dati!$C$2:$C$451,Dati!$A$2:$A$451,$H67,Dati!$H$2:$H$451,$AB67)+SUMIFS(Dati!$J$2:$J$451,Dati!$H$2:$H$451,$H67,Dati!$A$2:$A$451,$AB67),"-")</f>
        <v/>
      </c>
      <c r="BA67" s="22">
        <f>IF(AND($H67&lt;&gt;"",$AC67&lt;&gt;"",$H67&lt;&gt;$AC67,IFERROR(VLOOKUP($H67,areaCercaPuntiClassificaSquadra,3,FALSE),-1)=IFERROR(VLOOKUP($AC67,areaCercaPuntiClassificaSquadra,3,FALSE),-2)),SUMIFS(Dati!$D$2:$D$451,Dati!$A$2:$A$451,$H67,Dati!$H$2:$H$451,$AC67)+SUMIFS(Dati!$K$2:$K$451,Dati!$H$2:$H$451,$H67,Dati!$A$2:$A$451,$AC67)+SUMIFS(Dati!$C$2:$C$451,Dati!$A$2:$A$451,$H67,Dati!$H$2:$H$451,$AC67)+SUMIFS(Dati!$J$2:$J$451,Dati!$H$2:$H$451,$H67,Dati!$A$2:$A$451,$AC67),"-")</f>
        <v/>
      </c>
      <c r="BB67" s="22">
        <f>IF(AND($H67&lt;&gt;"",$AD67&lt;&gt;"",$H67&lt;&gt;$AD67,IFERROR(VLOOKUP($H67,areaCercaPuntiClassificaSquadra,3,FALSE),-1)=IFERROR(VLOOKUP($AD67,areaCercaPuntiClassificaSquadra,3,FALSE),-2)),SUMIFS(Dati!$D$2:$D$451,Dati!$A$2:$A$451,$H67,Dati!$H$2:$H$451,$AD67)+SUMIFS(Dati!$K$2:$K$451,Dati!$H$2:$H$451,$H67,Dati!$A$2:$A$451,$AD67)+SUMIFS(Dati!$C$2:$C$451,Dati!$A$2:$A$451,$H67,Dati!$H$2:$H$451,$AD67)+SUMIFS(Dati!$J$2:$J$451,Dati!$H$2:$H$451,$H67,Dati!$A$2:$A$451,$AD67),"-")</f>
        <v/>
      </c>
      <c r="BC67" s="22">
        <f>IF(AND($H67&lt;&gt;"",$AE67&lt;&gt;"",$H67&lt;&gt;$AE67,IFERROR(VLOOKUP($H67,areaCercaPuntiClassificaSquadra,3,FALSE),-1)=IFERROR(VLOOKUP($AE67,areaCercaPuntiClassificaSquadra,3,FALSE),-2)),SUMIFS(Dati!$D$2:$D$451,Dati!$A$2:$A$451,$H67,Dati!$H$2:$H$451,$AE67)+SUMIFS(Dati!$K$2:$K$451,Dati!$H$2:$H$451,$H67,Dati!$A$2:$A$451,$AE67)+SUMIFS(Dati!$C$2:$C$451,Dati!$A$2:$A$451,$H67,Dati!$H$2:$H$451,$AE67)+SUMIFS(Dati!$J$2:$J$451,Dati!$H$2:$H$451,$H67,Dati!$A$2:$A$451,$AE67),"-")</f>
        <v/>
      </c>
      <c r="BD67" s="22">
        <f>IF(AND($H67&lt;&gt;"",$AF67&lt;&gt;"",$H67&lt;&gt;$AF67,IFERROR(VLOOKUP($H67,areaCercaPuntiClassificaSquadra,3,FALSE),-1)=IFERROR(VLOOKUP($AF67,areaCercaPuntiClassificaSquadra,3,FALSE),-2)),SUMIFS(Dati!$D$2:$D$451,Dati!$A$2:$A$451,$H67,Dati!$H$2:$H$451,$AF67)+SUMIFS(Dati!$K$2:$K$451,Dati!$H$2:$H$451,$H67,Dati!$A$2:$A$451,$AF67)+SUMIFS(Dati!$C$2:$C$451,Dati!$A$2:$A$451,$H67,Dati!$H$2:$H$451,$AF67)+SUMIFS(Dati!$J$2:$J$451,Dati!$H$2:$H$451,$H67,Dati!$A$2:$A$451,$AF67),"-")</f>
        <v/>
      </c>
      <c r="BE67" s="22">
        <f>IF(AND($H67&lt;&gt;"",$AG67&lt;&gt;"",$H67&lt;&gt;$AG67,IFERROR(VLOOKUP($H67,areaCercaPuntiClassificaSquadra,3,FALSE),-1)=IFERROR(VLOOKUP($AG67,areaCercaPuntiClassificaSquadra,3,FALSE),-2)),SUMIFS(Dati!$D$2:$D$451,Dati!$A$2:$A$451,$H67,Dati!$H$2:$H$451,$AG67)+SUMIFS(Dati!$K$2:$K$451,Dati!$H$2:$H$451,$H67,Dati!$A$2:$A$451,$AG67)+SUMIFS(Dati!$C$2:$C$451,Dati!$A$2:$A$451,$H67,Dati!$H$2:$H$451,$AG67)+SUMIFS(Dati!$J$2:$J$451,Dati!$H$2:$H$451,$H67,Dati!$A$2:$A$451,$AG67),"-")</f>
        <v/>
      </c>
      <c r="BF67" s="22">
        <f>IF(AND($H67&lt;&gt;"",$AH67&lt;&gt;"",$H67&lt;&gt;$AH67,IFERROR(VLOOKUP($H67,areaCercaPuntiClassificaSquadra,3,FALSE),-1)=IFERROR(VLOOKUP($AH67,areaCercaPuntiClassificaSquadra,3,FALSE),-2)),SUMIFS(Dati!$D$2:$D$451,Dati!$A$2:$A$451,$H67,Dati!$H$2:$H$451,$AH67)+SUMIFS(Dati!$K$2:$K$451,Dati!$H$2:$H$451,$H67,Dati!$A$2:$A$451,$AH67)+SUMIFS(Dati!$C$2:$C$451,Dati!$A$2:$A$451,$H67,Dati!$H$2:$H$451,$AH67)+SUMIFS(Dati!$J$2:$J$451,Dati!$H$2:$H$451,$H67,Dati!$A$2:$A$451,$AH67),"-")</f>
        <v/>
      </c>
      <c r="BH67" s="21">
        <f>$C67</f>
        <v/>
      </c>
      <c r="BI67" s="22">
        <f>IF(AND($H67&lt;&gt;"",$Y67&lt;&gt;"",$H67&lt;&gt;$Y67,IFERROR(VLOOKUP($H67,areaCercaPuntiClassificaSquadra,3,FALSE),-1)=IFERROR(VLOOKUP($Y67,areaCercaPuntiClassificaSquadra,3,FALSE),-2)),SUMIFS(Dati!$E$2:$E$451,Dati!$A$2:$A$451,$H67,Dati!$H$2:$H$451,$Y67)+SUMIFS(Dati!$L$2:$L$451,Dati!$H$2:$H$451,$H67,Dati!$A$2:$A$451,$Y67),"-")</f>
        <v/>
      </c>
      <c r="BJ67" s="22">
        <f>IF(AND($H67&lt;&gt;"",$Z67&lt;&gt;"",$H67&lt;&gt;$Z67,IFERROR(VLOOKUP($H67,areaCercaPuntiClassificaSquadra,3,FALSE),-1)=IFERROR(VLOOKUP($Z67,areaCercaPuntiClassificaSquadra,3,FALSE),-2)),SUMIFS(Dati!$E$2:$E$451,Dati!$A$2:$A$451,$H67,Dati!$H$2:$H$451,$Z67)+SUMIFS(Dati!$L$2:$L$451,Dati!$H$2:$H$451,$H67,Dati!$A$2:$A$451,$Z67),"-")</f>
        <v/>
      </c>
      <c r="BK67" s="22">
        <f>IF(AND($H67&lt;&gt;"",$AA67&lt;&gt;"",$H67&lt;&gt;$AA67,IFERROR(VLOOKUP($H67,areaCercaPuntiClassificaSquadra,3,FALSE),-1)=IFERROR(VLOOKUP($AA67,areaCercaPuntiClassificaSquadra,3,FALSE),-2)),SUMIFS(Dati!$E$2:$E$451,Dati!$A$2:$A$451,$H67,Dati!$H$2:$H$451,$AA67)+SUMIFS(Dati!$L$2:$L$451,Dati!$H$2:$H$451,$H67,Dati!$A$2:$A$451,$AA67),"-")</f>
        <v/>
      </c>
      <c r="BL67" s="22">
        <f>IF(AND($H67&lt;&gt;"",$AB67&lt;&gt;"",$H67&lt;&gt;$AB67,IFERROR(VLOOKUP($H67,areaCercaPuntiClassificaSquadra,3,FALSE),-1)=IFERROR(VLOOKUP($AB67,areaCercaPuntiClassificaSquadra,3,FALSE),-2)),SUMIFS(Dati!$E$2:$E$451,Dati!$A$2:$A$451,$H67,Dati!$H$2:$H$451,$AB67)+SUMIFS(Dati!$L$2:$L$451,Dati!$H$2:$H$451,$H67,Dati!$A$2:$A$451,$AB67),"-")</f>
        <v/>
      </c>
      <c r="BM67" s="22">
        <f>IF(AND($H67&lt;&gt;"",$AC67&lt;&gt;"",$H67&lt;&gt;$AC67,IFERROR(VLOOKUP($H67,areaCercaPuntiClassificaSquadra,3,FALSE),-1)=IFERROR(VLOOKUP($AC67,areaCercaPuntiClassificaSquadra,3,FALSE),-2)),SUMIFS(Dati!$E$2:$E$451,Dati!$A$2:$A$451,$H67,Dati!$H$2:$H$451,$AC67)+SUMIFS(Dati!$L$2:$L$451,Dati!$H$2:$H$451,$H67,Dati!$A$2:$A$451,$AC67),"-")</f>
        <v/>
      </c>
      <c r="BN67" s="22">
        <f>IF(AND($H67&lt;&gt;"",$AD67&lt;&gt;"",$H67&lt;&gt;$AD67,IFERROR(VLOOKUP($H67,areaCercaPuntiClassificaSquadra,3,FALSE),-1)=IFERROR(VLOOKUP($AD67,areaCercaPuntiClassificaSquadra,3,FALSE),-2)),SUMIFS(Dati!$E$2:$E$451,Dati!$A$2:$A$451,$H67,Dati!$H$2:$H$451,$AD67)+SUMIFS(Dati!$L$2:$L$451,Dati!$H$2:$H$451,$H67,Dati!$A$2:$A$451,$AD67),"-")</f>
        <v/>
      </c>
      <c r="BO67" s="22">
        <f>IF(AND($H67&lt;&gt;"",$AE67&lt;&gt;"",$H67&lt;&gt;$AE67,IFERROR(VLOOKUP($H67,areaCercaPuntiClassificaSquadra,3,FALSE),-1)=IFERROR(VLOOKUP($AE67,areaCercaPuntiClassificaSquadra,3,FALSE),-2)),SUMIFS(Dati!$E$2:$E$451,Dati!$A$2:$A$451,$H67,Dati!$H$2:$H$451,$AE67)+SUMIFS(Dati!$L$2:$L$451,Dati!$H$2:$H$451,$H67,Dati!$A$2:$A$451,$AE67),"-")</f>
        <v/>
      </c>
      <c r="BP67" s="22">
        <f>IF(AND($H67&lt;&gt;"",$AF67&lt;&gt;"",$H67&lt;&gt;$AF67,IFERROR(VLOOKUP($H67,areaCercaPuntiClassificaSquadra,3,FALSE),-1)=IFERROR(VLOOKUP($AF67,areaCercaPuntiClassificaSquadra,3,FALSE),-2)),SUMIFS(Dati!$E$2:$E$451,Dati!$A$2:$A$451,$H67,Dati!$H$2:$H$451,$AF67)+SUMIFS(Dati!$L$2:$L$451,Dati!$H$2:$H$451,$H67,Dati!$A$2:$A$451,$AF67),"-")</f>
        <v/>
      </c>
      <c r="BQ67" s="22">
        <f>IF(AND($H67&lt;&gt;"",$AG67&lt;&gt;"",$H67&lt;&gt;$AG67,IFERROR(VLOOKUP($H67,areaCercaPuntiClassificaSquadra,3,FALSE),-1)=IFERROR(VLOOKUP($AG67,areaCercaPuntiClassificaSquadra,3,FALSE),-2)),SUMIFS(Dati!$E$2:$E$451,Dati!$A$2:$A$451,$H67,Dati!$H$2:$H$451,$AG67)+SUMIFS(Dati!$L$2:$L$451,Dati!$H$2:$H$451,$H67,Dati!$A$2:$A$451,$AG67),"-")</f>
        <v/>
      </c>
      <c r="BR67" s="22">
        <f>IF(AND($H67&lt;&gt;"",$AH67&lt;&gt;"",$H67&lt;&gt;$AH67,IFERROR(VLOOKUP($H67,areaCercaPuntiClassificaSquadra,3,FALSE),-1)=IFERROR(VLOOKUP($AH67,areaCercaPuntiClassificaSquadra,3,FALSE),-2)),SUMIFS(Dati!$E$2:$E$451,Dati!$A$2:$A$451,$H67,Dati!$H$2:$H$451,$AH67)+SUMIFS(Dati!$L$2:$L$451,Dati!$H$2:$H$451,$H67,Dati!$A$2:$A$451,$AH67),"-")</f>
        <v/>
      </c>
      <c r="BT67" s="21">
        <f>$C67</f>
        <v/>
      </c>
      <c r="BU67" s="22">
        <f>IF(AND($H67&lt;&gt;"",$Y67&lt;&gt;"",$H67&lt;&gt;$Y67,IFERROR(VLOOKUP($H67,areaCercaPuntiClassificaSquadra,3,FALSE),-1)=IFERROR(VLOOKUP($Y67,areaCercaPuntiClassificaSquadra,3,FALSE),-2)),SUMIFS(Dati!$F$2:$F$451,Dati!$A$2:$A$451,$H67,Dati!$H$2:$H$451,$Y67)+SUMIFS(Dati!$M$2:$M$451,Dati!$H$2:$H$451,$H67,Dati!$A$2:$A$451,$Y67),"-")</f>
        <v/>
      </c>
      <c r="BV67" s="22">
        <f>IF(AND($H67&lt;&gt;"",$Z67&lt;&gt;"",$H67&lt;&gt;$Z67,IFERROR(VLOOKUP($H67,areaCercaPuntiClassificaSquadra,3,FALSE),-1)=IFERROR(VLOOKUP($Z67,areaCercaPuntiClassificaSquadra,3,FALSE),-2)),SUMIFS(Dati!$F$2:$F$451,Dati!$A$2:$A$451,$H67,Dati!$H$2:$H$451,$Z67)+SUMIFS(Dati!$M$2:$M$451,Dati!$H$2:$H$451,$H67,Dati!$A$2:$A$451,$Z67),"-")</f>
        <v/>
      </c>
      <c r="BW67" s="22">
        <f>IF(AND($H67&lt;&gt;"",$AA67&lt;&gt;"",$H67&lt;&gt;$AA67,IFERROR(VLOOKUP($H67,areaCercaPuntiClassificaSquadra,3,FALSE),-1)=IFERROR(VLOOKUP($AA67,areaCercaPuntiClassificaSquadra,3,FALSE),-2)),SUMIFS(Dati!$F$2:$F$451,Dati!$A$2:$A$451,$H67,Dati!$H$2:$H$451,$AA67)+SUMIFS(Dati!$M$2:$M$451,Dati!$H$2:$H$451,$H67,Dati!$A$2:$A$451,$AA67),"-")</f>
        <v/>
      </c>
      <c r="BX67" s="22">
        <f>IF(AND($H67&lt;&gt;"",$AB67&lt;&gt;"",$H67&lt;&gt;$AB67,IFERROR(VLOOKUP($H67,areaCercaPuntiClassificaSquadra,3,FALSE),-1)=IFERROR(VLOOKUP($AB67,areaCercaPuntiClassificaSquadra,3,FALSE),-2)),SUMIFS(Dati!$F$2:$F$451,Dati!$A$2:$A$451,$H67,Dati!$H$2:$H$451,$AB67)+SUMIFS(Dati!$M$2:$M$451,Dati!$H$2:$H$451,$H67,Dati!$A$2:$A$451,$AB67),"-")</f>
        <v/>
      </c>
      <c r="BY67" s="22">
        <f>IF(AND($H67&lt;&gt;"",$AC67&lt;&gt;"",$H67&lt;&gt;$AC67,IFERROR(VLOOKUP($H67,areaCercaPuntiClassificaSquadra,3,FALSE),-1)=IFERROR(VLOOKUP($AC67,areaCercaPuntiClassificaSquadra,3,FALSE),-2)),SUMIFS(Dati!$F$2:$F$451,Dati!$A$2:$A$451,$H67,Dati!$H$2:$H$451,$AC67)+SUMIFS(Dati!$M$2:$M$451,Dati!$H$2:$H$451,$H67,Dati!$A$2:$A$451,$AC67),"-")</f>
        <v/>
      </c>
      <c r="BZ67" s="22">
        <f>IF(AND($H67&lt;&gt;"",$AD67&lt;&gt;"",$H67&lt;&gt;$AD67,IFERROR(VLOOKUP($H67,areaCercaPuntiClassificaSquadra,3,FALSE),-1)=IFERROR(VLOOKUP($AD67,areaCercaPuntiClassificaSquadra,3,FALSE),-2)),SUMIFS(Dati!$F$2:$F$451,Dati!$A$2:$A$451,$H67,Dati!$H$2:$H$451,$AD67)+SUMIFS(Dati!$M$2:$M$451,Dati!$H$2:$H$451,$H67,Dati!$A$2:$A$451,$AD67),"-")</f>
        <v/>
      </c>
      <c r="CA67" s="22">
        <f>IF(AND($H67&lt;&gt;"",$AE67&lt;&gt;"",$H67&lt;&gt;$AE67,IFERROR(VLOOKUP($H67,areaCercaPuntiClassificaSquadra,3,FALSE),-1)=IFERROR(VLOOKUP($AE67,areaCercaPuntiClassificaSquadra,3,FALSE),-2)),SUMIFS(Dati!$F$2:$F$451,Dati!$A$2:$A$451,$H67,Dati!$H$2:$H$451,$AE67)+SUMIFS(Dati!$M$2:$M$451,Dati!$H$2:$H$451,$H67,Dati!$A$2:$A$451,$AE67),"-")</f>
        <v/>
      </c>
      <c r="CB67" s="22">
        <f>IF(AND($H67&lt;&gt;"",$AF67&lt;&gt;"",$H67&lt;&gt;$AF67,IFERROR(VLOOKUP($H67,areaCercaPuntiClassificaSquadra,3,FALSE),-1)=IFERROR(VLOOKUP($AF67,areaCercaPuntiClassificaSquadra,3,FALSE),-2)),SUMIFS(Dati!$F$2:$F$451,Dati!$A$2:$A$451,$H67,Dati!$H$2:$H$451,$AF67)+SUMIFS(Dati!$M$2:$M$451,Dati!$H$2:$H$451,$H67,Dati!$A$2:$A$451,$AF67),"-")</f>
        <v/>
      </c>
      <c r="CC67" s="22">
        <f>IF(AND($H67&lt;&gt;"",$AG67&lt;&gt;"",$H67&lt;&gt;$AG67,IFERROR(VLOOKUP($H67,areaCercaPuntiClassificaSquadra,3,FALSE),-1)=IFERROR(VLOOKUP($AG67,areaCercaPuntiClassificaSquadra,3,FALSE),-2)),SUMIFS(Dati!$F$2:$F$451,Dati!$A$2:$A$451,$H67,Dati!$H$2:$H$451,$AG67)+SUMIFS(Dati!$M$2:$M$451,Dati!$H$2:$H$451,$H67,Dati!$A$2:$A$451,$AG67),"-")</f>
        <v/>
      </c>
      <c r="CD67" s="22">
        <f>IF(AND($H67&lt;&gt;"",$AH67&lt;&gt;"",$H67&lt;&gt;$AH67,IFERROR(VLOOKUP($H67,areaCercaPuntiClassificaSquadra,3,FALSE),-1)=IFERROR(VLOOKUP($AH67,areaCercaPuntiClassificaSquadra,3,FALSE),-2)),SUMIFS(Dati!$F$2:$F$451,Dati!$A$2:$A$451,$H67,Dati!$H$2:$H$451,$AH67)+SUMIFS(Dati!$M$2:$M$451,Dati!$H$2:$H$451,$H67,Dati!$A$2:$A$451,$AH67),"-")</f>
        <v/>
      </c>
      <c r="CF67" s="22">
        <f>IF($C67="","",SUM(AK67:AT67))</f>
        <v/>
      </c>
    </row>
    <row r="68">
      <c r="B68" s="12" t="inlineStr">
        <is>
          <t>F05</t>
        </is>
      </c>
      <c r="C68" s="13" t="n"/>
      <c r="D68" s="14" t="n"/>
      <c r="E68" s="31" t="inlineStr">
        <is>
          <t>F</t>
        </is>
      </c>
      <c r="G68" s="32">
        <f>IF($C68="","",$E68&amp;(COUNTIFS(I$14:I$113,"&gt;"&amp;I68,E$14:E$113,"="&amp;E68,C$14:C$113,"&lt;&gt;")+COUNTIFS(I$14:I$113,"="&amp;I68,H$14:H$113,"&lt;="&amp;H68,E$14:E$113,"="&amp;E68,C$14:C$113,"&lt;&gt;")))</f>
        <v/>
      </c>
      <c r="H68" s="17">
        <f>IF($C68="","",IFERROR(LEFT($C68,FIND("-",$C68)-1),$C68))</f>
        <v/>
      </c>
      <c r="I68" s="12">
        <f>TEXT(1000000000+J68,"|0000000000|")&amp;TEXT(SUM(AK68:AT68),"0000000000|")&amp;IF(SUM(BU68:CD68)=0,"0000000000|",TEXT(ROUND(SUM(BI68:BR68)/SUM(BU68:CD68),4)*100000,"0000000000|"))&amp;IF(P68=0,"0000000000|",TEXT(ROUND(O68/P68,4)*100000,"0000000000|"))</f>
        <v/>
      </c>
      <c r="J68" s="32">
        <f>L68*constPuntiVittoria+M68*constPuntiSconfitta+N68*constPuntiForfait+IF(D68="",0,D68)</f>
        <v/>
      </c>
      <c r="K68" s="12">
        <f>SUM(L68:N68)</f>
        <v/>
      </c>
      <c r="L68" s="12">
        <f>IF($H68="",0,SUMIF(Dati!$A$2:$A$451,$H68,Dati!$B$2:$B$451)+SUMIF(Dati!$H$2:$H$451,$H68,Dati!$I$2:$I$451))</f>
        <v/>
      </c>
      <c r="M68" s="12">
        <f>IF($H68="",0,SUMIF(Dati!$A$2:$A$451,$H68,Dati!$D$2:$D$451)+SUMIF(Dati!$H$2:$H$451,$H68,Dati!$K$2:$K$451))</f>
        <v/>
      </c>
      <c r="N68" s="12">
        <f>IF($H68="",0,SUMIF(Dati!$A$2:$A$451,$H68,Dati!$C$2:$C$451)+SUMIF(Dati!$H$2:$H$451,$H68,Dati!$J$2:$J$451))</f>
        <v/>
      </c>
      <c r="O68" s="12">
        <f>IF($H68="",0,SUMIF(Dati!$A$2:$A$451,$H68,Dati!$E$2:$E$451)+SUMIF(Dati!$H$2:$H$451,$H68,Dati!$L$2:$L$451))</f>
        <v/>
      </c>
      <c r="P68" s="12">
        <f>IF($H68="",0,SUMIF(Dati!$A$2:$A$451,$H68,Dati!$F$2:$F$451)+SUMIF(Dati!$H$2:$H$451,$H68,Dati!$M$2:$M$451))</f>
        <v/>
      </c>
      <c r="Q68" s="12">
        <f>IF($H68="",0,SUMIF(Dati!$A$2:$A$451,$H68,Dati!$G$2:$G$451)+SUMIF(Dati!$H$2:$H$451,$H68,Dati!$N$2:$N$451))</f>
        <v/>
      </c>
      <c r="R68" s="12">
        <f>IF(K68=0,0,ROUND(O68/K68,2))</f>
        <v/>
      </c>
      <c r="S68" s="12">
        <f>IF(K68=0,0,ROUND(P68/K68,2))</f>
        <v/>
      </c>
      <c r="T68" s="12">
        <f>IF(K68=0,0,ROUND(Q68/K68,2))</f>
        <v/>
      </c>
      <c r="U68" s="12">
        <f>IF(COUNTIFS($E$14:$E$113,$E68,$J$14:$J$113,$J68,$C$14:$C$113,"&lt;&gt;")&lt;=1,"-",SUM(AK68:AT68)&amp;"-"&amp;SUM(AW68:BF68))</f>
        <v/>
      </c>
      <c r="V68" s="18">
        <f>IF(COUNTIFS($E$14:$E$113,$E68,$J$14:$J$113,$J68,$C$14:$C$113,"&lt;&gt;",$CF$14:$CF$113,$CF68)&lt;=1,"-",IF(SUM(BU68:CD68)=0,0,ROUND(SUM(BI68:BR68)/SUM(BU68:CD68),3)))</f>
        <v/>
      </c>
      <c r="W68" s="18">
        <f>IF(COUNTIFS($E$14:$E$113,$E68,$J$14:$J$113,$J68,$C$14:$C$113,"&lt;&gt;",$CF$14:$CF$113,$CF68,$V$14:$V$113,$V68)&lt;=1,"-",IF(P68=0,0,ROUND(O68/P68,3)))</f>
        <v/>
      </c>
      <c r="X68" s="19">
        <f>IF($C68="","",$E68&amp;"#"&amp;COUNTIFS($E$14:$E68,$E68,$C$14:$C68,"&lt;&gt;"))</f>
        <v/>
      </c>
      <c r="Y68" s="20">
        <f>IFERROR(INDEX($H$14:$H$113,MATCH($E68&amp;"#1",$X$14:$X$113,0)),"")</f>
        <v/>
      </c>
      <c r="Z68" s="20">
        <f>IFERROR(INDEX($H$14:$H$113,MATCH($E68&amp;"#2",$X$14:$X$113,0)),"")</f>
        <v/>
      </c>
      <c r="AA68" s="20">
        <f>IFERROR(INDEX($H$14:$H$113,MATCH($E68&amp;"#3",$X$14:$X$113,0)),"")</f>
        <v/>
      </c>
      <c r="AB68" s="20">
        <f>IFERROR(INDEX($H$14:$H$113,MATCH($E68&amp;"#4",$X$14:$X$113,0)),"")</f>
        <v/>
      </c>
      <c r="AC68" s="20">
        <f>IFERROR(INDEX($H$14:$H$113,MATCH($E68&amp;"#5",$X$14:$X$113,0)),"")</f>
        <v/>
      </c>
      <c r="AD68" s="20">
        <f>IFERROR(INDEX($H$14:$H$113,MATCH($E68&amp;"#6",$X$14:$X$113,0)),"")</f>
        <v/>
      </c>
      <c r="AE68" s="20">
        <f>IFERROR(INDEX($H$14:$H$113,MATCH($E68&amp;"#7",$X$14:$X$113,0)),"")</f>
        <v/>
      </c>
      <c r="AF68" s="20">
        <f>IFERROR(INDEX($H$14:$H$113,MATCH($E68&amp;"#8",$X$14:$X$113,0)),"")</f>
        <v/>
      </c>
      <c r="AG68" s="20">
        <f>IFERROR(INDEX($H$14:$H$113,MATCH($E68&amp;"#9",$X$14:$X$113,0)),"")</f>
        <v/>
      </c>
      <c r="AH68" s="20">
        <f>IFERROR(INDEX($H$14:$H$113,MATCH($E68&amp;"#10",$X$14:$X$113,0)),"")</f>
        <v/>
      </c>
      <c r="AJ68" s="21">
        <f>$C68</f>
        <v/>
      </c>
      <c r="AK68" s="22">
        <f>IF(AND($H68&lt;&gt;"",$Y68&lt;&gt;"",$H68&lt;&gt;$Y68,IFERROR(VLOOKUP($H68,areaCercaPuntiClassificaSquadra,3,FALSE),-1)=IFERROR(VLOOKUP($Y68,areaCercaPuntiClassificaSquadra,3,FALSE),-2)),SUMIFS(Dati!$B$2:$B$451,Dati!$A$2:$A$451,$H68,Dati!$H$2:$H$451,$Y68)+SUMIFS(Dati!$I$2:$I$451,Dati!$H$2:$H$451,$H68,Dati!$A$2:$A$451,$Y68),"-")</f>
        <v/>
      </c>
      <c r="AL68" s="22">
        <f>IF(AND($H68&lt;&gt;"",$Z68&lt;&gt;"",$H68&lt;&gt;$Z68,IFERROR(VLOOKUP($H68,areaCercaPuntiClassificaSquadra,3,FALSE),-1)=IFERROR(VLOOKUP($Z68,areaCercaPuntiClassificaSquadra,3,FALSE),-2)),SUMIFS(Dati!$B$2:$B$451,Dati!$A$2:$A$451,$H68,Dati!$H$2:$H$451,$Z68)+SUMIFS(Dati!$I$2:$I$451,Dati!$H$2:$H$451,$H68,Dati!$A$2:$A$451,$Z68),"-")</f>
        <v/>
      </c>
      <c r="AM68" s="22">
        <f>IF(AND($H68&lt;&gt;"",$AA68&lt;&gt;"",$H68&lt;&gt;$AA68,IFERROR(VLOOKUP($H68,areaCercaPuntiClassificaSquadra,3,FALSE),-1)=IFERROR(VLOOKUP($AA68,areaCercaPuntiClassificaSquadra,3,FALSE),-2)),SUMIFS(Dati!$B$2:$B$451,Dati!$A$2:$A$451,$H68,Dati!$H$2:$H$451,$AA68)+SUMIFS(Dati!$I$2:$I$451,Dati!$H$2:$H$451,$H68,Dati!$A$2:$A$451,$AA68),"-")</f>
        <v/>
      </c>
      <c r="AN68" s="22">
        <f>IF(AND($H68&lt;&gt;"",$AB68&lt;&gt;"",$H68&lt;&gt;$AB68,IFERROR(VLOOKUP($H68,areaCercaPuntiClassificaSquadra,3,FALSE),-1)=IFERROR(VLOOKUP($AB68,areaCercaPuntiClassificaSquadra,3,FALSE),-2)),SUMIFS(Dati!$B$2:$B$451,Dati!$A$2:$A$451,$H68,Dati!$H$2:$H$451,$AB68)+SUMIFS(Dati!$I$2:$I$451,Dati!$H$2:$H$451,$H68,Dati!$A$2:$A$451,$AB68),"-")</f>
        <v/>
      </c>
      <c r="AO68" s="22">
        <f>IF(AND($H68&lt;&gt;"",$AC68&lt;&gt;"",$H68&lt;&gt;$AC68,IFERROR(VLOOKUP($H68,areaCercaPuntiClassificaSquadra,3,FALSE),-1)=IFERROR(VLOOKUP($AC68,areaCercaPuntiClassificaSquadra,3,FALSE),-2)),SUMIFS(Dati!$B$2:$B$451,Dati!$A$2:$A$451,$H68,Dati!$H$2:$H$451,$AC68)+SUMIFS(Dati!$I$2:$I$451,Dati!$H$2:$H$451,$H68,Dati!$A$2:$A$451,$AC68),"-")</f>
        <v/>
      </c>
      <c r="AP68" s="22">
        <f>IF(AND($H68&lt;&gt;"",$AD68&lt;&gt;"",$H68&lt;&gt;$AD68,IFERROR(VLOOKUP($H68,areaCercaPuntiClassificaSquadra,3,FALSE),-1)=IFERROR(VLOOKUP($AD68,areaCercaPuntiClassificaSquadra,3,FALSE),-2)),SUMIFS(Dati!$B$2:$B$451,Dati!$A$2:$A$451,$H68,Dati!$H$2:$H$451,$AD68)+SUMIFS(Dati!$I$2:$I$451,Dati!$H$2:$H$451,$H68,Dati!$A$2:$A$451,$AD68),"-")</f>
        <v/>
      </c>
      <c r="AQ68" s="22">
        <f>IF(AND($H68&lt;&gt;"",$AE68&lt;&gt;"",$H68&lt;&gt;$AE68,IFERROR(VLOOKUP($H68,areaCercaPuntiClassificaSquadra,3,FALSE),-1)=IFERROR(VLOOKUP($AE68,areaCercaPuntiClassificaSquadra,3,FALSE),-2)),SUMIFS(Dati!$B$2:$B$451,Dati!$A$2:$A$451,$H68,Dati!$H$2:$H$451,$AE68)+SUMIFS(Dati!$I$2:$I$451,Dati!$H$2:$H$451,$H68,Dati!$A$2:$A$451,$AE68),"-")</f>
        <v/>
      </c>
      <c r="AR68" s="22">
        <f>IF(AND($H68&lt;&gt;"",$AF68&lt;&gt;"",$H68&lt;&gt;$AF68,IFERROR(VLOOKUP($H68,areaCercaPuntiClassificaSquadra,3,FALSE),-1)=IFERROR(VLOOKUP($AF68,areaCercaPuntiClassificaSquadra,3,FALSE),-2)),SUMIFS(Dati!$B$2:$B$451,Dati!$A$2:$A$451,$H68,Dati!$H$2:$H$451,$AF68)+SUMIFS(Dati!$I$2:$I$451,Dati!$H$2:$H$451,$H68,Dati!$A$2:$A$451,$AF68),"-")</f>
        <v/>
      </c>
      <c r="AS68" s="22">
        <f>IF(AND($H68&lt;&gt;"",$AG68&lt;&gt;"",$H68&lt;&gt;$AG68,IFERROR(VLOOKUP($H68,areaCercaPuntiClassificaSquadra,3,FALSE),-1)=IFERROR(VLOOKUP($AG68,areaCercaPuntiClassificaSquadra,3,FALSE),-2)),SUMIFS(Dati!$B$2:$B$451,Dati!$A$2:$A$451,$H68,Dati!$H$2:$H$451,$AG68)+SUMIFS(Dati!$I$2:$I$451,Dati!$H$2:$H$451,$H68,Dati!$A$2:$A$451,$AG68),"-")</f>
        <v/>
      </c>
      <c r="AT68" s="22">
        <f>IF(AND($H68&lt;&gt;"",$AH68&lt;&gt;"",$H68&lt;&gt;$AH68,IFERROR(VLOOKUP($H68,areaCercaPuntiClassificaSquadra,3,FALSE),-1)=IFERROR(VLOOKUP($AH68,areaCercaPuntiClassificaSquadra,3,FALSE),-2)),SUMIFS(Dati!$B$2:$B$451,Dati!$A$2:$A$451,$H68,Dati!$H$2:$H$451,$AH68)+SUMIFS(Dati!$I$2:$I$451,Dati!$H$2:$H$451,$H68,Dati!$A$2:$A$451,$AH68),"-")</f>
        <v/>
      </c>
      <c r="AV68" s="21">
        <f>$C68</f>
        <v/>
      </c>
      <c r="AW68" s="22">
        <f>IF(AND($H68&lt;&gt;"",$Y68&lt;&gt;"",$H68&lt;&gt;$Y68,IFERROR(VLOOKUP($H68,areaCercaPuntiClassificaSquadra,3,FALSE),-1)=IFERROR(VLOOKUP($Y68,areaCercaPuntiClassificaSquadra,3,FALSE),-2)),SUMIFS(Dati!$D$2:$D$451,Dati!$A$2:$A$451,$H68,Dati!$H$2:$H$451,$Y68)+SUMIFS(Dati!$K$2:$K$451,Dati!$H$2:$H$451,$H68,Dati!$A$2:$A$451,$Y68)+SUMIFS(Dati!$C$2:$C$451,Dati!$A$2:$A$451,$H68,Dati!$H$2:$H$451,$Y68)+SUMIFS(Dati!$J$2:$J$451,Dati!$H$2:$H$451,$H68,Dati!$A$2:$A$451,$Y68),"-")</f>
        <v/>
      </c>
      <c r="AX68" s="22">
        <f>IF(AND($H68&lt;&gt;"",$Z68&lt;&gt;"",$H68&lt;&gt;$Z68,IFERROR(VLOOKUP($H68,areaCercaPuntiClassificaSquadra,3,FALSE),-1)=IFERROR(VLOOKUP($Z68,areaCercaPuntiClassificaSquadra,3,FALSE),-2)),SUMIFS(Dati!$D$2:$D$451,Dati!$A$2:$A$451,$H68,Dati!$H$2:$H$451,$Z68)+SUMIFS(Dati!$K$2:$K$451,Dati!$H$2:$H$451,$H68,Dati!$A$2:$A$451,$Z68)+SUMIFS(Dati!$C$2:$C$451,Dati!$A$2:$A$451,$H68,Dati!$H$2:$H$451,$Z68)+SUMIFS(Dati!$J$2:$J$451,Dati!$H$2:$H$451,$H68,Dati!$A$2:$A$451,$Z68),"-")</f>
        <v/>
      </c>
      <c r="AY68" s="22">
        <f>IF(AND($H68&lt;&gt;"",$AA68&lt;&gt;"",$H68&lt;&gt;$AA68,IFERROR(VLOOKUP($H68,areaCercaPuntiClassificaSquadra,3,FALSE),-1)=IFERROR(VLOOKUP($AA68,areaCercaPuntiClassificaSquadra,3,FALSE),-2)),SUMIFS(Dati!$D$2:$D$451,Dati!$A$2:$A$451,$H68,Dati!$H$2:$H$451,$AA68)+SUMIFS(Dati!$K$2:$K$451,Dati!$H$2:$H$451,$H68,Dati!$A$2:$A$451,$AA68)+SUMIFS(Dati!$C$2:$C$451,Dati!$A$2:$A$451,$H68,Dati!$H$2:$H$451,$AA68)+SUMIFS(Dati!$J$2:$J$451,Dati!$H$2:$H$451,$H68,Dati!$A$2:$A$451,$AA68),"-")</f>
        <v/>
      </c>
      <c r="AZ68" s="22">
        <f>IF(AND($H68&lt;&gt;"",$AB68&lt;&gt;"",$H68&lt;&gt;$AB68,IFERROR(VLOOKUP($H68,areaCercaPuntiClassificaSquadra,3,FALSE),-1)=IFERROR(VLOOKUP($AB68,areaCercaPuntiClassificaSquadra,3,FALSE),-2)),SUMIFS(Dati!$D$2:$D$451,Dati!$A$2:$A$451,$H68,Dati!$H$2:$H$451,$AB68)+SUMIFS(Dati!$K$2:$K$451,Dati!$H$2:$H$451,$H68,Dati!$A$2:$A$451,$AB68)+SUMIFS(Dati!$C$2:$C$451,Dati!$A$2:$A$451,$H68,Dati!$H$2:$H$451,$AB68)+SUMIFS(Dati!$J$2:$J$451,Dati!$H$2:$H$451,$H68,Dati!$A$2:$A$451,$AB68),"-")</f>
        <v/>
      </c>
      <c r="BA68" s="22">
        <f>IF(AND($H68&lt;&gt;"",$AC68&lt;&gt;"",$H68&lt;&gt;$AC68,IFERROR(VLOOKUP($H68,areaCercaPuntiClassificaSquadra,3,FALSE),-1)=IFERROR(VLOOKUP($AC68,areaCercaPuntiClassificaSquadra,3,FALSE),-2)),SUMIFS(Dati!$D$2:$D$451,Dati!$A$2:$A$451,$H68,Dati!$H$2:$H$451,$AC68)+SUMIFS(Dati!$K$2:$K$451,Dati!$H$2:$H$451,$H68,Dati!$A$2:$A$451,$AC68)+SUMIFS(Dati!$C$2:$C$451,Dati!$A$2:$A$451,$H68,Dati!$H$2:$H$451,$AC68)+SUMIFS(Dati!$J$2:$J$451,Dati!$H$2:$H$451,$H68,Dati!$A$2:$A$451,$AC68),"-")</f>
        <v/>
      </c>
      <c r="BB68" s="22">
        <f>IF(AND($H68&lt;&gt;"",$AD68&lt;&gt;"",$H68&lt;&gt;$AD68,IFERROR(VLOOKUP($H68,areaCercaPuntiClassificaSquadra,3,FALSE),-1)=IFERROR(VLOOKUP($AD68,areaCercaPuntiClassificaSquadra,3,FALSE),-2)),SUMIFS(Dati!$D$2:$D$451,Dati!$A$2:$A$451,$H68,Dati!$H$2:$H$451,$AD68)+SUMIFS(Dati!$K$2:$K$451,Dati!$H$2:$H$451,$H68,Dati!$A$2:$A$451,$AD68)+SUMIFS(Dati!$C$2:$C$451,Dati!$A$2:$A$451,$H68,Dati!$H$2:$H$451,$AD68)+SUMIFS(Dati!$J$2:$J$451,Dati!$H$2:$H$451,$H68,Dati!$A$2:$A$451,$AD68),"-")</f>
        <v/>
      </c>
      <c r="BC68" s="22">
        <f>IF(AND($H68&lt;&gt;"",$AE68&lt;&gt;"",$H68&lt;&gt;$AE68,IFERROR(VLOOKUP($H68,areaCercaPuntiClassificaSquadra,3,FALSE),-1)=IFERROR(VLOOKUP($AE68,areaCercaPuntiClassificaSquadra,3,FALSE),-2)),SUMIFS(Dati!$D$2:$D$451,Dati!$A$2:$A$451,$H68,Dati!$H$2:$H$451,$AE68)+SUMIFS(Dati!$K$2:$K$451,Dati!$H$2:$H$451,$H68,Dati!$A$2:$A$451,$AE68)+SUMIFS(Dati!$C$2:$C$451,Dati!$A$2:$A$451,$H68,Dati!$H$2:$H$451,$AE68)+SUMIFS(Dati!$J$2:$J$451,Dati!$H$2:$H$451,$H68,Dati!$A$2:$A$451,$AE68),"-")</f>
        <v/>
      </c>
      <c r="BD68" s="22">
        <f>IF(AND($H68&lt;&gt;"",$AF68&lt;&gt;"",$H68&lt;&gt;$AF68,IFERROR(VLOOKUP($H68,areaCercaPuntiClassificaSquadra,3,FALSE),-1)=IFERROR(VLOOKUP($AF68,areaCercaPuntiClassificaSquadra,3,FALSE),-2)),SUMIFS(Dati!$D$2:$D$451,Dati!$A$2:$A$451,$H68,Dati!$H$2:$H$451,$AF68)+SUMIFS(Dati!$K$2:$K$451,Dati!$H$2:$H$451,$H68,Dati!$A$2:$A$451,$AF68)+SUMIFS(Dati!$C$2:$C$451,Dati!$A$2:$A$451,$H68,Dati!$H$2:$H$451,$AF68)+SUMIFS(Dati!$J$2:$J$451,Dati!$H$2:$H$451,$H68,Dati!$A$2:$A$451,$AF68),"-")</f>
        <v/>
      </c>
      <c r="BE68" s="22">
        <f>IF(AND($H68&lt;&gt;"",$AG68&lt;&gt;"",$H68&lt;&gt;$AG68,IFERROR(VLOOKUP($H68,areaCercaPuntiClassificaSquadra,3,FALSE),-1)=IFERROR(VLOOKUP($AG68,areaCercaPuntiClassificaSquadra,3,FALSE),-2)),SUMIFS(Dati!$D$2:$D$451,Dati!$A$2:$A$451,$H68,Dati!$H$2:$H$451,$AG68)+SUMIFS(Dati!$K$2:$K$451,Dati!$H$2:$H$451,$H68,Dati!$A$2:$A$451,$AG68)+SUMIFS(Dati!$C$2:$C$451,Dati!$A$2:$A$451,$H68,Dati!$H$2:$H$451,$AG68)+SUMIFS(Dati!$J$2:$J$451,Dati!$H$2:$H$451,$H68,Dati!$A$2:$A$451,$AG68),"-")</f>
        <v/>
      </c>
      <c r="BF68" s="22">
        <f>IF(AND($H68&lt;&gt;"",$AH68&lt;&gt;"",$H68&lt;&gt;$AH68,IFERROR(VLOOKUP($H68,areaCercaPuntiClassificaSquadra,3,FALSE),-1)=IFERROR(VLOOKUP($AH68,areaCercaPuntiClassificaSquadra,3,FALSE),-2)),SUMIFS(Dati!$D$2:$D$451,Dati!$A$2:$A$451,$H68,Dati!$H$2:$H$451,$AH68)+SUMIFS(Dati!$K$2:$K$451,Dati!$H$2:$H$451,$H68,Dati!$A$2:$A$451,$AH68)+SUMIFS(Dati!$C$2:$C$451,Dati!$A$2:$A$451,$H68,Dati!$H$2:$H$451,$AH68)+SUMIFS(Dati!$J$2:$J$451,Dati!$H$2:$H$451,$H68,Dati!$A$2:$A$451,$AH68),"-")</f>
        <v/>
      </c>
      <c r="BH68" s="21">
        <f>$C68</f>
        <v/>
      </c>
      <c r="BI68" s="22">
        <f>IF(AND($H68&lt;&gt;"",$Y68&lt;&gt;"",$H68&lt;&gt;$Y68,IFERROR(VLOOKUP($H68,areaCercaPuntiClassificaSquadra,3,FALSE),-1)=IFERROR(VLOOKUP($Y68,areaCercaPuntiClassificaSquadra,3,FALSE),-2)),SUMIFS(Dati!$E$2:$E$451,Dati!$A$2:$A$451,$H68,Dati!$H$2:$H$451,$Y68)+SUMIFS(Dati!$L$2:$L$451,Dati!$H$2:$H$451,$H68,Dati!$A$2:$A$451,$Y68),"-")</f>
        <v/>
      </c>
      <c r="BJ68" s="22">
        <f>IF(AND($H68&lt;&gt;"",$Z68&lt;&gt;"",$H68&lt;&gt;$Z68,IFERROR(VLOOKUP($H68,areaCercaPuntiClassificaSquadra,3,FALSE),-1)=IFERROR(VLOOKUP($Z68,areaCercaPuntiClassificaSquadra,3,FALSE),-2)),SUMIFS(Dati!$E$2:$E$451,Dati!$A$2:$A$451,$H68,Dati!$H$2:$H$451,$Z68)+SUMIFS(Dati!$L$2:$L$451,Dati!$H$2:$H$451,$H68,Dati!$A$2:$A$451,$Z68),"-")</f>
        <v/>
      </c>
      <c r="BK68" s="22">
        <f>IF(AND($H68&lt;&gt;"",$AA68&lt;&gt;"",$H68&lt;&gt;$AA68,IFERROR(VLOOKUP($H68,areaCercaPuntiClassificaSquadra,3,FALSE),-1)=IFERROR(VLOOKUP($AA68,areaCercaPuntiClassificaSquadra,3,FALSE),-2)),SUMIFS(Dati!$E$2:$E$451,Dati!$A$2:$A$451,$H68,Dati!$H$2:$H$451,$AA68)+SUMIFS(Dati!$L$2:$L$451,Dati!$H$2:$H$451,$H68,Dati!$A$2:$A$451,$AA68),"-")</f>
        <v/>
      </c>
      <c r="BL68" s="22">
        <f>IF(AND($H68&lt;&gt;"",$AB68&lt;&gt;"",$H68&lt;&gt;$AB68,IFERROR(VLOOKUP($H68,areaCercaPuntiClassificaSquadra,3,FALSE),-1)=IFERROR(VLOOKUP($AB68,areaCercaPuntiClassificaSquadra,3,FALSE),-2)),SUMIFS(Dati!$E$2:$E$451,Dati!$A$2:$A$451,$H68,Dati!$H$2:$H$451,$AB68)+SUMIFS(Dati!$L$2:$L$451,Dati!$H$2:$H$451,$H68,Dati!$A$2:$A$451,$AB68),"-")</f>
        <v/>
      </c>
      <c r="BM68" s="22">
        <f>IF(AND($H68&lt;&gt;"",$AC68&lt;&gt;"",$H68&lt;&gt;$AC68,IFERROR(VLOOKUP($H68,areaCercaPuntiClassificaSquadra,3,FALSE),-1)=IFERROR(VLOOKUP($AC68,areaCercaPuntiClassificaSquadra,3,FALSE),-2)),SUMIFS(Dati!$E$2:$E$451,Dati!$A$2:$A$451,$H68,Dati!$H$2:$H$451,$AC68)+SUMIFS(Dati!$L$2:$L$451,Dati!$H$2:$H$451,$H68,Dati!$A$2:$A$451,$AC68),"-")</f>
        <v/>
      </c>
      <c r="BN68" s="22">
        <f>IF(AND($H68&lt;&gt;"",$AD68&lt;&gt;"",$H68&lt;&gt;$AD68,IFERROR(VLOOKUP($H68,areaCercaPuntiClassificaSquadra,3,FALSE),-1)=IFERROR(VLOOKUP($AD68,areaCercaPuntiClassificaSquadra,3,FALSE),-2)),SUMIFS(Dati!$E$2:$E$451,Dati!$A$2:$A$451,$H68,Dati!$H$2:$H$451,$AD68)+SUMIFS(Dati!$L$2:$L$451,Dati!$H$2:$H$451,$H68,Dati!$A$2:$A$451,$AD68),"-")</f>
        <v/>
      </c>
      <c r="BO68" s="22">
        <f>IF(AND($H68&lt;&gt;"",$AE68&lt;&gt;"",$H68&lt;&gt;$AE68,IFERROR(VLOOKUP($H68,areaCercaPuntiClassificaSquadra,3,FALSE),-1)=IFERROR(VLOOKUP($AE68,areaCercaPuntiClassificaSquadra,3,FALSE),-2)),SUMIFS(Dati!$E$2:$E$451,Dati!$A$2:$A$451,$H68,Dati!$H$2:$H$451,$AE68)+SUMIFS(Dati!$L$2:$L$451,Dati!$H$2:$H$451,$H68,Dati!$A$2:$A$451,$AE68),"-")</f>
        <v/>
      </c>
      <c r="BP68" s="22">
        <f>IF(AND($H68&lt;&gt;"",$AF68&lt;&gt;"",$H68&lt;&gt;$AF68,IFERROR(VLOOKUP($H68,areaCercaPuntiClassificaSquadra,3,FALSE),-1)=IFERROR(VLOOKUP($AF68,areaCercaPuntiClassificaSquadra,3,FALSE),-2)),SUMIFS(Dati!$E$2:$E$451,Dati!$A$2:$A$451,$H68,Dati!$H$2:$H$451,$AF68)+SUMIFS(Dati!$L$2:$L$451,Dati!$H$2:$H$451,$H68,Dati!$A$2:$A$451,$AF68),"-")</f>
        <v/>
      </c>
      <c r="BQ68" s="22">
        <f>IF(AND($H68&lt;&gt;"",$AG68&lt;&gt;"",$H68&lt;&gt;$AG68,IFERROR(VLOOKUP($H68,areaCercaPuntiClassificaSquadra,3,FALSE),-1)=IFERROR(VLOOKUP($AG68,areaCercaPuntiClassificaSquadra,3,FALSE),-2)),SUMIFS(Dati!$E$2:$E$451,Dati!$A$2:$A$451,$H68,Dati!$H$2:$H$451,$AG68)+SUMIFS(Dati!$L$2:$L$451,Dati!$H$2:$H$451,$H68,Dati!$A$2:$A$451,$AG68),"-")</f>
        <v/>
      </c>
      <c r="BR68" s="22">
        <f>IF(AND($H68&lt;&gt;"",$AH68&lt;&gt;"",$H68&lt;&gt;$AH68,IFERROR(VLOOKUP($H68,areaCercaPuntiClassificaSquadra,3,FALSE),-1)=IFERROR(VLOOKUP($AH68,areaCercaPuntiClassificaSquadra,3,FALSE),-2)),SUMIFS(Dati!$E$2:$E$451,Dati!$A$2:$A$451,$H68,Dati!$H$2:$H$451,$AH68)+SUMIFS(Dati!$L$2:$L$451,Dati!$H$2:$H$451,$H68,Dati!$A$2:$A$451,$AH68),"-")</f>
        <v/>
      </c>
      <c r="BT68" s="21">
        <f>$C68</f>
        <v/>
      </c>
      <c r="BU68" s="22">
        <f>IF(AND($H68&lt;&gt;"",$Y68&lt;&gt;"",$H68&lt;&gt;$Y68,IFERROR(VLOOKUP($H68,areaCercaPuntiClassificaSquadra,3,FALSE),-1)=IFERROR(VLOOKUP($Y68,areaCercaPuntiClassificaSquadra,3,FALSE),-2)),SUMIFS(Dati!$F$2:$F$451,Dati!$A$2:$A$451,$H68,Dati!$H$2:$H$451,$Y68)+SUMIFS(Dati!$M$2:$M$451,Dati!$H$2:$H$451,$H68,Dati!$A$2:$A$451,$Y68),"-")</f>
        <v/>
      </c>
      <c r="BV68" s="22">
        <f>IF(AND($H68&lt;&gt;"",$Z68&lt;&gt;"",$H68&lt;&gt;$Z68,IFERROR(VLOOKUP($H68,areaCercaPuntiClassificaSquadra,3,FALSE),-1)=IFERROR(VLOOKUP($Z68,areaCercaPuntiClassificaSquadra,3,FALSE),-2)),SUMIFS(Dati!$F$2:$F$451,Dati!$A$2:$A$451,$H68,Dati!$H$2:$H$451,$Z68)+SUMIFS(Dati!$M$2:$M$451,Dati!$H$2:$H$451,$H68,Dati!$A$2:$A$451,$Z68),"-")</f>
        <v/>
      </c>
      <c r="BW68" s="22">
        <f>IF(AND($H68&lt;&gt;"",$AA68&lt;&gt;"",$H68&lt;&gt;$AA68,IFERROR(VLOOKUP($H68,areaCercaPuntiClassificaSquadra,3,FALSE),-1)=IFERROR(VLOOKUP($AA68,areaCercaPuntiClassificaSquadra,3,FALSE),-2)),SUMIFS(Dati!$F$2:$F$451,Dati!$A$2:$A$451,$H68,Dati!$H$2:$H$451,$AA68)+SUMIFS(Dati!$M$2:$M$451,Dati!$H$2:$H$451,$H68,Dati!$A$2:$A$451,$AA68),"-")</f>
        <v/>
      </c>
      <c r="BX68" s="22">
        <f>IF(AND($H68&lt;&gt;"",$AB68&lt;&gt;"",$H68&lt;&gt;$AB68,IFERROR(VLOOKUP($H68,areaCercaPuntiClassificaSquadra,3,FALSE),-1)=IFERROR(VLOOKUP($AB68,areaCercaPuntiClassificaSquadra,3,FALSE),-2)),SUMIFS(Dati!$F$2:$F$451,Dati!$A$2:$A$451,$H68,Dati!$H$2:$H$451,$AB68)+SUMIFS(Dati!$M$2:$M$451,Dati!$H$2:$H$451,$H68,Dati!$A$2:$A$451,$AB68),"-")</f>
        <v/>
      </c>
      <c r="BY68" s="22">
        <f>IF(AND($H68&lt;&gt;"",$AC68&lt;&gt;"",$H68&lt;&gt;$AC68,IFERROR(VLOOKUP($H68,areaCercaPuntiClassificaSquadra,3,FALSE),-1)=IFERROR(VLOOKUP($AC68,areaCercaPuntiClassificaSquadra,3,FALSE),-2)),SUMIFS(Dati!$F$2:$F$451,Dati!$A$2:$A$451,$H68,Dati!$H$2:$H$451,$AC68)+SUMIFS(Dati!$M$2:$M$451,Dati!$H$2:$H$451,$H68,Dati!$A$2:$A$451,$AC68),"-")</f>
        <v/>
      </c>
      <c r="BZ68" s="22">
        <f>IF(AND($H68&lt;&gt;"",$AD68&lt;&gt;"",$H68&lt;&gt;$AD68,IFERROR(VLOOKUP($H68,areaCercaPuntiClassificaSquadra,3,FALSE),-1)=IFERROR(VLOOKUP($AD68,areaCercaPuntiClassificaSquadra,3,FALSE),-2)),SUMIFS(Dati!$F$2:$F$451,Dati!$A$2:$A$451,$H68,Dati!$H$2:$H$451,$AD68)+SUMIFS(Dati!$M$2:$M$451,Dati!$H$2:$H$451,$H68,Dati!$A$2:$A$451,$AD68),"-")</f>
        <v/>
      </c>
      <c r="CA68" s="22">
        <f>IF(AND($H68&lt;&gt;"",$AE68&lt;&gt;"",$H68&lt;&gt;$AE68,IFERROR(VLOOKUP($H68,areaCercaPuntiClassificaSquadra,3,FALSE),-1)=IFERROR(VLOOKUP($AE68,areaCercaPuntiClassificaSquadra,3,FALSE),-2)),SUMIFS(Dati!$F$2:$F$451,Dati!$A$2:$A$451,$H68,Dati!$H$2:$H$451,$AE68)+SUMIFS(Dati!$M$2:$M$451,Dati!$H$2:$H$451,$H68,Dati!$A$2:$A$451,$AE68),"-")</f>
        <v/>
      </c>
      <c r="CB68" s="22">
        <f>IF(AND($H68&lt;&gt;"",$AF68&lt;&gt;"",$H68&lt;&gt;$AF68,IFERROR(VLOOKUP($H68,areaCercaPuntiClassificaSquadra,3,FALSE),-1)=IFERROR(VLOOKUP($AF68,areaCercaPuntiClassificaSquadra,3,FALSE),-2)),SUMIFS(Dati!$F$2:$F$451,Dati!$A$2:$A$451,$H68,Dati!$H$2:$H$451,$AF68)+SUMIFS(Dati!$M$2:$M$451,Dati!$H$2:$H$451,$H68,Dati!$A$2:$A$451,$AF68),"-")</f>
        <v/>
      </c>
      <c r="CC68" s="22">
        <f>IF(AND($H68&lt;&gt;"",$AG68&lt;&gt;"",$H68&lt;&gt;$AG68,IFERROR(VLOOKUP($H68,areaCercaPuntiClassificaSquadra,3,FALSE),-1)=IFERROR(VLOOKUP($AG68,areaCercaPuntiClassificaSquadra,3,FALSE),-2)),SUMIFS(Dati!$F$2:$F$451,Dati!$A$2:$A$451,$H68,Dati!$H$2:$H$451,$AG68)+SUMIFS(Dati!$M$2:$M$451,Dati!$H$2:$H$451,$H68,Dati!$A$2:$A$451,$AG68),"-")</f>
        <v/>
      </c>
      <c r="CD68" s="22">
        <f>IF(AND($H68&lt;&gt;"",$AH68&lt;&gt;"",$H68&lt;&gt;$AH68,IFERROR(VLOOKUP($H68,areaCercaPuntiClassificaSquadra,3,FALSE),-1)=IFERROR(VLOOKUP($AH68,areaCercaPuntiClassificaSquadra,3,FALSE),-2)),SUMIFS(Dati!$F$2:$F$451,Dati!$A$2:$A$451,$H68,Dati!$H$2:$H$451,$AH68)+SUMIFS(Dati!$M$2:$M$451,Dati!$H$2:$H$451,$H68,Dati!$A$2:$A$451,$AH68),"-")</f>
        <v/>
      </c>
      <c r="CF68" s="22">
        <f>IF($C68="","",SUM(AK68:AT68))</f>
        <v/>
      </c>
    </row>
    <row r="69">
      <c r="B69" s="12" t="inlineStr">
        <is>
          <t>F06</t>
        </is>
      </c>
      <c r="C69" s="13" t="n"/>
      <c r="D69" s="14" t="n"/>
      <c r="E69" s="31" t="inlineStr">
        <is>
          <t>F</t>
        </is>
      </c>
      <c r="G69" s="32">
        <f>IF($C69="","",$E69&amp;(COUNTIFS(I$14:I$113,"&gt;"&amp;I69,E$14:E$113,"="&amp;E69,C$14:C$113,"&lt;&gt;")+COUNTIFS(I$14:I$113,"="&amp;I69,H$14:H$113,"&lt;="&amp;H69,E$14:E$113,"="&amp;E69,C$14:C$113,"&lt;&gt;")))</f>
        <v/>
      </c>
      <c r="H69" s="17">
        <f>IF($C69="","",IFERROR(LEFT($C69,FIND("-",$C69)-1),$C69))</f>
        <v/>
      </c>
      <c r="I69" s="12">
        <f>TEXT(1000000000+J69,"|0000000000|")&amp;TEXT(SUM(AK69:AT69),"0000000000|")&amp;IF(SUM(BU69:CD69)=0,"0000000000|",TEXT(ROUND(SUM(BI69:BR69)/SUM(BU69:CD69),4)*100000,"0000000000|"))&amp;IF(P69=0,"0000000000|",TEXT(ROUND(O69/P69,4)*100000,"0000000000|"))</f>
        <v/>
      </c>
      <c r="J69" s="32">
        <f>L69*constPuntiVittoria+M69*constPuntiSconfitta+N69*constPuntiForfait+IF(D69="",0,D69)</f>
        <v/>
      </c>
      <c r="K69" s="12">
        <f>SUM(L69:N69)</f>
        <v/>
      </c>
      <c r="L69" s="12">
        <f>IF($H69="",0,SUMIF(Dati!$A$2:$A$451,$H69,Dati!$B$2:$B$451)+SUMIF(Dati!$H$2:$H$451,$H69,Dati!$I$2:$I$451))</f>
        <v/>
      </c>
      <c r="M69" s="12">
        <f>IF($H69="",0,SUMIF(Dati!$A$2:$A$451,$H69,Dati!$D$2:$D$451)+SUMIF(Dati!$H$2:$H$451,$H69,Dati!$K$2:$K$451))</f>
        <v/>
      </c>
      <c r="N69" s="12">
        <f>IF($H69="",0,SUMIF(Dati!$A$2:$A$451,$H69,Dati!$C$2:$C$451)+SUMIF(Dati!$H$2:$H$451,$H69,Dati!$J$2:$J$451))</f>
        <v/>
      </c>
      <c r="O69" s="12">
        <f>IF($H69="",0,SUMIF(Dati!$A$2:$A$451,$H69,Dati!$E$2:$E$451)+SUMIF(Dati!$H$2:$H$451,$H69,Dati!$L$2:$L$451))</f>
        <v/>
      </c>
      <c r="P69" s="12">
        <f>IF($H69="",0,SUMIF(Dati!$A$2:$A$451,$H69,Dati!$F$2:$F$451)+SUMIF(Dati!$H$2:$H$451,$H69,Dati!$M$2:$M$451))</f>
        <v/>
      </c>
      <c r="Q69" s="12">
        <f>IF($H69="",0,SUMIF(Dati!$A$2:$A$451,$H69,Dati!$G$2:$G$451)+SUMIF(Dati!$H$2:$H$451,$H69,Dati!$N$2:$N$451))</f>
        <v/>
      </c>
      <c r="R69" s="12">
        <f>IF(K69=0,0,ROUND(O69/K69,2))</f>
        <v/>
      </c>
      <c r="S69" s="12">
        <f>IF(K69=0,0,ROUND(P69/K69,2))</f>
        <v/>
      </c>
      <c r="T69" s="12">
        <f>IF(K69=0,0,ROUND(Q69/K69,2))</f>
        <v/>
      </c>
      <c r="U69" s="12">
        <f>IF(COUNTIFS($E$14:$E$113,$E69,$J$14:$J$113,$J69,$C$14:$C$113,"&lt;&gt;")&lt;=1,"-",SUM(AK69:AT69)&amp;"-"&amp;SUM(AW69:BF69))</f>
        <v/>
      </c>
      <c r="V69" s="18">
        <f>IF(COUNTIFS($E$14:$E$113,$E69,$J$14:$J$113,$J69,$C$14:$C$113,"&lt;&gt;",$CF$14:$CF$113,$CF69)&lt;=1,"-",IF(SUM(BU69:CD69)=0,0,ROUND(SUM(BI69:BR69)/SUM(BU69:CD69),3)))</f>
        <v/>
      </c>
      <c r="W69" s="18">
        <f>IF(COUNTIFS($E$14:$E$113,$E69,$J$14:$J$113,$J69,$C$14:$C$113,"&lt;&gt;",$CF$14:$CF$113,$CF69,$V$14:$V$113,$V69)&lt;=1,"-",IF(P69=0,0,ROUND(O69/P69,3)))</f>
        <v/>
      </c>
      <c r="X69" s="19">
        <f>IF($C69="","",$E69&amp;"#"&amp;COUNTIFS($E$14:$E69,$E69,$C$14:$C69,"&lt;&gt;"))</f>
        <v/>
      </c>
      <c r="Y69" s="20">
        <f>IFERROR(INDEX($H$14:$H$113,MATCH($E69&amp;"#1",$X$14:$X$113,0)),"")</f>
        <v/>
      </c>
      <c r="Z69" s="20">
        <f>IFERROR(INDEX($H$14:$H$113,MATCH($E69&amp;"#2",$X$14:$X$113,0)),"")</f>
        <v/>
      </c>
      <c r="AA69" s="20">
        <f>IFERROR(INDEX($H$14:$H$113,MATCH($E69&amp;"#3",$X$14:$X$113,0)),"")</f>
        <v/>
      </c>
      <c r="AB69" s="20">
        <f>IFERROR(INDEX($H$14:$H$113,MATCH($E69&amp;"#4",$X$14:$X$113,0)),"")</f>
        <v/>
      </c>
      <c r="AC69" s="20">
        <f>IFERROR(INDEX($H$14:$H$113,MATCH($E69&amp;"#5",$X$14:$X$113,0)),"")</f>
        <v/>
      </c>
      <c r="AD69" s="20">
        <f>IFERROR(INDEX($H$14:$H$113,MATCH($E69&amp;"#6",$X$14:$X$113,0)),"")</f>
        <v/>
      </c>
      <c r="AE69" s="20">
        <f>IFERROR(INDEX($H$14:$H$113,MATCH($E69&amp;"#7",$X$14:$X$113,0)),"")</f>
        <v/>
      </c>
      <c r="AF69" s="20">
        <f>IFERROR(INDEX($H$14:$H$113,MATCH($E69&amp;"#8",$X$14:$X$113,0)),"")</f>
        <v/>
      </c>
      <c r="AG69" s="20">
        <f>IFERROR(INDEX($H$14:$H$113,MATCH($E69&amp;"#9",$X$14:$X$113,0)),"")</f>
        <v/>
      </c>
      <c r="AH69" s="20">
        <f>IFERROR(INDEX($H$14:$H$113,MATCH($E69&amp;"#10",$X$14:$X$113,0)),"")</f>
        <v/>
      </c>
      <c r="AJ69" s="21">
        <f>$C69</f>
        <v/>
      </c>
      <c r="AK69" s="22">
        <f>IF(AND($H69&lt;&gt;"",$Y69&lt;&gt;"",$H69&lt;&gt;$Y69,IFERROR(VLOOKUP($H69,areaCercaPuntiClassificaSquadra,3,FALSE),-1)=IFERROR(VLOOKUP($Y69,areaCercaPuntiClassificaSquadra,3,FALSE),-2)),SUMIFS(Dati!$B$2:$B$451,Dati!$A$2:$A$451,$H69,Dati!$H$2:$H$451,$Y69)+SUMIFS(Dati!$I$2:$I$451,Dati!$H$2:$H$451,$H69,Dati!$A$2:$A$451,$Y69),"-")</f>
        <v/>
      </c>
      <c r="AL69" s="22">
        <f>IF(AND($H69&lt;&gt;"",$Z69&lt;&gt;"",$H69&lt;&gt;$Z69,IFERROR(VLOOKUP($H69,areaCercaPuntiClassificaSquadra,3,FALSE),-1)=IFERROR(VLOOKUP($Z69,areaCercaPuntiClassificaSquadra,3,FALSE),-2)),SUMIFS(Dati!$B$2:$B$451,Dati!$A$2:$A$451,$H69,Dati!$H$2:$H$451,$Z69)+SUMIFS(Dati!$I$2:$I$451,Dati!$H$2:$H$451,$H69,Dati!$A$2:$A$451,$Z69),"-")</f>
        <v/>
      </c>
      <c r="AM69" s="22">
        <f>IF(AND($H69&lt;&gt;"",$AA69&lt;&gt;"",$H69&lt;&gt;$AA69,IFERROR(VLOOKUP($H69,areaCercaPuntiClassificaSquadra,3,FALSE),-1)=IFERROR(VLOOKUP($AA69,areaCercaPuntiClassificaSquadra,3,FALSE),-2)),SUMIFS(Dati!$B$2:$B$451,Dati!$A$2:$A$451,$H69,Dati!$H$2:$H$451,$AA69)+SUMIFS(Dati!$I$2:$I$451,Dati!$H$2:$H$451,$H69,Dati!$A$2:$A$451,$AA69),"-")</f>
        <v/>
      </c>
      <c r="AN69" s="22">
        <f>IF(AND($H69&lt;&gt;"",$AB69&lt;&gt;"",$H69&lt;&gt;$AB69,IFERROR(VLOOKUP($H69,areaCercaPuntiClassificaSquadra,3,FALSE),-1)=IFERROR(VLOOKUP($AB69,areaCercaPuntiClassificaSquadra,3,FALSE),-2)),SUMIFS(Dati!$B$2:$B$451,Dati!$A$2:$A$451,$H69,Dati!$H$2:$H$451,$AB69)+SUMIFS(Dati!$I$2:$I$451,Dati!$H$2:$H$451,$H69,Dati!$A$2:$A$451,$AB69),"-")</f>
        <v/>
      </c>
      <c r="AO69" s="22">
        <f>IF(AND($H69&lt;&gt;"",$AC69&lt;&gt;"",$H69&lt;&gt;$AC69,IFERROR(VLOOKUP($H69,areaCercaPuntiClassificaSquadra,3,FALSE),-1)=IFERROR(VLOOKUP($AC69,areaCercaPuntiClassificaSquadra,3,FALSE),-2)),SUMIFS(Dati!$B$2:$B$451,Dati!$A$2:$A$451,$H69,Dati!$H$2:$H$451,$AC69)+SUMIFS(Dati!$I$2:$I$451,Dati!$H$2:$H$451,$H69,Dati!$A$2:$A$451,$AC69),"-")</f>
        <v/>
      </c>
      <c r="AP69" s="22">
        <f>IF(AND($H69&lt;&gt;"",$AD69&lt;&gt;"",$H69&lt;&gt;$AD69,IFERROR(VLOOKUP($H69,areaCercaPuntiClassificaSquadra,3,FALSE),-1)=IFERROR(VLOOKUP($AD69,areaCercaPuntiClassificaSquadra,3,FALSE),-2)),SUMIFS(Dati!$B$2:$B$451,Dati!$A$2:$A$451,$H69,Dati!$H$2:$H$451,$AD69)+SUMIFS(Dati!$I$2:$I$451,Dati!$H$2:$H$451,$H69,Dati!$A$2:$A$451,$AD69),"-")</f>
        <v/>
      </c>
      <c r="AQ69" s="22">
        <f>IF(AND($H69&lt;&gt;"",$AE69&lt;&gt;"",$H69&lt;&gt;$AE69,IFERROR(VLOOKUP($H69,areaCercaPuntiClassificaSquadra,3,FALSE),-1)=IFERROR(VLOOKUP($AE69,areaCercaPuntiClassificaSquadra,3,FALSE),-2)),SUMIFS(Dati!$B$2:$B$451,Dati!$A$2:$A$451,$H69,Dati!$H$2:$H$451,$AE69)+SUMIFS(Dati!$I$2:$I$451,Dati!$H$2:$H$451,$H69,Dati!$A$2:$A$451,$AE69),"-")</f>
        <v/>
      </c>
      <c r="AR69" s="22">
        <f>IF(AND($H69&lt;&gt;"",$AF69&lt;&gt;"",$H69&lt;&gt;$AF69,IFERROR(VLOOKUP($H69,areaCercaPuntiClassificaSquadra,3,FALSE),-1)=IFERROR(VLOOKUP($AF69,areaCercaPuntiClassificaSquadra,3,FALSE),-2)),SUMIFS(Dati!$B$2:$B$451,Dati!$A$2:$A$451,$H69,Dati!$H$2:$H$451,$AF69)+SUMIFS(Dati!$I$2:$I$451,Dati!$H$2:$H$451,$H69,Dati!$A$2:$A$451,$AF69),"-")</f>
        <v/>
      </c>
      <c r="AS69" s="22">
        <f>IF(AND($H69&lt;&gt;"",$AG69&lt;&gt;"",$H69&lt;&gt;$AG69,IFERROR(VLOOKUP($H69,areaCercaPuntiClassificaSquadra,3,FALSE),-1)=IFERROR(VLOOKUP($AG69,areaCercaPuntiClassificaSquadra,3,FALSE),-2)),SUMIFS(Dati!$B$2:$B$451,Dati!$A$2:$A$451,$H69,Dati!$H$2:$H$451,$AG69)+SUMIFS(Dati!$I$2:$I$451,Dati!$H$2:$H$451,$H69,Dati!$A$2:$A$451,$AG69),"-")</f>
        <v/>
      </c>
      <c r="AT69" s="22">
        <f>IF(AND($H69&lt;&gt;"",$AH69&lt;&gt;"",$H69&lt;&gt;$AH69,IFERROR(VLOOKUP($H69,areaCercaPuntiClassificaSquadra,3,FALSE),-1)=IFERROR(VLOOKUP($AH69,areaCercaPuntiClassificaSquadra,3,FALSE),-2)),SUMIFS(Dati!$B$2:$B$451,Dati!$A$2:$A$451,$H69,Dati!$H$2:$H$451,$AH69)+SUMIFS(Dati!$I$2:$I$451,Dati!$H$2:$H$451,$H69,Dati!$A$2:$A$451,$AH69),"-")</f>
        <v/>
      </c>
      <c r="AV69" s="21">
        <f>$C69</f>
        <v/>
      </c>
      <c r="AW69" s="22">
        <f>IF(AND($H69&lt;&gt;"",$Y69&lt;&gt;"",$H69&lt;&gt;$Y69,IFERROR(VLOOKUP($H69,areaCercaPuntiClassificaSquadra,3,FALSE),-1)=IFERROR(VLOOKUP($Y69,areaCercaPuntiClassificaSquadra,3,FALSE),-2)),SUMIFS(Dati!$D$2:$D$451,Dati!$A$2:$A$451,$H69,Dati!$H$2:$H$451,$Y69)+SUMIFS(Dati!$K$2:$K$451,Dati!$H$2:$H$451,$H69,Dati!$A$2:$A$451,$Y69)+SUMIFS(Dati!$C$2:$C$451,Dati!$A$2:$A$451,$H69,Dati!$H$2:$H$451,$Y69)+SUMIFS(Dati!$J$2:$J$451,Dati!$H$2:$H$451,$H69,Dati!$A$2:$A$451,$Y69),"-")</f>
        <v/>
      </c>
      <c r="AX69" s="22">
        <f>IF(AND($H69&lt;&gt;"",$Z69&lt;&gt;"",$H69&lt;&gt;$Z69,IFERROR(VLOOKUP($H69,areaCercaPuntiClassificaSquadra,3,FALSE),-1)=IFERROR(VLOOKUP($Z69,areaCercaPuntiClassificaSquadra,3,FALSE),-2)),SUMIFS(Dati!$D$2:$D$451,Dati!$A$2:$A$451,$H69,Dati!$H$2:$H$451,$Z69)+SUMIFS(Dati!$K$2:$K$451,Dati!$H$2:$H$451,$H69,Dati!$A$2:$A$451,$Z69)+SUMIFS(Dati!$C$2:$C$451,Dati!$A$2:$A$451,$H69,Dati!$H$2:$H$451,$Z69)+SUMIFS(Dati!$J$2:$J$451,Dati!$H$2:$H$451,$H69,Dati!$A$2:$A$451,$Z69),"-")</f>
        <v/>
      </c>
      <c r="AY69" s="22">
        <f>IF(AND($H69&lt;&gt;"",$AA69&lt;&gt;"",$H69&lt;&gt;$AA69,IFERROR(VLOOKUP($H69,areaCercaPuntiClassificaSquadra,3,FALSE),-1)=IFERROR(VLOOKUP($AA69,areaCercaPuntiClassificaSquadra,3,FALSE),-2)),SUMIFS(Dati!$D$2:$D$451,Dati!$A$2:$A$451,$H69,Dati!$H$2:$H$451,$AA69)+SUMIFS(Dati!$K$2:$K$451,Dati!$H$2:$H$451,$H69,Dati!$A$2:$A$451,$AA69)+SUMIFS(Dati!$C$2:$C$451,Dati!$A$2:$A$451,$H69,Dati!$H$2:$H$451,$AA69)+SUMIFS(Dati!$J$2:$J$451,Dati!$H$2:$H$451,$H69,Dati!$A$2:$A$451,$AA69),"-")</f>
        <v/>
      </c>
      <c r="AZ69" s="22">
        <f>IF(AND($H69&lt;&gt;"",$AB69&lt;&gt;"",$H69&lt;&gt;$AB69,IFERROR(VLOOKUP($H69,areaCercaPuntiClassificaSquadra,3,FALSE),-1)=IFERROR(VLOOKUP($AB69,areaCercaPuntiClassificaSquadra,3,FALSE),-2)),SUMIFS(Dati!$D$2:$D$451,Dati!$A$2:$A$451,$H69,Dati!$H$2:$H$451,$AB69)+SUMIFS(Dati!$K$2:$K$451,Dati!$H$2:$H$451,$H69,Dati!$A$2:$A$451,$AB69)+SUMIFS(Dati!$C$2:$C$451,Dati!$A$2:$A$451,$H69,Dati!$H$2:$H$451,$AB69)+SUMIFS(Dati!$J$2:$J$451,Dati!$H$2:$H$451,$H69,Dati!$A$2:$A$451,$AB69),"-")</f>
        <v/>
      </c>
      <c r="BA69" s="22">
        <f>IF(AND($H69&lt;&gt;"",$AC69&lt;&gt;"",$H69&lt;&gt;$AC69,IFERROR(VLOOKUP($H69,areaCercaPuntiClassificaSquadra,3,FALSE),-1)=IFERROR(VLOOKUP($AC69,areaCercaPuntiClassificaSquadra,3,FALSE),-2)),SUMIFS(Dati!$D$2:$D$451,Dati!$A$2:$A$451,$H69,Dati!$H$2:$H$451,$AC69)+SUMIFS(Dati!$K$2:$K$451,Dati!$H$2:$H$451,$H69,Dati!$A$2:$A$451,$AC69)+SUMIFS(Dati!$C$2:$C$451,Dati!$A$2:$A$451,$H69,Dati!$H$2:$H$451,$AC69)+SUMIFS(Dati!$J$2:$J$451,Dati!$H$2:$H$451,$H69,Dati!$A$2:$A$451,$AC69),"-")</f>
        <v/>
      </c>
      <c r="BB69" s="22">
        <f>IF(AND($H69&lt;&gt;"",$AD69&lt;&gt;"",$H69&lt;&gt;$AD69,IFERROR(VLOOKUP($H69,areaCercaPuntiClassificaSquadra,3,FALSE),-1)=IFERROR(VLOOKUP($AD69,areaCercaPuntiClassificaSquadra,3,FALSE),-2)),SUMIFS(Dati!$D$2:$D$451,Dati!$A$2:$A$451,$H69,Dati!$H$2:$H$451,$AD69)+SUMIFS(Dati!$K$2:$K$451,Dati!$H$2:$H$451,$H69,Dati!$A$2:$A$451,$AD69)+SUMIFS(Dati!$C$2:$C$451,Dati!$A$2:$A$451,$H69,Dati!$H$2:$H$451,$AD69)+SUMIFS(Dati!$J$2:$J$451,Dati!$H$2:$H$451,$H69,Dati!$A$2:$A$451,$AD69),"-")</f>
        <v/>
      </c>
      <c r="BC69" s="22">
        <f>IF(AND($H69&lt;&gt;"",$AE69&lt;&gt;"",$H69&lt;&gt;$AE69,IFERROR(VLOOKUP($H69,areaCercaPuntiClassificaSquadra,3,FALSE),-1)=IFERROR(VLOOKUP($AE69,areaCercaPuntiClassificaSquadra,3,FALSE),-2)),SUMIFS(Dati!$D$2:$D$451,Dati!$A$2:$A$451,$H69,Dati!$H$2:$H$451,$AE69)+SUMIFS(Dati!$K$2:$K$451,Dati!$H$2:$H$451,$H69,Dati!$A$2:$A$451,$AE69)+SUMIFS(Dati!$C$2:$C$451,Dati!$A$2:$A$451,$H69,Dati!$H$2:$H$451,$AE69)+SUMIFS(Dati!$J$2:$J$451,Dati!$H$2:$H$451,$H69,Dati!$A$2:$A$451,$AE69),"-")</f>
        <v/>
      </c>
      <c r="BD69" s="22">
        <f>IF(AND($H69&lt;&gt;"",$AF69&lt;&gt;"",$H69&lt;&gt;$AF69,IFERROR(VLOOKUP($H69,areaCercaPuntiClassificaSquadra,3,FALSE),-1)=IFERROR(VLOOKUP($AF69,areaCercaPuntiClassificaSquadra,3,FALSE),-2)),SUMIFS(Dati!$D$2:$D$451,Dati!$A$2:$A$451,$H69,Dati!$H$2:$H$451,$AF69)+SUMIFS(Dati!$K$2:$K$451,Dati!$H$2:$H$451,$H69,Dati!$A$2:$A$451,$AF69)+SUMIFS(Dati!$C$2:$C$451,Dati!$A$2:$A$451,$H69,Dati!$H$2:$H$451,$AF69)+SUMIFS(Dati!$J$2:$J$451,Dati!$H$2:$H$451,$H69,Dati!$A$2:$A$451,$AF69),"-")</f>
        <v/>
      </c>
      <c r="BE69" s="22">
        <f>IF(AND($H69&lt;&gt;"",$AG69&lt;&gt;"",$H69&lt;&gt;$AG69,IFERROR(VLOOKUP($H69,areaCercaPuntiClassificaSquadra,3,FALSE),-1)=IFERROR(VLOOKUP($AG69,areaCercaPuntiClassificaSquadra,3,FALSE),-2)),SUMIFS(Dati!$D$2:$D$451,Dati!$A$2:$A$451,$H69,Dati!$H$2:$H$451,$AG69)+SUMIFS(Dati!$K$2:$K$451,Dati!$H$2:$H$451,$H69,Dati!$A$2:$A$451,$AG69)+SUMIFS(Dati!$C$2:$C$451,Dati!$A$2:$A$451,$H69,Dati!$H$2:$H$451,$AG69)+SUMIFS(Dati!$J$2:$J$451,Dati!$H$2:$H$451,$H69,Dati!$A$2:$A$451,$AG69),"-")</f>
        <v/>
      </c>
      <c r="BF69" s="22">
        <f>IF(AND($H69&lt;&gt;"",$AH69&lt;&gt;"",$H69&lt;&gt;$AH69,IFERROR(VLOOKUP($H69,areaCercaPuntiClassificaSquadra,3,FALSE),-1)=IFERROR(VLOOKUP($AH69,areaCercaPuntiClassificaSquadra,3,FALSE),-2)),SUMIFS(Dati!$D$2:$D$451,Dati!$A$2:$A$451,$H69,Dati!$H$2:$H$451,$AH69)+SUMIFS(Dati!$K$2:$K$451,Dati!$H$2:$H$451,$H69,Dati!$A$2:$A$451,$AH69)+SUMIFS(Dati!$C$2:$C$451,Dati!$A$2:$A$451,$H69,Dati!$H$2:$H$451,$AH69)+SUMIFS(Dati!$J$2:$J$451,Dati!$H$2:$H$451,$H69,Dati!$A$2:$A$451,$AH69),"-")</f>
        <v/>
      </c>
      <c r="BH69" s="21">
        <f>$C69</f>
        <v/>
      </c>
      <c r="BI69" s="22">
        <f>IF(AND($H69&lt;&gt;"",$Y69&lt;&gt;"",$H69&lt;&gt;$Y69,IFERROR(VLOOKUP($H69,areaCercaPuntiClassificaSquadra,3,FALSE),-1)=IFERROR(VLOOKUP($Y69,areaCercaPuntiClassificaSquadra,3,FALSE),-2)),SUMIFS(Dati!$E$2:$E$451,Dati!$A$2:$A$451,$H69,Dati!$H$2:$H$451,$Y69)+SUMIFS(Dati!$L$2:$L$451,Dati!$H$2:$H$451,$H69,Dati!$A$2:$A$451,$Y69),"-")</f>
        <v/>
      </c>
      <c r="BJ69" s="22">
        <f>IF(AND($H69&lt;&gt;"",$Z69&lt;&gt;"",$H69&lt;&gt;$Z69,IFERROR(VLOOKUP($H69,areaCercaPuntiClassificaSquadra,3,FALSE),-1)=IFERROR(VLOOKUP($Z69,areaCercaPuntiClassificaSquadra,3,FALSE),-2)),SUMIFS(Dati!$E$2:$E$451,Dati!$A$2:$A$451,$H69,Dati!$H$2:$H$451,$Z69)+SUMIFS(Dati!$L$2:$L$451,Dati!$H$2:$H$451,$H69,Dati!$A$2:$A$451,$Z69),"-")</f>
        <v/>
      </c>
      <c r="BK69" s="22">
        <f>IF(AND($H69&lt;&gt;"",$AA69&lt;&gt;"",$H69&lt;&gt;$AA69,IFERROR(VLOOKUP($H69,areaCercaPuntiClassificaSquadra,3,FALSE),-1)=IFERROR(VLOOKUP($AA69,areaCercaPuntiClassificaSquadra,3,FALSE),-2)),SUMIFS(Dati!$E$2:$E$451,Dati!$A$2:$A$451,$H69,Dati!$H$2:$H$451,$AA69)+SUMIFS(Dati!$L$2:$L$451,Dati!$H$2:$H$451,$H69,Dati!$A$2:$A$451,$AA69),"-")</f>
        <v/>
      </c>
      <c r="BL69" s="22">
        <f>IF(AND($H69&lt;&gt;"",$AB69&lt;&gt;"",$H69&lt;&gt;$AB69,IFERROR(VLOOKUP($H69,areaCercaPuntiClassificaSquadra,3,FALSE),-1)=IFERROR(VLOOKUP($AB69,areaCercaPuntiClassificaSquadra,3,FALSE),-2)),SUMIFS(Dati!$E$2:$E$451,Dati!$A$2:$A$451,$H69,Dati!$H$2:$H$451,$AB69)+SUMIFS(Dati!$L$2:$L$451,Dati!$H$2:$H$451,$H69,Dati!$A$2:$A$451,$AB69),"-")</f>
        <v/>
      </c>
      <c r="BM69" s="22">
        <f>IF(AND($H69&lt;&gt;"",$AC69&lt;&gt;"",$H69&lt;&gt;$AC69,IFERROR(VLOOKUP($H69,areaCercaPuntiClassificaSquadra,3,FALSE),-1)=IFERROR(VLOOKUP($AC69,areaCercaPuntiClassificaSquadra,3,FALSE),-2)),SUMIFS(Dati!$E$2:$E$451,Dati!$A$2:$A$451,$H69,Dati!$H$2:$H$451,$AC69)+SUMIFS(Dati!$L$2:$L$451,Dati!$H$2:$H$451,$H69,Dati!$A$2:$A$451,$AC69),"-")</f>
        <v/>
      </c>
      <c r="BN69" s="22">
        <f>IF(AND($H69&lt;&gt;"",$AD69&lt;&gt;"",$H69&lt;&gt;$AD69,IFERROR(VLOOKUP($H69,areaCercaPuntiClassificaSquadra,3,FALSE),-1)=IFERROR(VLOOKUP($AD69,areaCercaPuntiClassificaSquadra,3,FALSE),-2)),SUMIFS(Dati!$E$2:$E$451,Dati!$A$2:$A$451,$H69,Dati!$H$2:$H$451,$AD69)+SUMIFS(Dati!$L$2:$L$451,Dati!$H$2:$H$451,$H69,Dati!$A$2:$A$451,$AD69),"-")</f>
        <v/>
      </c>
      <c r="BO69" s="22">
        <f>IF(AND($H69&lt;&gt;"",$AE69&lt;&gt;"",$H69&lt;&gt;$AE69,IFERROR(VLOOKUP($H69,areaCercaPuntiClassificaSquadra,3,FALSE),-1)=IFERROR(VLOOKUP($AE69,areaCercaPuntiClassificaSquadra,3,FALSE),-2)),SUMIFS(Dati!$E$2:$E$451,Dati!$A$2:$A$451,$H69,Dati!$H$2:$H$451,$AE69)+SUMIFS(Dati!$L$2:$L$451,Dati!$H$2:$H$451,$H69,Dati!$A$2:$A$451,$AE69),"-")</f>
        <v/>
      </c>
      <c r="BP69" s="22">
        <f>IF(AND($H69&lt;&gt;"",$AF69&lt;&gt;"",$H69&lt;&gt;$AF69,IFERROR(VLOOKUP($H69,areaCercaPuntiClassificaSquadra,3,FALSE),-1)=IFERROR(VLOOKUP($AF69,areaCercaPuntiClassificaSquadra,3,FALSE),-2)),SUMIFS(Dati!$E$2:$E$451,Dati!$A$2:$A$451,$H69,Dati!$H$2:$H$451,$AF69)+SUMIFS(Dati!$L$2:$L$451,Dati!$H$2:$H$451,$H69,Dati!$A$2:$A$451,$AF69),"-")</f>
        <v/>
      </c>
      <c r="BQ69" s="22">
        <f>IF(AND($H69&lt;&gt;"",$AG69&lt;&gt;"",$H69&lt;&gt;$AG69,IFERROR(VLOOKUP($H69,areaCercaPuntiClassificaSquadra,3,FALSE),-1)=IFERROR(VLOOKUP($AG69,areaCercaPuntiClassificaSquadra,3,FALSE),-2)),SUMIFS(Dati!$E$2:$E$451,Dati!$A$2:$A$451,$H69,Dati!$H$2:$H$451,$AG69)+SUMIFS(Dati!$L$2:$L$451,Dati!$H$2:$H$451,$H69,Dati!$A$2:$A$451,$AG69),"-")</f>
        <v/>
      </c>
      <c r="BR69" s="22">
        <f>IF(AND($H69&lt;&gt;"",$AH69&lt;&gt;"",$H69&lt;&gt;$AH69,IFERROR(VLOOKUP($H69,areaCercaPuntiClassificaSquadra,3,FALSE),-1)=IFERROR(VLOOKUP($AH69,areaCercaPuntiClassificaSquadra,3,FALSE),-2)),SUMIFS(Dati!$E$2:$E$451,Dati!$A$2:$A$451,$H69,Dati!$H$2:$H$451,$AH69)+SUMIFS(Dati!$L$2:$L$451,Dati!$H$2:$H$451,$H69,Dati!$A$2:$A$451,$AH69),"-")</f>
        <v/>
      </c>
      <c r="BT69" s="21">
        <f>$C69</f>
        <v/>
      </c>
      <c r="BU69" s="22">
        <f>IF(AND($H69&lt;&gt;"",$Y69&lt;&gt;"",$H69&lt;&gt;$Y69,IFERROR(VLOOKUP($H69,areaCercaPuntiClassificaSquadra,3,FALSE),-1)=IFERROR(VLOOKUP($Y69,areaCercaPuntiClassificaSquadra,3,FALSE),-2)),SUMIFS(Dati!$F$2:$F$451,Dati!$A$2:$A$451,$H69,Dati!$H$2:$H$451,$Y69)+SUMIFS(Dati!$M$2:$M$451,Dati!$H$2:$H$451,$H69,Dati!$A$2:$A$451,$Y69),"-")</f>
        <v/>
      </c>
      <c r="BV69" s="22">
        <f>IF(AND($H69&lt;&gt;"",$Z69&lt;&gt;"",$H69&lt;&gt;$Z69,IFERROR(VLOOKUP($H69,areaCercaPuntiClassificaSquadra,3,FALSE),-1)=IFERROR(VLOOKUP($Z69,areaCercaPuntiClassificaSquadra,3,FALSE),-2)),SUMIFS(Dati!$F$2:$F$451,Dati!$A$2:$A$451,$H69,Dati!$H$2:$H$451,$Z69)+SUMIFS(Dati!$M$2:$M$451,Dati!$H$2:$H$451,$H69,Dati!$A$2:$A$451,$Z69),"-")</f>
        <v/>
      </c>
      <c r="BW69" s="22">
        <f>IF(AND($H69&lt;&gt;"",$AA69&lt;&gt;"",$H69&lt;&gt;$AA69,IFERROR(VLOOKUP($H69,areaCercaPuntiClassificaSquadra,3,FALSE),-1)=IFERROR(VLOOKUP($AA69,areaCercaPuntiClassificaSquadra,3,FALSE),-2)),SUMIFS(Dati!$F$2:$F$451,Dati!$A$2:$A$451,$H69,Dati!$H$2:$H$451,$AA69)+SUMIFS(Dati!$M$2:$M$451,Dati!$H$2:$H$451,$H69,Dati!$A$2:$A$451,$AA69),"-")</f>
        <v/>
      </c>
      <c r="BX69" s="22">
        <f>IF(AND($H69&lt;&gt;"",$AB69&lt;&gt;"",$H69&lt;&gt;$AB69,IFERROR(VLOOKUP($H69,areaCercaPuntiClassificaSquadra,3,FALSE),-1)=IFERROR(VLOOKUP($AB69,areaCercaPuntiClassificaSquadra,3,FALSE),-2)),SUMIFS(Dati!$F$2:$F$451,Dati!$A$2:$A$451,$H69,Dati!$H$2:$H$451,$AB69)+SUMIFS(Dati!$M$2:$M$451,Dati!$H$2:$H$451,$H69,Dati!$A$2:$A$451,$AB69),"-")</f>
        <v/>
      </c>
      <c r="BY69" s="22">
        <f>IF(AND($H69&lt;&gt;"",$AC69&lt;&gt;"",$H69&lt;&gt;$AC69,IFERROR(VLOOKUP($H69,areaCercaPuntiClassificaSquadra,3,FALSE),-1)=IFERROR(VLOOKUP($AC69,areaCercaPuntiClassificaSquadra,3,FALSE),-2)),SUMIFS(Dati!$F$2:$F$451,Dati!$A$2:$A$451,$H69,Dati!$H$2:$H$451,$AC69)+SUMIFS(Dati!$M$2:$M$451,Dati!$H$2:$H$451,$H69,Dati!$A$2:$A$451,$AC69),"-")</f>
        <v/>
      </c>
      <c r="BZ69" s="22">
        <f>IF(AND($H69&lt;&gt;"",$AD69&lt;&gt;"",$H69&lt;&gt;$AD69,IFERROR(VLOOKUP($H69,areaCercaPuntiClassificaSquadra,3,FALSE),-1)=IFERROR(VLOOKUP($AD69,areaCercaPuntiClassificaSquadra,3,FALSE),-2)),SUMIFS(Dati!$F$2:$F$451,Dati!$A$2:$A$451,$H69,Dati!$H$2:$H$451,$AD69)+SUMIFS(Dati!$M$2:$M$451,Dati!$H$2:$H$451,$H69,Dati!$A$2:$A$451,$AD69),"-")</f>
        <v/>
      </c>
      <c r="CA69" s="22">
        <f>IF(AND($H69&lt;&gt;"",$AE69&lt;&gt;"",$H69&lt;&gt;$AE69,IFERROR(VLOOKUP($H69,areaCercaPuntiClassificaSquadra,3,FALSE),-1)=IFERROR(VLOOKUP($AE69,areaCercaPuntiClassificaSquadra,3,FALSE),-2)),SUMIFS(Dati!$F$2:$F$451,Dati!$A$2:$A$451,$H69,Dati!$H$2:$H$451,$AE69)+SUMIFS(Dati!$M$2:$M$451,Dati!$H$2:$H$451,$H69,Dati!$A$2:$A$451,$AE69),"-")</f>
        <v/>
      </c>
      <c r="CB69" s="22">
        <f>IF(AND($H69&lt;&gt;"",$AF69&lt;&gt;"",$H69&lt;&gt;$AF69,IFERROR(VLOOKUP($H69,areaCercaPuntiClassificaSquadra,3,FALSE),-1)=IFERROR(VLOOKUP($AF69,areaCercaPuntiClassificaSquadra,3,FALSE),-2)),SUMIFS(Dati!$F$2:$F$451,Dati!$A$2:$A$451,$H69,Dati!$H$2:$H$451,$AF69)+SUMIFS(Dati!$M$2:$M$451,Dati!$H$2:$H$451,$H69,Dati!$A$2:$A$451,$AF69),"-")</f>
        <v/>
      </c>
      <c r="CC69" s="22">
        <f>IF(AND($H69&lt;&gt;"",$AG69&lt;&gt;"",$H69&lt;&gt;$AG69,IFERROR(VLOOKUP($H69,areaCercaPuntiClassificaSquadra,3,FALSE),-1)=IFERROR(VLOOKUP($AG69,areaCercaPuntiClassificaSquadra,3,FALSE),-2)),SUMIFS(Dati!$F$2:$F$451,Dati!$A$2:$A$451,$H69,Dati!$H$2:$H$451,$AG69)+SUMIFS(Dati!$M$2:$M$451,Dati!$H$2:$H$451,$H69,Dati!$A$2:$A$451,$AG69),"-")</f>
        <v/>
      </c>
      <c r="CD69" s="22">
        <f>IF(AND($H69&lt;&gt;"",$AH69&lt;&gt;"",$H69&lt;&gt;$AH69,IFERROR(VLOOKUP($H69,areaCercaPuntiClassificaSquadra,3,FALSE),-1)=IFERROR(VLOOKUP($AH69,areaCercaPuntiClassificaSquadra,3,FALSE),-2)),SUMIFS(Dati!$F$2:$F$451,Dati!$A$2:$A$451,$H69,Dati!$H$2:$H$451,$AH69)+SUMIFS(Dati!$M$2:$M$451,Dati!$H$2:$H$451,$H69,Dati!$A$2:$A$451,$AH69),"-")</f>
        <v/>
      </c>
      <c r="CF69" s="22">
        <f>IF($C69="","",SUM(AK69:AT69))</f>
        <v/>
      </c>
    </row>
    <row r="70">
      <c r="B70" s="12" t="inlineStr">
        <is>
          <t>F07</t>
        </is>
      </c>
      <c r="C70" s="13" t="n"/>
      <c r="D70" s="14" t="n"/>
      <c r="E70" s="31" t="inlineStr">
        <is>
          <t>F</t>
        </is>
      </c>
      <c r="G70" s="32">
        <f>IF($C70="","",$E70&amp;(COUNTIFS(I$14:I$113,"&gt;"&amp;I70,E$14:E$113,"="&amp;E70,C$14:C$113,"&lt;&gt;")+COUNTIFS(I$14:I$113,"="&amp;I70,H$14:H$113,"&lt;="&amp;H70,E$14:E$113,"="&amp;E70,C$14:C$113,"&lt;&gt;")))</f>
        <v/>
      </c>
      <c r="H70" s="17">
        <f>IF($C70="","",IFERROR(LEFT($C70,FIND("-",$C70)-1),$C70))</f>
        <v/>
      </c>
      <c r="I70" s="12">
        <f>TEXT(1000000000+J70,"|0000000000|")&amp;TEXT(SUM(AK70:AT70),"0000000000|")&amp;IF(SUM(BU70:CD70)=0,"0000000000|",TEXT(ROUND(SUM(BI70:BR70)/SUM(BU70:CD70),4)*100000,"0000000000|"))&amp;IF(P70=0,"0000000000|",TEXT(ROUND(O70/P70,4)*100000,"0000000000|"))</f>
        <v/>
      </c>
      <c r="J70" s="32">
        <f>L70*constPuntiVittoria+M70*constPuntiSconfitta+N70*constPuntiForfait+IF(D70="",0,D70)</f>
        <v/>
      </c>
      <c r="K70" s="12">
        <f>SUM(L70:N70)</f>
        <v/>
      </c>
      <c r="L70" s="12">
        <f>IF($H70="",0,SUMIF(Dati!$A$2:$A$451,$H70,Dati!$B$2:$B$451)+SUMIF(Dati!$H$2:$H$451,$H70,Dati!$I$2:$I$451))</f>
        <v/>
      </c>
      <c r="M70" s="12">
        <f>IF($H70="",0,SUMIF(Dati!$A$2:$A$451,$H70,Dati!$D$2:$D$451)+SUMIF(Dati!$H$2:$H$451,$H70,Dati!$K$2:$K$451))</f>
        <v/>
      </c>
      <c r="N70" s="12">
        <f>IF($H70="",0,SUMIF(Dati!$A$2:$A$451,$H70,Dati!$C$2:$C$451)+SUMIF(Dati!$H$2:$H$451,$H70,Dati!$J$2:$J$451))</f>
        <v/>
      </c>
      <c r="O70" s="12">
        <f>IF($H70="",0,SUMIF(Dati!$A$2:$A$451,$H70,Dati!$E$2:$E$451)+SUMIF(Dati!$H$2:$H$451,$H70,Dati!$L$2:$L$451))</f>
        <v/>
      </c>
      <c r="P70" s="12">
        <f>IF($H70="",0,SUMIF(Dati!$A$2:$A$451,$H70,Dati!$F$2:$F$451)+SUMIF(Dati!$H$2:$H$451,$H70,Dati!$M$2:$M$451))</f>
        <v/>
      </c>
      <c r="Q70" s="12">
        <f>IF($H70="",0,SUMIF(Dati!$A$2:$A$451,$H70,Dati!$G$2:$G$451)+SUMIF(Dati!$H$2:$H$451,$H70,Dati!$N$2:$N$451))</f>
        <v/>
      </c>
      <c r="R70" s="12">
        <f>IF(K70=0,0,ROUND(O70/K70,2))</f>
        <v/>
      </c>
      <c r="S70" s="12">
        <f>IF(K70=0,0,ROUND(P70/K70,2))</f>
        <v/>
      </c>
      <c r="T70" s="12">
        <f>IF(K70=0,0,ROUND(Q70/K70,2))</f>
        <v/>
      </c>
      <c r="U70" s="12">
        <f>IF(COUNTIFS($E$14:$E$113,$E70,$J$14:$J$113,$J70,$C$14:$C$113,"&lt;&gt;")&lt;=1,"-",SUM(AK70:AT70)&amp;"-"&amp;SUM(AW70:BF70))</f>
        <v/>
      </c>
      <c r="V70" s="18">
        <f>IF(COUNTIFS($E$14:$E$113,$E70,$J$14:$J$113,$J70,$C$14:$C$113,"&lt;&gt;",$CF$14:$CF$113,$CF70)&lt;=1,"-",IF(SUM(BU70:CD70)=0,0,ROUND(SUM(BI70:BR70)/SUM(BU70:CD70),3)))</f>
        <v/>
      </c>
      <c r="W70" s="18">
        <f>IF(COUNTIFS($E$14:$E$113,$E70,$J$14:$J$113,$J70,$C$14:$C$113,"&lt;&gt;",$CF$14:$CF$113,$CF70,$V$14:$V$113,$V70)&lt;=1,"-",IF(P70=0,0,ROUND(O70/P70,3)))</f>
        <v/>
      </c>
      <c r="X70" s="19">
        <f>IF($C70="","",$E70&amp;"#"&amp;COUNTIFS($E$14:$E70,$E70,$C$14:$C70,"&lt;&gt;"))</f>
        <v/>
      </c>
      <c r="Y70" s="20">
        <f>IFERROR(INDEX($H$14:$H$113,MATCH($E70&amp;"#1",$X$14:$X$113,0)),"")</f>
        <v/>
      </c>
      <c r="Z70" s="20">
        <f>IFERROR(INDEX($H$14:$H$113,MATCH($E70&amp;"#2",$X$14:$X$113,0)),"")</f>
        <v/>
      </c>
      <c r="AA70" s="20">
        <f>IFERROR(INDEX($H$14:$H$113,MATCH($E70&amp;"#3",$X$14:$X$113,0)),"")</f>
        <v/>
      </c>
      <c r="AB70" s="20">
        <f>IFERROR(INDEX($H$14:$H$113,MATCH($E70&amp;"#4",$X$14:$X$113,0)),"")</f>
        <v/>
      </c>
      <c r="AC70" s="20">
        <f>IFERROR(INDEX($H$14:$H$113,MATCH($E70&amp;"#5",$X$14:$X$113,0)),"")</f>
        <v/>
      </c>
      <c r="AD70" s="20">
        <f>IFERROR(INDEX($H$14:$H$113,MATCH($E70&amp;"#6",$X$14:$X$113,0)),"")</f>
        <v/>
      </c>
      <c r="AE70" s="20">
        <f>IFERROR(INDEX($H$14:$H$113,MATCH($E70&amp;"#7",$X$14:$X$113,0)),"")</f>
        <v/>
      </c>
      <c r="AF70" s="20">
        <f>IFERROR(INDEX($H$14:$H$113,MATCH($E70&amp;"#8",$X$14:$X$113,0)),"")</f>
        <v/>
      </c>
      <c r="AG70" s="20">
        <f>IFERROR(INDEX($H$14:$H$113,MATCH($E70&amp;"#9",$X$14:$X$113,0)),"")</f>
        <v/>
      </c>
      <c r="AH70" s="20">
        <f>IFERROR(INDEX($H$14:$H$113,MATCH($E70&amp;"#10",$X$14:$X$113,0)),"")</f>
        <v/>
      </c>
      <c r="AJ70" s="21">
        <f>$C70</f>
        <v/>
      </c>
      <c r="AK70" s="22">
        <f>IF(AND($H70&lt;&gt;"",$Y70&lt;&gt;"",$H70&lt;&gt;$Y70,IFERROR(VLOOKUP($H70,areaCercaPuntiClassificaSquadra,3,FALSE),-1)=IFERROR(VLOOKUP($Y70,areaCercaPuntiClassificaSquadra,3,FALSE),-2)),SUMIFS(Dati!$B$2:$B$451,Dati!$A$2:$A$451,$H70,Dati!$H$2:$H$451,$Y70)+SUMIFS(Dati!$I$2:$I$451,Dati!$H$2:$H$451,$H70,Dati!$A$2:$A$451,$Y70),"-")</f>
        <v/>
      </c>
      <c r="AL70" s="22">
        <f>IF(AND($H70&lt;&gt;"",$Z70&lt;&gt;"",$H70&lt;&gt;$Z70,IFERROR(VLOOKUP($H70,areaCercaPuntiClassificaSquadra,3,FALSE),-1)=IFERROR(VLOOKUP($Z70,areaCercaPuntiClassificaSquadra,3,FALSE),-2)),SUMIFS(Dati!$B$2:$B$451,Dati!$A$2:$A$451,$H70,Dati!$H$2:$H$451,$Z70)+SUMIFS(Dati!$I$2:$I$451,Dati!$H$2:$H$451,$H70,Dati!$A$2:$A$451,$Z70),"-")</f>
        <v/>
      </c>
      <c r="AM70" s="22">
        <f>IF(AND($H70&lt;&gt;"",$AA70&lt;&gt;"",$H70&lt;&gt;$AA70,IFERROR(VLOOKUP($H70,areaCercaPuntiClassificaSquadra,3,FALSE),-1)=IFERROR(VLOOKUP($AA70,areaCercaPuntiClassificaSquadra,3,FALSE),-2)),SUMIFS(Dati!$B$2:$B$451,Dati!$A$2:$A$451,$H70,Dati!$H$2:$H$451,$AA70)+SUMIFS(Dati!$I$2:$I$451,Dati!$H$2:$H$451,$H70,Dati!$A$2:$A$451,$AA70),"-")</f>
        <v/>
      </c>
      <c r="AN70" s="22">
        <f>IF(AND($H70&lt;&gt;"",$AB70&lt;&gt;"",$H70&lt;&gt;$AB70,IFERROR(VLOOKUP($H70,areaCercaPuntiClassificaSquadra,3,FALSE),-1)=IFERROR(VLOOKUP($AB70,areaCercaPuntiClassificaSquadra,3,FALSE),-2)),SUMIFS(Dati!$B$2:$B$451,Dati!$A$2:$A$451,$H70,Dati!$H$2:$H$451,$AB70)+SUMIFS(Dati!$I$2:$I$451,Dati!$H$2:$H$451,$H70,Dati!$A$2:$A$451,$AB70),"-")</f>
        <v/>
      </c>
      <c r="AO70" s="22">
        <f>IF(AND($H70&lt;&gt;"",$AC70&lt;&gt;"",$H70&lt;&gt;$AC70,IFERROR(VLOOKUP($H70,areaCercaPuntiClassificaSquadra,3,FALSE),-1)=IFERROR(VLOOKUP($AC70,areaCercaPuntiClassificaSquadra,3,FALSE),-2)),SUMIFS(Dati!$B$2:$B$451,Dati!$A$2:$A$451,$H70,Dati!$H$2:$H$451,$AC70)+SUMIFS(Dati!$I$2:$I$451,Dati!$H$2:$H$451,$H70,Dati!$A$2:$A$451,$AC70),"-")</f>
        <v/>
      </c>
      <c r="AP70" s="22">
        <f>IF(AND($H70&lt;&gt;"",$AD70&lt;&gt;"",$H70&lt;&gt;$AD70,IFERROR(VLOOKUP($H70,areaCercaPuntiClassificaSquadra,3,FALSE),-1)=IFERROR(VLOOKUP($AD70,areaCercaPuntiClassificaSquadra,3,FALSE),-2)),SUMIFS(Dati!$B$2:$B$451,Dati!$A$2:$A$451,$H70,Dati!$H$2:$H$451,$AD70)+SUMIFS(Dati!$I$2:$I$451,Dati!$H$2:$H$451,$H70,Dati!$A$2:$A$451,$AD70),"-")</f>
        <v/>
      </c>
      <c r="AQ70" s="22">
        <f>IF(AND($H70&lt;&gt;"",$AE70&lt;&gt;"",$H70&lt;&gt;$AE70,IFERROR(VLOOKUP($H70,areaCercaPuntiClassificaSquadra,3,FALSE),-1)=IFERROR(VLOOKUP($AE70,areaCercaPuntiClassificaSquadra,3,FALSE),-2)),SUMIFS(Dati!$B$2:$B$451,Dati!$A$2:$A$451,$H70,Dati!$H$2:$H$451,$AE70)+SUMIFS(Dati!$I$2:$I$451,Dati!$H$2:$H$451,$H70,Dati!$A$2:$A$451,$AE70),"-")</f>
        <v/>
      </c>
      <c r="AR70" s="22">
        <f>IF(AND($H70&lt;&gt;"",$AF70&lt;&gt;"",$H70&lt;&gt;$AF70,IFERROR(VLOOKUP($H70,areaCercaPuntiClassificaSquadra,3,FALSE),-1)=IFERROR(VLOOKUP($AF70,areaCercaPuntiClassificaSquadra,3,FALSE),-2)),SUMIFS(Dati!$B$2:$B$451,Dati!$A$2:$A$451,$H70,Dati!$H$2:$H$451,$AF70)+SUMIFS(Dati!$I$2:$I$451,Dati!$H$2:$H$451,$H70,Dati!$A$2:$A$451,$AF70),"-")</f>
        <v/>
      </c>
      <c r="AS70" s="22">
        <f>IF(AND($H70&lt;&gt;"",$AG70&lt;&gt;"",$H70&lt;&gt;$AG70,IFERROR(VLOOKUP($H70,areaCercaPuntiClassificaSquadra,3,FALSE),-1)=IFERROR(VLOOKUP($AG70,areaCercaPuntiClassificaSquadra,3,FALSE),-2)),SUMIFS(Dati!$B$2:$B$451,Dati!$A$2:$A$451,$H70,Dati!$H$2:$H$451,$AG70)+SUMIFS(Dati!$I$2:$I$451,Dati!$H$2:$H$451,$H70,Dati!$A$2:$A$451,$AG70),"-")</f>
        <v/>
      </c>
      <c r="AT70" s="22">
        <f>IF(AND($H70&lt;&gt;"",$AH70&lt;&gt;"",$H70&lt;&gt;$AH70,IFERROR(VLOOKUP($H70,areaCercaPuntiClassificaSquadra,3,FALSE),-1)=IFERROR(VLOOKUP($AH70,areaCercaPuntiClassificaSquadra,3,FALSE),-2)),SUMIFS(Dati!$B$2:$B$451,Dati!$A$2:$A$451,$H70,Dati!$H$2:$H$451,$AH70)+SUMIFS(Dati!$I$2:$I$451,Dati!$H$2:$H$451,$H70,Dati!$A$2:$A$451,$AH70),"-")</f>
        <v/>
      </c>
      <c r="AV70" s="21">
        <f>$C70</f>
        <v/>
      </c>
      <c r="AW70" s="22">
        <f>IF(AND($H70&lt;&gt;"",$Y70&lt;&gt;"",$H70&lt;&gt;$Y70,IFERROR(VLOOKUP($H70,areaCercaPuntiClassificaSquadra,3,FALSE),-1)=IFERROR(VLOOKUP($Y70,areaCercaPuntiClassificaSquadra,3,FALSE),-2)),SUMIFS(Dati!$D$2:$D$451,Dati!$A$2:$A$451,$H70,Dati!$H$2:$H$451,$Y70)+SUMIFS(Dati!$K$2:$K$451,Dati!$H$2:$H$451,$H70,Dati!$A$2:$A$451,$Y70)+SUMIFS(Dati!$C$2:$C$451,Dati!$A$2:$A$451,$H70,Dati!$H$2:$H$451,$Y70)+SUMIFS(Dati!$J$2:$J$451,Dati!$H$2:$H$451,$H70,Dati!$A$2:$A$451,$Y70),"-")</f>
        <v/>
      </c>
      <c r="AX70" s="22">
        <f>IF(AND($H70&lt;&gt;"",$Z70&lt;&gt;"",$H70&lt;&gt;$Z70,IFERROR(VLOOKUP($H70,areaCercaPuntiClassificaSquadra,3,FALSE),-1)=IFERROR(VLOOKUP($Z70,areaCercaPuntiClassificaSquadra,3,FALSE),-2)),SUMIFS(Dati!$D$2:$D$451,Dati!$A$2:$A$451,$H70,Dati!$H$2:$H$451,$Z70)+SUMIFS(Dati!$K$2:$K$451,Dati!$H$2:$H$451,$H70,Dati!$A$2:$A$451,$Z70)+SUMIFS(Dati!$C$2:$C$451,Dati!$A$2:$A$451,$H70,Dati!$H$2:$H$451,$Z70)+SUMIFS(Dati!$J$2:$J$451,Dati!$H$2:$H$451,$H70,Dati!$A$2:$A$451,$Z70),"-")</f>
        <v/>
      </c>
      <c r="AY70" s="22">
        <f>IF(AND($H70&lt;&gt;"",$AA70&lt;&gt;"",$H70&lt;&gt;$AA70,IFERROR(VLOOKUP($H70,areaCercaPuntiClassificaSquadra,3,FALSE),-1)=IFERROR(VLOOKUP($AA70,areaCercaPuntiClassificaSquadra,3,FALSE),-2)),SUMIFS(Dati!$D$2:$D$451,Dati!$A$2:$A$451,$H70,Dati!$H$2:$H$451,$AA70)+SUMIFS(Dati!$K$2:$K$451,Dati!$H$2:$H$451,$H70,Dati!$A$2:$A$451,$AA70)+SUMIFS(Dati!$C$2:$C$451,Dati!$A$2:$A$451,$H70,Dati!$H$2:$H$451,$AA70)+SUMIFS(Dati!$J$2:$J$451,Dati!$H$2:$H$451,$H70,Dati!$A$2:$A$451,$AA70),"-")</f>
        <v/>
      </c>
      <c r="AZ70" s="22">
        <f>IF(AND($H70&lt;&gt;"",$AB70&lt;&gt;"",$H70&lt;&gt;$AB70,IFERROR(VLOOKUP($H70,areaCercaPuntiClassificaSquadra,3,FALSE),-1)=IFERROR(VLOOKUP($AB70,areaCercaPuntiClassificaSquadra,3,FALSE),-2)),SUMIFS(Dati!$D$2:$D$451,Dati!$A$2:$A$451,$H70,Dati!$H$2:$H$451,$AB70)+SUMIFS(Dati!$K$2:$K$451,Dati!$H$2:$H$451,$H70,Dati!$A$2:$A$451,$AB70)+SUMIFS(Dati!$C$2:$C$451,Dati!$A$2:$A$451,$H70,Dati!$H$2:$H$451,$AB70)+SUMIFS(Dati!$J$2:$J$451,Dati!$H$2:$H$451,$H70,Dati!$A$2:$A$451,$AB70),"-")</f>
        <v/>
      </c>
      <c r="BA70" s="22">
        <f>IF(AND($H70&lt;&gt;"",$AC70&lt;&gt;"",$H70&lt;&gt;$AC70,IFERROR(VLOOKUP($H70,areaCercaPuntiClassificaSquadra,3,FALSE),-1)=IFERROR(VLOOKUP($AC70,areaCercaPuntiClassificaSquadra,3,FALSE),-2)),SUMIFS(Dati!$D$2:$D$451,Dati!$A$2:$A$451,$H70,Dati!$H$2:$H$451,$AC70)+SUMIFS(Dati!$K$2:$K$451,Dati!$H$2:$H$451,$H70,Dati!$A$2:$A$451,$AC70)+SUMIFS(Dati!$C$2:$C$451,Dati!$A$2:$A$451,$H70,Dati!$H$2:$H$451,$AC70)+SUMIFS(Dati!$J$2:$J$451,Dati!$H$2:$H$451,$H70,Dati!$A$2:$A$451,$AC70),"-")</f>
        <v/>
      </c>
      <c r="BB70" s="22">
        <f>IF(AND($H70&lt;&gt;"",$AD70&lt;&gt;"",$H70&lt;&gt;$AD70,IFERROR(VLOOKUP($H70,areaCercaPuntiClassificaSquadra,3,FALSE),-1)=IFERROR(VLOOKUP($AD70,areaCercaPuntiClassificaSquadra,3,FALSE),-2)),SUMIFS(Dati!$D$2:$D$451,Dati!$A$2:$A$451,$H70,Dati!$H$2:$H$451,$AD70)+SUMIFS(Dati!$K$2:$K$451,Dati!$H$2:$H$451,$H70,Dati!$A$2:$A$451,$AD70)+SUMIFS(Dati!$C$2:$C$451,Dati!$A$2:$A$451,$H70,Dati!$H$2:$H$451,$AD70)+SUMIFS(Dati!$J$2:$J$451,Dati!$H$2:$H$451,$H70,Dati!$A$2:$A$451,$AD70),"-")</f>
        <v/>
      </c>
      <c r="BC70" s="22">
        <f>IF(AND($H70&lt;&gt;"",$AE70&lt;&gt;"",$H70&lt;&gt;$AE70,IFERROR(VLOOKUP($H70,areaCercaPuntiClassificaSquadra,3,FALSE),-1)=IFERROR(VLOOKUP($AE70,areaCercaPuntiClassificaSquadra,3,FALSE),-2)),SUMIFS(Dati!$D$2:$D$451,Dati!$A$2:$A$451,$H70,Dati!$H$2:$H$451,$AE70)+SUMIFS(Dati!$K$2:$K$451,Dati!$H$2:$H$451,$H70,Dati!$A$2:$A$451,$AE70)+SUMIFS(Dati!$C$2:$C$451,Dati!$A$2:$A$451,$H70,Dati!$H$2:$H$451,$AE70)+SUMIFS(Dati!$J$2:$J$451,Dati!$H$2:$H$451,$H70,Dati!$A$2:$A$451,$AE70),"-")</f>
        <v/>
      </c>
      <c r="BD70" s="22">
        <f>IF(AND($H70&lt;&gt;"",$AF70&lt;&gt;"",$H70&lt;&gt;$AF70,IFERROR(VLOOKUP($H70,areaCercaPuntiClassificaSquadra,3,FALSE),-1)=IFERROR(VLOOKUP($AF70,areaCercaPuntiClassificaSquadra,3,FALSE),-2)),SUMIFS(Dati!$D$2:$D$451,Dati!$A$2:$A$451,$H70,Dati!$H$2:$H$451,$AF70)+SUMIFS(Dati!$K$2:$K$451,Dati!$H$2:$H$451,$H70,Dati!$A$2:$A$451,$AF70)+SUMIFS(Dati!$C$2:$C$451,Dati!$A$2:$A$451,$H70,Dati!$H$2:$H$451,$AF70)+SUMIFS(Dati!$J$2:$J$451,Dati!$H$2:$H$451,$H70,Dati!$A$2:$A$451,$AF70),"-")</f>
        <v/>
      </c>
      <c r="BE70" s="22">
        <f>IF(AND($H70&lt;&gt;"",$AG70&lt;&gt;"",$H70&lt;&gt;$AG70,IFERROR(VLOOKUP($H70,areaCercaPuntiClassificaSquadra,3,FALSE),-1)=IFERROR(VLOOKUP($AG70,areaCercaPuntiClassificaSquadra,3,FALSE),-2)),SUMIFS(Dati!$D$2:$D$451,Dati!$A$2:$A$451,$H70,Dati!$H$2:$H$451,$AG70)+SUMIFS(Dati!$K$2:$K$451,Dati!$H$2:$H$451,$H70,Dati!$A$2:$A$451,$AG70)+SUMIFS(Dati!$C$2:$C$451,Dati!$A$2:$A$451,$H70,Dati!$H$2:$H$451,$AG70)+SUMIFS(Dati!$J$2:$J$451,Dati!$H$2:$H$451,$H70,Dati!$A$2:$A$451,$AG70),"-")</f>
        <v/>
      </c>
      <c r="BF70" s="22">
        <f>IF(AND($H70&lt;&gt;"",$AH70&lt;&gt;"",$H70&lt;&gt;$AH70,IFERROR(VLOOKUP($H70,areaCercaPuntiClassificaSquadra,3,FALSE),-1)=IFERROR(VLOOKUP($AH70,areaCercaPuntiClassificaSquadra,3,FALSE),-2)),SUMIFS(Dati!$D$2:$D$451,Dati!$A$2:$A$451,$H70,Dati!$H$2:$H$451,$AH70)+SUMIFS(Dati!$K$2:$K$451,Dati!$H$2:$H$451,$H70,Dati!$A$2:$A$451,$AH70)+SUMIFS(Dati!$C$2:$C$451,Dati!$A$2:$A$451,$H70,Dati!$H$2:$H$451,$AH70)+SUMIFS(Dati!$J$2:$J$451,Dati!$H$2:$H$451,$H70,Dati!$A$2:$A$451,$AH70),"-")</f>
        <v/>
      </c>
      <c r="BH70" s="21">
        <f>$C70</f>
        <v/>
      </c>
      <c r="BI70" s="22">
        <f>IF(AND($H70&lt;&gt;"",$Y70&lt;&gt;"",$H70&lt;&gt;$Y70,IFERROR(VLOOKUP($H70,areaCercaPuntiClassificaSquadra,3,FALSE),-1)=IFERROR(VLOOKUP($Y70,areaCercaPuntiClassificaSquadra,3,FALSE),-2)),SUMIFS(Dati!$E$2:$E$451,Dati!$A$2:$A$451,$H70,Dati!$H$2:$H$451,$Y70)+SUMIFS(Dati!$L$2:$L$451,Dati!$H$2:$H$451,$H70,Dati!$A$2:$A$451,$Y70),"-")</f>
        <v/>
      </c>
      <c r="BJ70" s="22">
        <f>IF(AND($H70&lt;&gt;"",$Z70&lt;&gt;"",$H70&lt;&gt;$Z70,IFERROR(VLOOKUP($H70,areaCercaPuntiClassificaSquadra,3,FALSE),-1)=IFERROR(VLOOKUP($Z70,areaCercaPuntiClassificaSquadra,3,FALSE),-2)),SUMIFS(Dati!$E$2:$E$451,Dati!$A$2:$A$451,$H70,Dati!$H$2:$H$451,$Z70)+SUMIFS(Dati!$L$2:$L$451,Dati!$H$2:$H$451,$H70,Dati!$A$2:$A$451,$Z70),"-")</f>
        <v/>
      </c>
      <c r="BK70" s="22">
        <f>IF(AND($H70&lt;&gt;"",$AA70&lt;&gt;"",$H70&lt;&gt;$AA70,IFERROR(VLOOKUP($H70,areaCercaPuntiClassificaSquadra,3,FALSE),-1)=IFERROR(VLOOKUP($AA70,areaCercaPuntiClassificaSquadra,3,FALSE),-2)),SUMIFS(Dati!$E$2:$E$451,Dati!$A$2:$A$451,$H70,Dati!$H$2:$H$451,$AA70)+SUMIFS(Dati!$L$2:$L$451,Dati!$H$2:$H$451,$H70,Dati!$A$2:$A$451,$AA70),"-")</f>
        <v/>
      </c>
      <c r="BL70" s="22">
        <f>IF(AND($H70&lt;&gt;"",$AB70&lt;&gt;"",$H70&lt;&gt;$AB70,IFERROR(VLOOKUP($H70,areaCercaPuntiClassificaSquadra,3,FALSE),-1)=IFERROR(VLOOKUP($AB70,areaCercaPuntiClassificaSquadra,3,FALSE),-2)),SUMIFS(Dati!$E$2:$E$451,Dati!$A$2:$A$451,$H70,Dati!$H$2:$H$451,$AB70)+SUMIFS(Dati!$L$2:$L$451,Dati!$H$2:$H$451,$H70,Dati!$A$2:$A$451,$AB70),"-")</f>
        <v/>
      </c>
      <c r="BM70" s="22">
        <f>IF(AND($H70&lt;&gt;"",$AC70&lt;&gt;"",$H70&lt;&gt;$AC70,IFERROR(VLOOKUP($H70,areaCercaPuntiClassificaSquadra,3,FALSE),-1)=IFERROR(VLOOKUP($AC70,areaCercaPuntiClassificaSquadra,3,FALSE),-2)),SUMIFS(Dati!$E$2:$E$451,Dati!$A$2:$A$451,$H70,Dati!$H$2:$H$451,$AC70)+SUMIFS(Dati!$L$2:$L$451,Dati!$H$2:$H$451,$H70,Dati!$A$2:$A$451,$AC70),"-")</f>
        <v/>
      </c>
      <c r="BN70" s="22">
        <f>IF(AND($H70&lt;&gt;"",$AD70&lt;&gt;"",$H70&lt;&gt;$AD70,IFERROR(VLOOKUP($H70,areaCercaPuntiClassificaSquadra,3,FALSE),-1)=IFERROR(VLOOKUP($AD70,areaCercaPuntiClassificaSquadra,3,FALSE),-2)),SUMIFS(Dati!$E$2:$E$451,Dati!$A$2:$A$451,$H70,Dati!$H$2:$H$451,$AD70)+SUMIFS(Dati!$L$2:$L$451,Dati!$H$2:$H$451,$H70,Dati!$A$2:$A$451,$AD70),"-")</f>
        <v/>
      </c>
      <c r="BO70" s="22">
        <f>IF(AND($H70&lt;&gt;"",$AE70&lt;&gt;"",$H70&lt;&gt;$AE70,IFERROR(VLOOKUP($H70,areaCercaPuntiClassificaSquadra,3,FALSE),-1)=IFERROR(VLOOKUP($AE70,areaCercaPuntiClassificaSquadra,3,FALSE),-2)),SUMIFS(Dati!$E$2:$E$451,Dati!$A$2:$A$451,$H70,Dati!$H$2:$H$451,$AE70)+SUMIFS(Dati!$L$2:$L$451,Dati!$H$2:$H$451,$H70,Dati!$A$2:$A$451,$AE70),"-")</f>
        <v/>
      </c>
      <c r="BP70" s="22">
        <f>IF(AND($H70&lt;&gt;"",$AF70&lt;&gt;"",$H70&lt;&gt;$AF70,IFERROR(VLOOKUP($H70,areaCercaPuntiClassificaSquadra,3,FALSE),-1)=IFERROR(VLOOKUP($AF70,areaCercaPuntiClassificaSquadra,3,FALSE),-2)),SUMIFS(Dati!$E$2:$E$451,Dati!$A$2:$A$451,$H70,Dati!$H$2:$H$451,$AF70)+SUMIFS(Dati!$L$2:$L$451,Dati!$H$2:$H$451,$H70,Dati!$A$2:$A$451,$AF70),"-")</f>
        <v/>
      </c>
      <c r="BQ70" s="22">
        <f>IF(AND($H70&lt;&gt;"",$AG70&lt;&gt;"",$H70&lt;&gt;$AG70,IFERROR(VLOOKUP($H70,areaCercaPuntiClassificaSquadra,3,FALSE),-1)=IFERROR(VLOOKUP($AG70,areaCercaPuntiClassificaSquadra,3,FALSE),-2)),SUMIFS(Dati!$E$2:$E$451,Dati!$A$2:$A$451,$H70,Dati!$H$2:$H$451,$AG70)+SUMIFS(Dati!$L$2:$L$451,Dati!$H$2:$H$451,$H70,Dati!$A$2:$A$451,$AG70),"-")</f>
        <v/>
      </c>
      <c r="BR70" s="22">
        <f>IF(AND($H70&lt;&gt;"",$AH70&lt;&gt;"",$H70&lt;&gt;$AH70,IFERROR(VLOOKUP($H70,areaCercaPuntiClassificaSquadra,3,FALSE),-1)=IFERROR(VLOOKUP($AH70,areaCercaPuntiClassificaSquadra,3,FALSE),-2)),SUMIFS(Dati!$E$2:$E$451,Dati!$A$2:$A$451,$H70,Dati!$H$2:$H$451,$AH70)+SUMIFS(Dati!$L$2:$L$451,Dati!$H$2:$H$451,$H70,Dati!$A$2:$A$451,$AH70),"-")</f>
        <v/>
      </c>
      <c r="BT70" s="21">
        <f>$C70</f>
        <v/>
      </c>
      <c r="BU70" s="22">
        <f>IF(AND($H70&lt;&gt;"",$Y70&lt;&gt;"",$H70&lt;&gt;$Y70,IFERROR(VLOOKUP($H70,areaCercaPuntiClassificaSquadra,3,FALSE),-1)=IFERROR(VLOOKUP($Y70,areaCercaPuntiClassificaSquadra,3,FALSE),-2)),SUMIFS(Dati!$F$2:$F$451,Dati!$A$2:$A$451,$H70,Dati!$H$2:$H$451,$Y70)+SUMIFS(Dati!$M$2:$M$451,Dati!$H$2:$H$451,$H70,Dati!$A$2:$A$451,$Y70),"-")</f>
        <v/>
      </c>
      <c r="BV70" s="22">
        <f>IF(AND($H70&lt;&gt;"",$Z70&lt;&gt;"",$H70&lt;&gt;$Z70,IFERROR(VLOOKUP($H70,areaCercaPuntiClassificaSquadra,3,FALSE),-1)=IFERROR(VLOOKUP($Z70,areaCercaPuntiClassificaSquadra,3,FALSE),-2)),SUMIFS(Dati!$F$2:$F$451,Dati!$A$2:$A$451,$H70,Dati!$H$2:$H$451,$Z70)+SUMIFS(Dati!$M$2:$M$451,Dati!$H$2:$H$451,$H70,Dati!$A$2:$A$451,$Z70),"-")</f>
        <v/>
      </c>
      <c r="BW70" s="22">
        <f>IF(AND($H70&lt;&gt;"",$AA70&lt;&gt;"",$H70&lt;&gt;$AA70,IFERROR(VLOOKUP($H70,areaCercaPuntiClassificaSquadra,3,FALSE),-1)=IFERROR(VLOOKUP($AA70,areaCercaPuntiClassificaSquadra,3,FALSE),-2)),SUMIFS(Dati!$F$2:$F$451,Dati!$A$2:$A$451,$H70,Dati!$H$2:$H$451,$AA70)+SUMIFS(Dati!$M$2:$M$451,Dati!$H$2:$H$451,$H70,Dati!$A$2:$A$451,$AA70),"-")</f>
        <v/>
      </c>
      <c r="BX70" s="22">
        <f>IF(AND($H70&lt;&gt;"",$AB70&lt;&gt;"",$H70&lt;&gt;$AB70,IFERROR(VLOOKUP($H70,areaCercaPuntiClassificaSquadra,3,FALSE),-1)=IFERROR(VLOOKUP($AB70,areaCercaPuntiClassificaSquadra,3,FALSE),-2)),SUMIFS(Dati!$F$2:$F$451,Dati!$A$2:$A$451,$H70,Dati!$H$2:$H$451,$AB70)+SUMIFS(Dati!$M$2:$M$451,Dati!$H$2:$H$451,$H70,Dati!$A$2:$A$451,$AB70),"-")</f>
        <v/>
      </c>
      <c r="BY70" s="22">
        <f>IF(AND($H70&lt;&gt;"",$AC70&lt;&gt;"",$H70&lt;&gt;$AC70,IFERROR(VLOOKUP($H70,areaCercaPuntiClassificaSquadra,3,FALSE),-1)=IFERROR(VLOOKUP($AC70,areaCercaPuntiClassificaSquadra,3,FALSE),-2)),SUMIFS(Dati!$F$2:$F$451,Dati!$A$2:$A$451,$H70,Dati!$H$2:$H$451,$AC70)+SUMIFS(Dati!$M$2:$M$451,Dati!$H$2:$H$451,$H70,Dati!$A$2:$A$451,$AC70),"-")</f>
        <v/>
      </c>
      <c r="BZ70" s="22">
        <f>IF(AND($H70&lt;&gt;"",$AD70&lt;&gt;"",$H70&lt;&gt;$AD70,IFERROR(VLOOKUP($H70,areaCercaPuntiClassificaSquadra,3,FALSE),-1)=IFERROR(VLOOKUP($AD70,areaCercaPuntiClassificaSquadra,3,FALSE),-2)),SUMIFS(Dati!$F$2:$F$451,Dati!$A$2:$A$451,$H70,Dati!$H$2:$H$451,$AD70)+SUMIFS(Dati!$M$2:$M$451,Dati!$H$2:$H$451,$H70,Dati!$A$2:$A$451,$AD70),"-")</f>
        <v/>
      </c>
      <c r="CA70" s="22">
        <f>IF(AND($H70&lt;&gt;"",$AE70&lt;&gt;"",$H70&lt;&gt;$AE70,IFERROR(VLOOKUP($H70,areaCercaPuntiClassificaSquadra,3,FALSE),-1)=IFERROR(VLOOKUP($AE70,areaCercaPuntiClassificaSquadra,3,FALSE),-2)),SUMIFS(Dati!$F$2:$F$451,Dati!$A$2:$A$451,$H70,Dati!$H$2:$H$451,$AE70)+SUMIFS(Dati!$M$2:$M$451,Dati!$H$2:$H$451,$H70,Dati!$A$2:$A$451,$AE70),"-")</f>
        <v/>
      </c>
      <c r="CB70" s="22">
        <f>IF(AND($H70&lt;&gt;"",$AF70&lt;&gt;"",$H70&lt;&gt;$AF70,IFERROR(VLOOKUP($H70,areaCercaPuntiClassificaSquadra,3,FALSE),-1)=IFERROR(VLOOKUP($AF70,areaCercaPuntiClassificaSquadra,3,FALSE),-2)),SUMIFS(Dati!$F$2:$F$451,Dati!$A$2:$A$451,$H70,Dati!$H$2:$H$451,$AF70)+SUMIFS(Dati!$M$2:$M$451,Dati!$H$2:$H$451,$H70,Dati!$A$2:$A$451,$AF70),"-")</f>
        <v/>
      </c>
      <c r="CC70" s="22">
        <f>IF(AND($H70&lt;&gt;"",$AG70&lt;&gt;"",$H70&lt;&gt;$AG70,IFERROR(VLOOKUP($H70,areaCercaPuntiClassificaSquadra,3,FALSE),-1)=IFERROR(VLOOKUP($AG70,areaCercaPuntiClassificaSquadra,3,FALSE),-2)),SUMIFS(Dati!$F$2:$F$451,Dati!$A$2:$A$451,$H70,Dati!$H$2:$H$451,$AG70)+SUMIFS(Dati!$M$2:$M$451,Dati!$H$2:$H$451,$H70,Dati!$A$2:$A$451,$AG70),"-")</f>
        <v/>
      </c>
      <c r="CD70" s="22">
        <f>IF(AND($H70&lt;&gt;"",$AH70&lt;&gt;"",$H70&lt;&gt;$AH70,IFERROR(VLOOKUP($H70,areaCercaPuntiClassificaSquadra,3,FALSE),-1)=IFERROR(VLOOKUP($AH70,areaCercaPuntiClassificaSquadra,3,FALSE),-2)),SUMIFS(Dati!$F$2:$F$451,Dati!$A$2:$A$451,$H70,Dati!$H$2:$H$451,$AH70)+SUMIFS(Dati!$M$2:$M$451,Dati!$H$2:$H$451,$H70,Dati!$A$2:$A$451,$AH70),"-")</f>
        <v/>
      </c>
      <c r="CF70" s="22">
        <f>IF($C70="","",SUM(AK70:AT70))</f>
        <v/>
      </c>
    </row>
    <row r="71">
      <c r="B71" s="12" t="inlineStr">
        <is>
          <t>F08</t>
        </is>
      </c>
      <c r="C71" s="13" t="n"/>
      <c r="D71" s="14" t="n"/>
      <c r="E71" s="31" t="inlineStr">
        <is>
          <t>F</t>
        </is>
      </c>
      <c r="G71" s="32">
        <f>IF($C71="","",$E71&amp;(COUNTIFS(I$14:I$113,"&gt;"&amp;I71,E$14:E$113,"="&amp;E71,C$14:C$113,"&lt;&gt;")+COUNTIFS(I$14:I$113,"="&amp;I71,H$14:H$113,"&lt;="&amp;H71,E$14:E$113,"="&amp;E71,C$14:C$113,"&lt;&gt;")))</f>
        <v/>
      </c>
      <c r="H71" s="17">
        <f>IF($C71="","",IFERROR(LEFT($C71,FIND("-",$C71)-1),$C71))</f>
        <v/>
      </c>
      <c r="I71" s="12">
        <f>TEXT(1000000000+J71,"|0000000000|")&amp;TEXT(SUM(AK71:AT71),"0000000000|")&amp;IF(SUM(BU71:CD71)=0,"0000000000|",TEXT(ROUND(SUM(BI71:BR71)/SUM(BU71:CD71),4)*100000,"0000000000|"))&amp;IF(P71=0,"0000000000|",TEXT(ROUND(O71/P71,4)*100000,"0000000000|"))</f>
        <v/>
      </c>
      <c r="J71" s="32">
        <f>L71*constPuntiVittoria+M71*constPuntiSconfitta+N71*constPuntiForfait+IF(D71="",0,D71)</f>
        <v/>
      </c>
      <c r="K71" s="12">
        <f>SUM(L71:N71)</f>
        <v/>
      </c>
      <c r="L71" s="12">
        <f>IF($H71="",0,SUMIF(Dati!$A$2:$A$451,$H71,Dati!$B$2:$B$451)+SUMIF(Dati!$H$2:$H$451,$H71,Dati!$I$2:$I$451))</f>
        <v/>
      </c>
      <c r="M71" s="12">
        <f>IF($H71="",0,SUMIF(Dati!$A$2:$A$451,$H71,Dati!$D$2:$D$451)+SUMIF(Dati!$H$2:$H$451,$H71,Dati!$K$2:$K$451))</f>
        <v/>
      </c>
      <c r="N71" s="12">
        <f>IF($H71="",0,SUMIF(Dati!$A$2:$A$451,$H71,Dati!$C$2:$C$451)+SUMIF(Dati!$H$2:$H$451,$H71,Dati!$J$2:$J$451))</f>
        <v/>
      </c>
      <c r="O71" s="12">
        <f>IF($H71="",0,SUMIF(Dati!$A$2:$A$451,$H71,Dati!$E$2:$E$451)+SUMIF(Dati!$H$2:$H$451,$H71,Dati!$L$2:$L$451))</f>
        <v/>
      </c>
      <c r="P71" s="12">
        <f>IF($H71="",0,SUMIF(Dati!$A$2:$A$451,$H71,Dati!$F$2:$F$451)+SUMIF(Dati!$H$2:$H$451,$H71,Dati!$M$2:$M$451))</f>
        <v/>
      </c>
      <c r="Q71" s="12">
        <f>IF($H71="",0,SUMIF(Dati!$A$2:$A$451,$H71,Dati!$G$2:$G$451)+SUMIF(Dati!$H$2:$H$451,$H71,Dati!$N$2:$N$451))</f>
        <v/>
      </c>
      <c r="R71" s="12">
        <f>IF(K71=0,0,ROUND(O71/K71,2))</f>
        <v/>
      </c>
      <c r="S71" s="12">
        <f>IF(K71=0,0,ROUND(P71/K71,2))</f>
        <v/>
      </c>
      <c r="T71" s="12">
        <f>IF(K71=0,0,ROUND(Q71/K71,2))</f>
        <v/>
      </c>
      <c r="U71" s="12">
        <f>IF(COUNTIFS($E$14:$E$113,$E71,$J$14:$J$113,$J71,$C$14:$C$113,"&lt;&gt;")&lt;=1,"-",SUM(AK71:AT71)&amp;"-"&amp;SUM(AW71:BF71))</f>
        <v/>
      </c>
      <c r="V71" s="18">
        <f>IF(COUNTIFS($E$14:$E$113,$E71,$J$14:$J$113,$J71,$C$14:$C$113,"&lt;&gt;",$CF$14:$CF$113,$CF71)&lt;=1,"-",IF(SUM(BU71:CD71)=0,0,ROUND(SUM(BI71:BR71)/SUM(BU71:CD71),3)))</f>
        <v/>
      </c>
      <c r="W71" s="18">
        <f>IF(COUNTIFS($E$14:$E$113,$E71,$J$14:$J$113,$J71,$C$14:$C$113,"&lt;&gt;",$CF$14:$CF$113,$CF71,$V$14:$V$113,$V71)&lt;=1,"-",IF(P71=0,0,ROUND(O71/P71,3)))</f>
        <v/>
      </c>
      <c r="X71" s="19">
        <f>IF($C71="","",$E71&amp;"#"&amp;COUNTIFS($E$14:$E71,$E71,$C$14:$C71,"&lt;&gt;"))</f>
        <v/>
      </c>
      <c r="Y71" s="20">
        <f>IFERROR(INDEX($H$14:$H$113,MATCH($E71&amp;"#1",$X$14:$X$113,0)),"")</f>
        <v/>
      </c>
      <c r="Z71" s="20">
        <f>IFERROR(INDEX($H$14:$H$113,MATCH($E71&amp;"#2",$X$14:$X$113,0)),"")</f>
        <v/>
      </c>
      <c r="AA71" s="20">
        <f>IFERROR(INDEX($H$14:$H$113,MATCH($E71&amp;"#3",$X$14:$X$113,0)),"")</f>
        <v/>
      </c>
      <c r="AB71" s="20">
        <f>IFERROR(INDEX($H$14:$H$113,MATCH($E71&amp;"#4",$X$14:$X$113,0)),"")</f>
        <v/>
      </c>
      <c r="AC71" s="20">
        <f>IFERROR(INDEX($H$14:$H$113,MATCH($E71&amp;"#5",$X$14:$X$113,0)),"")</f>
        <v/>
      </c>
      <c r="AD71" s="20">
        <f>IFERROR(INDEX($H$14:$H$113,MATCH($E71&amp;"#6",$X$14:$X$113,0)),"")</f>
        <v/>
      </c>
      <c r="AE71" s="20">
        <f>IFERROR(INDEX($H$14:$H$113,MATCH($E71&amp;"#7",$X$14:$X$113,0)),"")</f>
        <v/>
      </c>
      <c r="AF71" s="20">
        <f>IFERROR(INDEX($H$14:$H$113,MATCH($E71&amp;"#8",$X$14:$X$113,0)),"")</f>
        <v/>
      </c>
      <c r="AG71" s="20">
        <f>IFERROR(INDEX($H$14:$H$113,MATCH($E71&amp;"#9",$X$14:$X$113,0)),"")</f>
        <v/>
      </c>
      <c r="AH71" s="20">
        <f>IFERROR(INDEX($H$14:$H$113,MATCH($E71&amp;"#10",$X$14:$X$113,0)),"")</f>
        <v/>
      </c>
      <c r="AJ71" s="21">
        <f>$C71</f>
        <v/>
      </c>
      <c r="AK71" s="22">
        <f>IF(AND($H71&lt;&gt;"",$Y71&lt;&gt;"",$H71&lt;&gt;$Y71,IFERROR(VLOOKUP($H71,areaCercaPuntiClassificaSquadra,3,FALSE),-1)=IFERROR(VLOOKUP($Y71,areaCercaPuntiClassificaSquadra,3,FALSE),-2)),SUMIFS(Dati!$B$2:$B$451,Dati!$A$2:$A$451,$H71,Dati!$H$2:$H$451,$Y71)+SUMIFS(Dati!$I$2:$I$451,Dati!$H$2:$H$451,$H71,Dati!$A$2:$A$451,$Y71),"-")</f>
        <v/>
      </c>
      <c r="AL71" s="22">
        <f>IF(AND($H71&lt;&gt;"",$Z71&lt;&gt;"",$H71&lt;&gt;$Z71,IFERROR(VLOOKUP($H71,areaCercaPuntiClassificaSquadra,3,FALSE),-1)=IFERROR(VLOOKUP($Z71,areaCercaPuntiClassificaSquadra,3,FALSE),-2)),SUMIFS(Dati!$B$2:$B$451,Dati!$A$2:$A$451,$H71,Dati!$H$2:$H$451,$Z71)+SUMIFS(Dati!$I$2:$I$451,Dati!$H$2:$H$451,$H71,Dati!$A$2:$A$451,$Z71),"-")</f>
        <v/>
      </c>
      <c r="AM71" s="22">
        <f>IF(AND($H71&lt;&gt;"",$AA71&lt;&gt;"",$H71&lt;&gt;$AA71,IFERROR(VLOOKUP($H71,areaCercaPuntiClassificaSquadra,3,FALSE),-1)=IFERROR(VLOOKUP($AA71,areaCercaPuntiClassificaSquadra,3,FALSE),-2)),SUMIFS(Dati!$B$2:$B$451,Dati!$A$2:$A$451,$H71,Dati!$H$2:$H$451,$AA71)+SUMIFS(Dati!$I$2:$I$451,Dati!$H$2:$H$451,$H71,Dati!$A$2:$A$451,$AA71),"-")</f>
        <v/>
      </c>
      <c r="AN71" s="22">
        <f>IF(AND($H71&lt;&gt;"",$AB71&lt;&gt;"",$H71&lt;&gt;$AB71,IFERROR(VLOOKUP($H71,areaCercaPuntiClassificaSquadra,3,FALSE),-1)=IFERROR(VLOOKUP($AB71,areaCercaPuntiClassificaSquadra,3,FALSE),-2)),SUMIFS(Dati!$B$2:$B$451,Dati!$A$2:$A$451,$H71,Dati!$H$2:$H$451,$AB71)+SUMIFS(Dati!$I$2:$I$451,Dati!$H$2:$H$451,$H71,Dati!$A$2:$A$451,$AB71),"-")</f>
        <v/>
      </c>
      <c r="AO71" s="22">
        <f>IF(AND($H71&lt;&gt;"",$AC71&lt;&gt;"",$H71&lt;&gt;$AC71,IFERROR(VLOOKUP($H71,areaCercaPuntiClassificaSquadra,3,FALSE),-1)=IFERROR(VLOOKUP($AC71,areaCercaPuntiClassificaSquadra,3,FALSE),-2)),SUMIFS(Dati!$B$2:$B$451,Dati!$A$2:$A$451,$H71,Dati!$H$2:$H$451,$AC71)+SUMIFS(Dati!$I$2:$I$451,Dati!$H$2:$H$451,$H71,Dati!$A$2:$A$451,$AC71),"-")</f>
        <v/>
      </c>
      <c r="AP71" s="22">
        <f>IF(AND($H71&lt;&gt;"",$AD71&lt;&gt;"",$H71&lt;&gt;$AD71,IFERROR(VLOOKUP($H71,areaCercaPuntiClassificaSquadra,3,FALSE),-1)=IFERROR(VLOOKUP($AD71,areaCercaPuntiClassificaSquadra,3,FALSE),-2)),SUMIFS(Dati!$B$2:$B$451,Dati!$A$2:$A$451,$H71,Dati!$H$2:$H$451,$AD71)+SUMIFS(Dati!$I$2:$I$451,Dati!$H$2:$H$451,$H71,Dati!$A$2:$A$451,$AD71),"-")</f>
        <v/>
      </c>
      <c r="AQ71" s="22">
        <f>IF(AND($H71&lt;&gt;"",$AE71&lt;&gt;"",$H71&lt;&gt;$AE71,IFERROR(VLOOKUP($H71,areaCercaPuntiClassificaSquadra,3,FALSE),-1)=IFERROR(VLOOKUP($AE71,areaCercaPuntiClassificaSquadra,3,FALSE),-2)),SUMIFS(Dati!$B$2:$B$451,Dati!$A$2:$A$451,$H71,Dati!$H$2:$H$451,$AE71)+SUMIFS(Dati!$I$2:$I$451,Dati!$H$2:$H$451,$H71,Dati!$A$2:$A$451,$AE71),"-")</f>
        <v/>
      </c>
      <c r="AR71" s="22">
        <f>IF(AND($H71&lt;&gt;"",$AF71&lt;&gt;"",$H71&lt;&gt;$AF71,IFERROR(VLOOKUP($H71,areaCercaPuntiClassificaSquadra,3,FALSE),-1)=IFERROR(VLOOKUP($AF71,areaCercaPuntiClassificaSquadra,3,FALSE),-2)),SUMIFS(Dati!$B$2:$B$451,Dati!$A$2:$A$451,$H71,Dati!$H$2:$H$451,$AF71)+SUMIFS(Dati!$I$2:$I$451,Dati!$H$2:$H$451,$H71,Dati!$A$2:$A$451,$AF71),"-")</f>
        <v/>
      </c>
      <c r="AS71" s="22">
        <f>IF(AND($H71&lt;&gt;"",$AG71&lt;&gt;"",$H71&lt;&gt;$AG71,IFERROR(VLOOKUP($H71,areaCercaPuntiClassificaSquadra,3,FALSE),-1)=IFERROR(VLOOKUP($AG71,areaCercaPuntiClassificaSquadra,3,FALSE),-2)),SUMIFS(Dati!$B$2:$B$451,Dati!$A$2:$A$451,$H71,Dati!$H$2:$H$451,$AG71)+SUMIFS(Dati!$I$2:$I$451,Dati!$H$2:$H$451,$H71,Dati!$A$2:$A$451,$AG71),"-")</f>
        <v/>
      </c>
      <c r="AT71" s="22">
        <f>IF(AND($H71&lt;&gt;"",$AH71&lt;&gt;"",$H71&lt;&gt;$AH71,IFERROR(VLOOKUP($H71,areaCercaPuntiClassificaSquadra,3,FALSE),-1)=IFERROR(VLOOKUP($AH71,areaCercaPuntiClassificaSquadra,3,FALSE),-2)),SUMIFS(Dati!$B$2:$B$451,Dati!$A$2:$A$451,$H71,Dati!$H$2:$H$451,$AH71)+SUMIFS(Dati!$I$2:$I$451,Dati!$H$2:$H$451,$H71,Dati!$A$2:$A$451,$AH71),"-")</f>
        <v/>
      </c>
      <c r="AV71" s="21">
        <f>$C71</f>
        <v/>
      </c>
      <c r="AW71" s="22">
        <f>IF(AND($H71&lt;&gt;"",$Y71&lt;&gt;"",$H71&lt;&gt;$Y71,IFERROR(VLOOKUP($H71,areaCercaPuntiClassificaSquadra,3,FALSE),-1)=IFERROR(VLOOKUP($Y71,areaCercaPuntiClassificaSquadra,3,FALSE),-2)),SUMIFS(Dati!$D$2:$D$451,Dati!$A$2:$A$451,$H71,Dati!$H$2:$H$451,$Y71)+SUMIFS(Dati!$K$2:$K$451,Dati!$H$2:$H$451,$H71,Dati!$A$2:$A$451,$Y71)+SUMIFS(Dati!$C$2:$C$451,Dati!$A$2:$A$451,$H71,Dati!$H$2:$H$451,$Y71)+SUMIFS(Dati!$J$2:$J$451,Dati!$H$2:$H$451,$H71,Dati!$A$2:$A$451,$Y71),"-")</f>
        <v/>
      </c>
      <c r="AX71" s="22">
        <f>IF(AND($H71&lt;&gt;"",$Z71&lt;&gt;"",$H71&lt;&gt;$Z71,IFERROR(VLOOKUP($H71,areaCercaPuntiClassificaSquadra,3,FALSE),-1)=IFERROR(VLOOKUP($Z71,areaCercaPuntiClassificaSquadra,3,FALSE),-2)),SUMIFS(Dati!$D$2:$D$451,Dati!$A$2:$A$451,$H71,Dati!$H$2:$H$451,$Z71)+SUMIFS(Dati!$K$2:$K$451,Dati!$H$2:$H$451,$H71,Dati!$A$2:$A$451,$Z71)+SUMIFS(Dati!$C$2:$C$451,Dati!$A$2:$A$451,$H71,Dati!$H$2:$H$451,$Z71)+SUMIFS(Dati!$J$2:$J$451,Dati!$H$2:$H$451,$H71,Dati!$A$2:$A$451,$Z71),"-")</f>
        <v/>
      </c>
      <c r="AY71" s="22">
        <f>IF(AND($H71&lt;&gt;"",$AA71&lt;&gt;"",$H71&lt;&gt;$AA71,IFERROR(VLOOKUP($H71,areaCercaPuntiClassificaSquadra,3,FALSE),-1)=IFERROR(VLOOKUP($AA71,areaCercaPuntiClassificaSquadra,3,FALSE),-2)),SUMIFS(Dati!$D$2:$D$451,Dati!$A$2:$A$451,$H71,Dati!$H$2:$H$451,$AA71)+SUMIFS(Dati!$K$2:$K$451,Dati!$H$2:$H$451,$H71,Dati!$A$2:$A$451,$AA71)+SUMIFS(Dati!$C$2:$C$451,Dati!$A$2:$A$451,$H71,Dati!$H$2:$H$451,$AA71)+SUMIFS(Dati!$J$2:$J$451,Dati!$H$2:$H$451,$H71,Dati!$A$2:$A$451,$AA71),"-")</f>
        <v/>
      </c>
      <c r="AZ71" s="22">
        <f>IF(AND($H71&lt;&gt;"",$AB71&lt;&gt;"",$H71&lt;&gt;$AB71,IFERROR(VLOOKUP($H71,areaCercaPuntiClassificaSquadra,3,FALSE),-1)=IFERROR(VLOOKUP($AB71,areaCercaPuntiClassificaSquadra,3,FALSE),-2)),SUMIFS(Dati!$D$2:$D$451,Dati!$A$2:$A$451,$H71,Dati!$H$2:$H$451,$AB71)+SUMIFS(Dati!$K$2:$K$451,Dati!$H$2:$H$451,$H71,Dati!$A$2:$A$451,$AB71)+SUMIFS(Dati!$C$2:$C$451,Dati!$A$2:$A$451,$H71,Dati!$H$2:$H$451,$AB71)+SUMIFS(Dati!$J$2:$J$451,Dati!$H$2:$H$451,$H71,Dati!$A$2:$A$451,$AB71),"-")</f>
        <v/>
      </c>
      <c r="BA71" s="22">
        <f>IF(AND($H71&lt;&gt;"",$AC71&lt;&gt;"",$H71&lt;&gt;$AC71,IFERROR(VLOOKUP($H71,areaCercaPuntiClassificaSquadra,3,FALSE),-1)=IFERROR(VLOOKUP($AC71,areaCercaPuntiClassificaSquadra,3,FALSE),-2)),SUMIFS(Dati!$D$2:$D$451,Dati!$A$2:$A$451,$H71,Dati!$H$2:$H$451,$AC71)+SUMIFS(Dati!$K$2:$K$451,Dati!$H$2:$H$451,$H71,Dati!$A$2:$A$451,$AC71)+SUMIFS(Dati!$C$2:$C$451,Dati!$A$2:$A$451,$H71,Dati!$H$2:$H$451,$AC71)+SUMIFS(Dati!$J$2:$J$451,Dati!$H$2:$H$451,$H71,Dati!$A$2:$A$451,$AC71),"-")</f>
        <v/>
      </c>
      <c r="BB71" s="22">
        <f>IF(AND($H71&lt;&gt;"",$AD71&lt;&gt;"",$H71&lt;&gt;$AD71,IFERROR(VLOOKUP($H71,areaCercaPuntiClassificaSquadra,3,FALSE),-1)=IFERROR(VLOOKUP($AD71,areaCercaPuntiClassificaSquadra,3,FALSE),-2)),SUMIFS(Dati!$D$2:$D$451,Dati!$A$2:$A$451,$H71,Dati!$H$2:$H$451,$AD71)+SUMIFS(Dati!$K$2:$K$451,Dati!$H$2:$H$451,$H71,Dati!$A$2:$A$451,$AD71)+SUMIFS(Dati!$C$2:$C$451,Dati!$A$2:$A$451,$H71,Dati!$H$2:$H$451,$AD71)+SUMIFS(Dati!$J$2:$J$451,Dati!$H$2:$H$451,$H71,Dati!$A$2:$A$451,$AD71),"-")</f>
        <v/>
      </c>
      <c r="BC71" s="22">
        <f>IF(AND($H71&lt;&gt;"",$AE71&lt;&gt;"",$H71&lt;&gt;$AE71,IFERROR(VLOOKUP($H71,areaCercaPuntiClassificaSquadra,3,FALSE),-1)=IFERROR(VLOOKUP($AE71,areaCercaPuntiClassificaSquadra,3,FALSE),-2)),SUMIFS(Dati!$D$2:$D$451,Dati!$A$2:$A$451,$H71,Dati!$H$2:$H$451,$AE71)+SUMIFS(Dati!$K$2:$K$451,Dati!$H$2:$H$451,$H71,Dati!$A$2:$A$451,$AE71)+SUMIFS(Dati!$C$2:$C$451,Dati!$A$2:$A$451,$H71,Dati!$H$2:$H$451,$AE71)+SUMIFS(Dati!$J$2:$J$451,Dati!$H$2:$H$451,$H71,Dati!$A$2:$A$451,$AE71),"-")</f>
        <v/>
      </c>
      <c r="BD71" s="22">
        <f>IF(AND($H71&lt;&gt;"",$AF71&lt;&gt;"",$H71&lt;&gt;$AF71,IFERROR(VLOOKUP($H71,areaCercaPuntiClassificaSquadra,3,FALSE),-1)=IFERROR(VLOOKUP($AF71,areaCercaPuntiClassificaSquadra,3,FALSE),-2)),SUMIFS(Dati!$D$2:$D$451,Dati!$A$2:$A$451,$H71,Dati!$H$2:$H$451,$AF71)+SUMIFS(Dati!$K$2:$K$451,Dati!$H$2:$H$451,$H71,Dati!$A$2:$A$451,$AF71)+SUMIFS(Dati!$C$2:$C$451,Dati!$A$2:$A$451,$H71,Dati!$H$2:$H$451,$AF71)+SUMIFS(Dati!$J$2:$J$451,Dati!$H$2:$H$451,$H71,Dati!$A$2:$A$451,$AF71),"-")</f>
        <v/>
      </c>
      <c r="BE71" s="22">
        <f>IF(AND($H71&lt;&gt;"",$AG71&lt;&gt;"",$H71&lt;&gt;$AG71,IFERROR(VLOOKUP($H71,areaCercaPuntiClassificaSquadra,3,FALSE),-1)=IFERROR(VLOOKUP($AG71,areaCercaPuntiClassificaSquadra,3,FALSE),-2)),SUMIFS(Dati!$D$2:$D$451,Dati!$A$2:$A$451,$H71,Dati!$H$2:$H$451,$AG71)+SUMIFS(Dati!$K$2:$K$451,Dati!$H$2:$H$451,$H71,Dati!$A$2:$A$451,$AG71)+SUMIFS(Dati!$C$2:$C$451,Dati!$A$2:$A$451,$H71,Dati!$H$2:$H$451,$AG71)+SUMIFS(Dati!$J$2:$J$451,Dati!$H$2:$H$451,$H71,Dati!$A$2:$A$451,$AG71),"-")</f>
        <v/>
      </c>
      <c r="BF71" s="22">
        <f>IF(AND($H71&lt;&gt;"",$AH71&lt;&gt;"",$H71&lt;&gt;$AH71,IFERROR(VLOOKUP($H71,areaCercaPuntiClassificaSquadra,3,FALSE),-1)=IFERROR(VLOOKUP($AH71,areaCercaPuntiClassificaSquadra,3,FALSE),-2)),SUMIFS(Dati!$D$2:$D$451,Dati!$A$2:$A$451,$H71,Dati!$H$2:$H$451,$AH71)+SUMIFS(Dati!$K$2:$K$451,Dati!$H$2:$H$451,$H71,Dati!$A$2:$A$451,$AH71)+SUMIFS(Dati!$C$2:$C$451,Dati!$A$2:$A$451,$H71,Dati!$H$2:$H$451,$AH71)+SUMIFS(Dati!$J$2:$J$451,Dati!$H$2:$H$451,$H71,Dati!$A$2:$A$451,$AH71),"-")</f>
        <v/>
      </c>
      <c r="BH71" s="21">
        <f>$C71</f>
        <v/>
      </c>
      <c r="BI71" s="22">
        <f>IF(AND($H71&lt;&gt;"",$Y71&lt;&gt;"",$H71&lt;&gt;$Y71,IFERROR(VLOOKUP($H71,areaCercaPuntiClassificaSquadra,3,FALSE),-1)=IFERROR(VLOOKUP($Y71,areaCercaPuntiClassificaSquadra,3,FALSE),-2)),SUMIFS(Dati!$E$2:$E$451,Dati!$A$2:$A$451,$H71,Dati!$H$2:$H$451,$Y71)+SUMIFS(Dati!$L$2:$L$451,Dati!$H$2:$H$451,$H71,Dati!$A$2:$A$451,$Y71),"-")</f>
        <v/>
      </c>
      <c r="BJ71" s="22">
        <f>IF(AND($H71&lt;&gt;"",$Z71&lt;&gt;"",$H71&lt;&gt;$Z71,IFERROR(VLOOKUP($H71,areaCercaPuntiClassificaSquadra,3,FALSE),-1)=IFERROR(VLOOKUP($Z71,areaCercaPuntiClassificaSquadra,3,FALSE),-2)),SUMIFS(Dati!$E$2:$E$451,Dati!$A$2:$A$451,$H71,Dati!$H$2:$H$451,$Z71)+SUMIFS(Dati!$L$2:$L$451,Dati!$H$2:$H$451,$H71,Dati!$A$2:$A$451,$Z71),"-")</f>
        <v/>
      </c>
      <c r="BK71" s="22">
        <f>IF(AND($H71&lt;&gt;"",$AA71&lt;&gt;"",$H71&lt;&gt;$AA71,IFERROR(VLOOKUP($H71,areaCercaPuntiClassificaSquadra,3,FALSE),-1)=IFERROR(VLOOKUP($AA71,areaCercaPuntiClassificaSquadra,3,FALSE),-2)),SUMIFS(Dati!$E$2:$E$451,Dati!$A$2:$A$451,$H71,Dati!$H$2:$H$451,$AA71)+SUMIFS(Dati!$L$2:$L$451,Dati!$H$2:$H$451,$H71,Dati!$A$2:$A$451,$AA71),"-")</f>
        <v/>
      </c>
      <c r="BL71" s="22">
        <f>IF(AND($H71&lt;&gt;"",$AB71&lt;&gt;"",$H71&lt;&gt;$AB71,IFERROR(VLOOKUP($H71,areaCercaPuntiClassificaSquadra,3,FALSE),-1)=IFERROR(VLOOKUP($AB71,areaCercaPuntiClassificaSquadra,3,FALSE),-2)),SUMIFS(Dati!$E$2:$E$451,Dati!$A$2:$A$451,$H71,Dati!$H$2:$H$451,$AB71)+SUMIFS(Dati!$L$2:$L$451,Dati!$H$2:$H$451,$H71,Dati!$A$2:$A$451,$AB71),"-")</f>
        <v/>
      </c>
      <c r="BM71" s="22">
        <f>IF(AND($H71&lt;&gt;"",$AC71&lt;&gt;"",$H71&lt;&gt;$AC71,IFERROR(VLOOKUP($H71,areaCercaPuntiClassificaSquadra,3,FALSE),-1)=IFERROR(VLOOKUP($AC71,areaCercaPuntiClassificaSquadra,3,FALSE),-2)),SUMIFS(Dati!$E$2:$E$451,Dati!$A$2:$A$451,$H71,Dati!$H$2:$H$451,$AC71)+SUMIFS(Dati!$L$2:$L$451,Dati!$H$2:$H$451,$H71,Dati!$A$2:$A$451,$AC71),"-")</f>
        <v/>
      </c>
      <c r="BN71" s="22">
        <f>IF(AND($H71&lt;&gt;"",$AD71&lt;&gt;"",$H71&lt;&gt;$AD71,IFERROR(VLOOKUP($H71,areaCercaPuntiClassificaSquadra,3,FALSE),-1)=IFERROR(VLOOKUP($AD71,areaCercaPuntiClassificaSquadra,3,FALSE),-2)),SUMIFS(Dati!$E$2:$E$451,Dati!$A$2:$A$451,$H71,Dati!$H$2:$H$451,$AD71)+SUMIFS(Dati!$L$2:$L$451,Dati!$H$2:$H$451,$H71,Dati!$A$2:$A$451,$AD71),"-")</f>
        <v/>
      </c>
      <c r="BO71" s="22">
        <f>IF(AND($H71&lt;&gt;"",$AE71&lt;&gt;"",$H71&lt;&gt;$AE71,IFERROR(VLOOKUP($H71,areaCercaPuntiClassificaSquadra,3,FALSE),-1)=IFERROR(VLOOKUP($AE71,areaCercaPuntiClassificaSquadra,3,FALSE),-2)),SUMIFS(Dati!$E$2:$E$451,Dati!$A$2:$A$451,$H71,Dati!$H$2:$H$451,$AE71)+SUMIFS(Dati!$L$2:$L$451,Dati!$H$2:$H$451,$H71,Dati!$A$2:$A$451,$AE71),"-")</f>
        <v/>
      </c>
      <c r="BP71" s="22">
        <f>IF(AND($H71&lt;&gt;"",$AF71&lt;&gt;"",$H71&lt;&gt;$AF71,IFERROR(VLOOKUP($H71,areaCercaPuntiClassificaSquadra,3,FALSE),-1)=IFERROR(VLOOKUP($AF71,areaCercaPuntiClassificaSquadra,3,FALSE),-2)),SUMIFS(Dati!$E$2:$E$451,Dati!$A$2:$A$451,$H71,Dati!$H$2:$H$451,$AF71)+SUMIFS(Dati!$L$2:$L$451,Dati!$H$2:$H$451,$H71,Dati!$A$2:$A$451,$AF71),"-")</f>
        <v/>
      </c>
      <c r="BQ71" s="22">
        <f>IF(AND($H71&lt;&gt;"",$AG71&lt;&gt;"",$H71&lt;&gt;$AG71,IFERROR(VLOOKUP($H71,areaCercaPuntiClassificaSquadra,3,FALSE),-1)=IFERROR(VLOOKUP($AG71,areaCercaPuntiClassificaSquadra,3,FALSE),-2)),SUMIFS(Dati!$E$2:$E$451,Dati!$A$2:$A$451,$H71,Dati!$H$2:$H$451,$AG71)+SUMIFS(Dati!$L$2:$L$451,Dati!$H$2:$H$451,$H71,Dati!$A$2:$A$451,$AG71),"-")</f>
        <v/>
      </c>
      <c r="BR71" s="22">
        <f>IF(AND($H71&lt;&gt;"",$AH71&lt;&gt;"",$H71&lt;&gt;$AH71,IFERROR(VLOOKUP($H71,areaCercaPuntiClassificaSquadra,3,FALSE),-1)=IFERROR(VLOOKUP($AH71,areaCercaPuntiClassificaSquadra,3,FALSE),-2)),SUMIFS(Dati!$E$2:$E$451,Dati!$A$2:$A$451,$H71,Dati!$H$2:$H$451,$AH71)+SUMIFS(Dati!$L$2:$L$451,Dati!$H$2:$H$451,$H71,Dati!$A$2:$A$451,$AH71),"-")</f>
        <v/>
      </c>
      <c r="BT71" s="21">
        <f>$C71</f>
        <v/>
      </c>
      <c r="BU71" s="22">
        <f>IF(AND($H71&lt;&gt;"",$Y71&lt;&gt;"",$H71&lt;&gt;$Y71,IFERROR(VLOOKUP($H71,areaCercaPuntiClassificaSquadra,3,FALSE),-1)=IFERROR(VLOOKUP($Y71,areaCercaPuntiClassificaSquadra,3,FALSE),-2)),SUMIFS(Dati!$F$2:$F$451,Dati!$A$2:$A$451,$H71,Dati!$H$2:$H$451,$Y71)+SUMIFS(Dati!$M$2:$M$451,Dati!$H$2:$H$451,$H71,Dati!$A$2:$A$451,$Y71),"-")</f>
        <v/>
      </c>
      <c r="BV71" s="22">
        <f>IF(AND($H71&lt;&gt;"",$Z71&lt;&gt;"",$H71&lt;&gt;$Z71,IFERROR(VLOOKUP($H71,areaCercaPuntiClassificaSquadra,3,FALSE),-1)=IFERROR(VLOOKUP($Z71,areaCercaPuntiClassificaSquadra,3,FALSE),-2)),SUMIFS(Dati!$F$2:$F$451,Dati!$A$2:$A$451,$H71,Dati!$H$2:$H$451,$Z71)+SUMIFS(Dati!$M$2:$M$451,Dati!$H$2:$H$451,$H71,Dati!$A$2:$A$451,$Z71),"-")</f>
        <v/>
      </c>
      <c r="BW71" s="22">
        <f>IF(AND($H71&lt;&gt;"",$AA71&lt;&gt;"",$H71&lt;&gt;$AA71,IFERROR(VLOOKUP($H71,areaCercaPuntiClassificaSquadra,3,FALSE),-1)=IFERROR(VLOOKUP($AA71,areaCercaPuntiClassificaSquadra,3,FALSE),-2)),SUMIFS(Dati!$F$2:$F$451,Dati!$A$2:$A$451,$H71,Dati!$H$2:$H$451,$AA71)+SUMIFS(Dati!$M$2:$M$451,Dati!$H$2:$H$451,$H71,Dati!$A$2:$A$451,$AA71),"-")</f>
        <v/>
      </c>
      <c r="BX71" s="22">
        <f>IF(AND($H71&lt;&gt;"",$AB71&lt;&gt;"",$H71&lt;&gt;$AB71,IFERROR(VLOOKUP($H71,areaCercaPuntiClassificaSquadra,3,FALSE),-1)=IFERROR(VLOOKUP($AB71,areaCercaPuntiClassificaSquadra,3,FALSE),-2)),SUMIFS(Dati!$F$2:$F$451,Dati!$A$2:$A$451,$H71,Dati!$H$2:$H$451,$AB71)+SUMIFS(Dati!$M$2:$M$451,Dati!$H$2:$H$451,$H71,Dati!$A$2:$A$451,$AB71),"-")</f>
        <v/>
      </c>
      <c r="BY71" s="22">
        <f>IF(AND($H71&lt;&gt;"",$AC71&lt;&gt;"",$H71&lt;&gt;$AC71,IFERROR(VLOOKUP($H71,areaCercaPuntiClassificaSquadra,3,FALSE),-1)=IFERROR(VLOOKUP($AC71,areaCercaPuntiClassificaSquadra,3,FALSE),-2)),SUMIFS(Dati!$F$2:$F$451,Dati!$A$2:$A$451,$H71,Dati!$H$2:$H$451,$AC71)+SUMIFS(Dati!$M$2:$M$451,Dati!$H$2:$H$451,$H71,Dati!$A$2:$A$451,$AC71),"-")</f>
        <v/>
      </c>
      <c r="BZ71" s="22">
        <f>IF(AND($H71&lt;&gt;"",$AD71&lt;&gt;"",$H71&lt;&gt;$AD71,IFERROR(VLOOKUP($H71,areaCercaPuntiClassificaSquadra,3,FALSE),-1)=IFERROR(VLOOKUP($AD71,areaCercaPuntiClassificaSquadra,3,FALSE),-2)),SUMIFS(Dati!$F$2:$F$451,Dati!$A$2:$A$451,$H71,Dati!$H$2:$H$451,$AD71)+SUMIFS(Dati!$M$2:$M$451,Dati!$H$2:$H$451,$H71,Dati!$A$2:$A$451,$AD71),"-")</f>
        <v/>
      </c>
      <c r="CA71" s="22">
        <f>IF(AND($H71&lt;&gt;"",$AE71&lt;&gt;"",$H71&lt;&gt;$AE71,IFERROR(VLOOKUP($H71,areaCercaPuntiClassificaSquadra,3,FALSE),-1)=IFERROR(VLOOKUP($AE71,areaCercaPuntiClassificaSquadra,3,FALSE),-2)),SUMIFS(Dati!$F$2:$F$451,Dati!$A$2:$A$451,$H71,Dati!$H$2:$H$451,$AE71)+SUMIFS(Dati!$M$2:$M$451,Dati!$H$2:$H$451,$H71,Dati!$A$2:$A$451,$AE71),"-")</f>
        <v/>
      </c>
      <c r="CB71" s="22">
        <f>IF(AND($H71&lt;&gt;"",$AF71&lt;&gt;"",$H71&lt;&gt;$AF71,IFERROR(VLOOKUP($H71,areaCercaPuntiClassificaSquadra,3,FALSE),-1)=IFERROR(VLOOKUP($AF71,areaCercaPuntiClassificaSquadra,3,FALSE),-2)),SUMIFS(Dati!$F$2:$F$451,Dati!$A$2:$A$451,$H71,Dati!$H$2:$H$451,$AF71)+SUMIFS(Dati!$M$2:$M$451,Dati!$H$2:$H$451,$H71,Dati!$A$2:$A$451,$AF71),"-")</f>
        <v/>
      </c>
      <c r="CC71" s="22">
        <f>IF(AND($H71&lt;&gt;"",$AG71&lt;&gt;"",$H71&lt;&gt;$AG71,IFERROR(VLOOKUP($H71,areaCercaPuntiClassificaSquadra,3,FALSE),-1)=IFERROR(VLOOKUP($AG71,areaCercaPuntiClassificaSquadra,3,FALSE),-2)),SUMIFS(Dati!$F$2:$F$451,Dati!$A$2:$A$451,$H71,Dati!$H$2:$H$451,$AG71)+SUMIFS(Dati!$M$2:$M$451,Dati!$H$2:$H$451,$H71,Dati!$A$2:$A$451,$AG71),"-")</f>
        <v/>
      </c>
      <c r="CD71" s="22">
        <f>IF(AND($H71&lt;&gt;"",$AH71&lt;&gt;"",$H71&lt;&gt;$AH71,IFERROR(VLOOKUP($H71,areaCercaPuntiClassificaSquadra,3,FALSE),-1)=IFERROR(VLOOKUP($AH71,areaCercaPuntiClassificaSquadra,3,FALSE),-2)),SUMIFS(Dati!$F$2:$F$451,Dati!$A$2:$A$451,$H71,Dati!$H$2:$H$451,$AH71)+SUMIFS(Dati!$M$2:$M$451,Dati!$H$2:$H$451,$H71,Dati!$A$2:$A$451,$AH71),"-")</f>
        <v/>
      </c>
      <c r="CF71" s="22">
        <f>IF($C71="","",SUM(AK71:AT71))</f>
        <v/>
      </c>
    </row>
    <row r="72">
      <c r="B72" s="12" t="inlineStr">
        <is>
          <t>F09</t>
        </is>
      </c>
      <c r="C72" s="13" t="n"/>
      <c r="D72" s="14" t="n"/>
      <c r="E72" s="31" t="inlineStr">
        <is>
          <t>F</t>
        </is>
      </c>
      <c r="G72" s="32">
        <f>IF($C72="","",$E72&amp;(COUNTIFS(I$14:I$113,"&gt;"&amp;I72,E$14:E$113,"="&amp;E72,C$14:C$113,"&lt;&gt;")+COUNTIFS(I$14:I$113,"="&amp;I72,H$14:H$113,"&lt;="&amp;H72,E$14:E$113,"="&amp;E72,C$14:C$113,"&lt;&gt;")))</f>
        <v/>
      </c>
      <c r="H72" s="17">
        <f>IF($C72="","",IFERROR(LEFT($C72,FIND("-",$C72)-1),$C72))</f>
        <v/>
      </c>
      <c r="I72" s="12">
        <f>TEXT(1000000000+J72,"|0000000000|")&amp;TEXT(SUM(AK72:AT72),"0000000000|")&amp;IF(SUM(BU72:CD72)=0,"0000000000|",TEXT(ROUND(SUM(BI72:BR72)/SUM(BU72:CD72),4)*100000,"0000000000|"))&amp;IF(P72=0,"0000000000|",TEXT(ROUND(O72/P72,4)*100000,"0000000000|"))</f>
        <v/>
      </c>
      <c r="J72" s="32">
        <f>L72*constPuntiVittoria+M72*constPuntiSconfitta+N72*constPuntiForfait+IF(D72="",0,D72)</f>
        <v/>
      </c>
      <c r="K72" s="12">
        <f>SUM(L72:N72)</f>
        <v/>
      </c>
      <c r="L72" s="12">
        <f>IF($H72="",0,SUMIF(Dati!$A$2:$A$451,$H72,Dati!$B$2:$B$451)+SUMIF(Dati!$H$2:$H$451,$H72,Dati!$I$2:$I$451))</f>
        <v/>
      </c>
      <c r="M72" s="12">
        <f>IF($H72="",0,SUMIF(Dati!$A$2:$A$451,$H72,Dati!$D$2:$D$451)+SUMIF(Dati!$H$2:$H$451,$H72,Dati!$K$2:$K$451))</f>
        <v/>
      </c>
      <c r="N72" s="12">
        <f>IF($H72="",0,SUMIF(Dati!$A$2:$A$451,$H72,Dati!$C$2:$C$451)+SUMIF(Dati!$H$2:$H$451,$H72,Dati!$J$2:$J$451))</f>
        <v/>
      </c>
      <c r="O72" s="12">
        <f>IF($H72="",0,SUMIF(Dati!$A$2:$A$451,$H72,Dati!$E$2:$E$451)+SUMIF(Dati!$H$2:$H$451,$H72,Dati!$L$2:$L$451))</f>
        <v/>
      </c>
      <c r="P72" s="12">
        <f>IF($H72="",0,SUMIF(Dati!$A$2:$A$451,$H72,Dati!$F$2:$F$451)+SUMIF(Dati!$H$2:$H$451,$H72,Dati!$M$2:$M$451))</f>
        <v/>
      </c>
      <c r="Q72" s="12">
        <f>IF($H72="",0,SUMIF(Dati!$A$2:$A$451,$H72,Dati!$G$2:$G$451)+SUMIF(Dati!$H$2:$H$451,$H72,Dati!$N$2:$N$451))</f>
        <v/>
      </c>
      <c r="R72" s="12">
        <f>IF(K72=0,0,ROUND(O72/K72,2))</f>
        <v/>
      </c>
      <c r="S72" s="12">
        <f>IF(K72=0,0,ROUND(P72/K72,2))</f>
        <v/>
      </c>
      <c r="T72" s="12">
        <f>IF(K72=0,0,ROUND(Q72/K72,2))</f>
        <v/>
      </c>
      <c r="U72" s="12">
        <f>IF(COUNTIFS($E$14:$E$113,$E72,$J$14:$J$113,$J72,$C$14:$C$113,"&lt;&gt;")&lt;=1,"-",SUM(AK72:AT72)&amp;"-"&amp;SUM(AW72:BF72))</f>
        <v/>
      </c>
      <c r="V72" s="18">
        <f>IF(COUNTIFS($E$14:$E$113,$E72,$J$14:$J$113,$J72,$C$14:$C$113,"&lt;&gt;",$CF$14:$CF$113,$CF72)&lt;=1,"-",IF(SUM(BU72:CD72)=0,0,ROUND(SUM(BI72:BR72)/SUM(BU72:CD72),3)))</f>
        <v/>
      </c>
      <c r="W72" s="18">
        <f>IF(COUNTIFS($E$14:$E$113,$E72,$J$14:$J$113,$J72,$C$14:$C$113,"&lt;&gt;",$CF$14:$CF$113,$CF72,$V$14:$V$113,$V72)&lt;=1,"-",IF(P72=0,0,ROUND(O72/P72,3)))</f>
        <v/>
      </c>
      <c r="X72" s="19">
        <f>IF($C72="","",$E72&amp;"#"&amp;COUNTIFS($E$14:$E72,$E72,$C$14:$C72,"&lt;&gt;"))</f>
        <v/>
      </c>
      <c r="Y72" s="20">
        <f>IFERROR(INDEX($H$14:$H$113,MATCH($E72&amp;"#1",$X$14:$X$113,0)),"")</f>
        <v/>
      </c>
      <c r="Z72" s="20">
        <f>IFERROR(INDEX($H$14:$H$113,MATCH($E72&amp;"#2",$X$14:$X$113,0)),"")</f>
        <v/>
      </c>
      <c r="AA72" s="20">
        <f>IFERROR(INDEX($H$14:$H$113,MATCH($E72&amp;"#3",$X$14:$X$113,0)),"")</f>
        <v/>
      </c>
      <c r="AB72" s="20">
        <f>IFERROR(INDEX($H$14:$H$113,MATCH($E72&amp;"#4",$X$14:$X$113,0)),"")</f>
        <v/>
      </c>
      <c r="AC72" s="20">
        <f>IFERROR(INDEX($H$14:$H$113,MATCH($E72&amp;"#5",$X$14:$X$113,0)),"")</f>
        <v/>
      </c>
      <c r="AD72" s="20">
        <f>IFERROR(INDEX($H$14:$H$113,MATCH($E72&amp;"#6",$X$14:$X$113,0)),"")</f>
        <v/>
      </c>
      <c r="AE72" s="20">
        <f>IFERROR(INDEX($H$14:$H$113,MATCH($E72&amp;"#7",$X$14:$X$113,0)),"")</f>
        <v/>
      </c>
      <c r="AF72" s="20">
        <f>IFERROR(INDEX($H$14:$H$113,MATCH($E72&amp;"#8",$X$14:$X$113,0)),"")</f>
        <v/>
      </c>
      <c r="AG72" s="20">
        <f>IFERROR(INDEX($H$14:$H$113,MATCH($E72&amp;"#9",$X$14:$X$113,0)),"")</f>
        <v/>
      </c>
      <c r="AH72" s="20">
        <f>IFERROR(INDEX($H$14:$H$113,MATCH($E72&amp;"#10",$X$14:$X$113,0)),"")</f>
        <v/>
      </c>
      <c r="AJ72" s="21">
        <f>$C72</f>
        <v/>
      </c>
      <c r="AK72" s="22">
        <f>IF(AND($H72&lt;&gt;"",$Y72&lt;&gt;"",$H72&lt;&gt;$Y72,IFERROR(VLOOKUP($H72,areaCercaPuntiClassificaSquadra,3,FALSE),-1)=IFERROR(VLOOKUP($Y72,areaCercaPuntiClassificaSquadra,3,FALSE),-2)),SUMIFS(Dati!$B$2:$B$451,Dati!$A$2:$A$451,$H72,Dati!$H$2:$H$451,$Y72)+SUMIFS(Dati!$I$2:$I$451,Dati!$H$2:$H$451,$H72,Dati!$A$2:$A$451,$Y72),"-")</f>
        <v/>
      </c>
      <c r="AL72" s="22">
        <f>IF(AND($H72&lt;&gt;"",$Z72&lt;&gt;"",$H72&lt;&gt;$Z72,IFERROR(VLOOKUP($H72,areaCercaPuntiClassificaSquadra,3,FALSE),-1)=IFERROR(VLOOKUP($Z72,areaCercaPuntiClassificaSquadra,3,FALSE),-2)),SUMIFS(Dati!$B$2:$B$451,Dati!$A$2:$A$451,$H72,Dati!$H$2:$H$451,$Z72)+SUMIFS(Dati!$I$2:$I$451,Dati!$H$2:$H$451,$H72,Dati!$A$2:$A$451,$Z72),"-")</f>
        <v/>
      </c>
      <c r="AM72" s="22">
        <f>IF(AND($H72&lt;&gt;"",$AA72&lt;&gt;"",$H72&lt;&gt;$AA72,IFERROR(VLOOKUP($H72,areaCercaPuntiClassificaSquadra,3,FALSE),-1)=IFERROR(VLOOKUP($AA72,areaCercaPuntiClassificaSquadra,3,FALSE),-2)),SUMIFS(Dati!$B$2:$B$451,Dati!$A$2:$A$451,$H72,Dati!$H$2:$H$451,$AA72)+SUMIFS(Dati!$I$2:$I$451,Dati!$H$2:$H$451,$H72,Dati!$A$2:$A$451,$AA72),"-")</f>
        <v/>
      </c>
      <c r="AN72" s="22">
        <f>IF(AND($H72&lt;&gt;"",$AB72&lt;&gt;"",$H72&lt;&gt;$AB72,IFERROR(VLOOKUP($H72,areaCercaPuntiClassificaSquadra,3,FALSE),-1)=IFERROR(VLOOKUP($AB72,areaCercaPuntiClassificaSquadra,3,FALSE),-2)),SUMIFS(Dati!$B$2:$B$451,Dati!$A$2:$A$451,$H72,Dati!$H$2:$H$451,$AB72)+SUMIFS(Dati!$I$2:$I$451,Dati!$H$2:$H$451,$H72,Dati!$A$2:$A$451,$AB72),"-")</f>
        <v/>
      </c>
      <c r="AO72" s="22">
        <f>IF(AND($H72&lt;&gt;"",$AC72&lt;&gt;"",$H72&lt;&gt;$AC72,IFERROR(VLOOKUP($H72,areaCercaPuntiClassificaSquadra,3,FALSE),-1)=IFERROR(VLOOKUP($AC72,areaCercaPuntiClassificaSquadra,3,FALSE),-2)),SUMIFS(Dati!$B$2:$B$451,Dati!$A$2:$A$451,$H72,Dati!$H$2:$H$451,$AC72)+SUMIFS(Dati!$I$2:$I$451,Dati!$H$2:$H$451,$H72,Dati!$A$2:$A$451,$AC72),"-")</f>
        <v/>
      </c>
      <c r="AP72" s="22">
        <f>IF(AND($H72&lt;&gt;"",$AD72&lt;&gt;"",$H72&lt;&gt;$AD72,IFERROR(VLOOKUP($H72,areaCercaPuntiClassificaSquadra,3,FALSE),-1)=IFERROR(VLOOKUP($AD72,areaCercaPuntiClassificaSquadra,3,FALSE),-2)),SUMIFS(Dati!$B$2:$B$451,Dati!$A$2:$A$451,$H72,Dati!$H$2:$H$451,$AD72)+SUMIFS(Dati!$I$2:$I$451,Dati!$H$2:$H$451,$H72,Dati!$A$2:$A$451,$AD72),"-")</f>
        <v/>
      </c>
      <c r="AQ72" s="22">
        <f>IF(AND($H72&lt;&gt;"",$AE72&lt;&gt;"",$H72&lt;&gt;$AE72,IFERROR(VLOOKUP($H72,areaCercaPuntiClassificaSquadra,3,FALSE),-1)=IFERROR(VLOOKUP($AE72,areaCercaPuntiClassificaSquadra,3,FALSE),-2)),SUMIFS(Dati!$B$2:$B$451,Dati!$A$2:$A$451,$H72,Dati!$H$2:$H$451,$AE72)+SUMIFS(Dati!$I$2:$I$451,Dati!$H$2:$H$451,$H72,Dati!$A$2:$A$451,$AE72),"-")</f>
        <v/>
      </c>
      <c r="AR72" s="22">
        <f>IF(AND($H72&lt;&gt;"",$AF72&lt;&gt;"",$H72&lt;&gt;$AF72,IFERROR(VLOOKUP($H72,areaCercaPuntiClassificaSquadra,3,FALSE),-1)=IFERROR(VLOOKUP($AF72,areaCercaPuntiClassificaSquadra,3,FALSE),-2)),SUMIFS(Dati!$B$2:$B$451,Dati!$A$2:$A$451,$H72,Dati!$H$2:$H$451,$AF72)+SUMIFS(Dati!$I$2:$I$451,Dati!$H$2:$H$451,$H72,Dati!$A$2:$A$451,$AF72),"-")</f>
        <v/>
      </c>
      <c r="AS72" s="22">
        <f>IF(AND($H72&lt;&gt;"",$AG72&lt;&gt;"",$H72&lt;&gt;$AG72,IFERROR(VLOOKUP($H72,areaCercaPuntiClassificaSquadra,3,FALSE),-1)=IFERROR(VLOOKUP($AG72,areaCercaPuntiClassificaSquadra,3,FALSE),-2)),SUMIFS(Dati!$B$2:$B$451,Dati!$A$2:$A$451,$H72,Dati!$H$2:$H$451,$AG72)+SUMIFS(Dati!$I$2:$I$451,Dati!$H$2:$H$451,$H72,Dati!$A$2:$A$451,$AG72),"-")</f>
        <v/>
      </c>
      <c r="AT72" s="22">
        <f>IF(AND($H72&lt;&gt;"",$AH72&lt;&gt;"",$H72&lt;&gt;$AH72,IFERROR(VLOOKUP($H72,areaCercaPuntiClassificaSquadra,3,FALSE),-1)=IFERROR(VLOOKUP($AH72,areaCercaPuntiClassificaSquadra,3,FALSE),-2)),SUMIFS(Dati!$B$2:$B$451,Dati!$A$2:$A$451,$H72,Dati!$H$2:$H$451,$AH72)+SUMIFS(Dati!$I$2:$I$451,Dati!$H$2:$H$451,$H72,Dati!$A$2:$A$451,$AH72),"-")</f>
        <v/>
      </c>
      <c r="AV72" s="21">
        <f>$C72</f>
        <v/>
      </c>
      <c r="AW72" s="22">
        <f>IF(AND($H72&lt;&gt;"",$Y72&lt;&gt;"",$H72&lt;&gt;$Y72,IFERROR(VLOOKUP($H72,areaCercaPuntiClassificaSquadra,3,FALSE),-1)=IFERROR(VLOOKUP($Y72,areaCercaPuntiClassificaSquadra,3,FALSE),-2)),SUMIFS(Dati!$D$2:$D$451,Dati!$A$2:$A$451,$H72,Dati!$H$2:$H$451,$Y72)+SUMIFS(Dati!$K$2:$K$451,Dati!$H$2:$H$451,$H72,Dati!$A$2:$A$451,$Y72)+SUMIFS(Dati!$C$2:$C$451,Dati!$A$2:$A$451,$H72,Dati!$H$2:$H$451,$Y72)+SUMIFS(Dati!$J$2:$J$451,Dati!$H$2:$H$451,$H72,Dati!$A$2:$A$451,$Y72),"-")</f>
        <v/>
      </c>
      <c r="AX72" s="22">
        <f>IF(AND($H72&lt;&gt;"",$Z72&lt;&gt;"",$H72&lt;&gt;$Z72,IFERROR(VLOOKUP($H72,areaCercaPuntiClassificaSquadra,3,FALSE),-1)=IFERROR(VLOOKUP($Z72,areaCercaPuntiClassificaSquadra,3,FALSE),-2)),SUMIFS(Dati!$D$2:$D$451,Dati!$A$2:$A$451,$H72,Dati!$H$2:$H$451,$Z72)+SUMIFS(Dati!$K$2:$K$451,Dati!$H$2:$H$451,$H72,Dati!$A$2:$A$451,$Z72)+SUMIFS(Dati!$C$2:$C$451,Dati!$A$2:$A$451,$H72,Dati!$H$2:$H$451,$Z72)+SUMIFS(Dati!$J$2:$J$451,Dati!$H$2:$H$451,$H72,Dati!$A$2:$A$451,$Z72),"-")</f>
        <v/>
      </c>
      <c r="AY72" s="22">
        <f>IF(AND($H72&lt;&gt;"",$AA72&lt;&gt;"",$H72&lt;&gt;$AA72,IFERROR(VLOOKUP($H72,areaCercaPuntiClassificaSquadra,3,FALSE),-1)=IFERROR(VLOOKUP($AA72,areaCercaPuntiClassificaSquadra,3,FALSE),-2)),SUMIFS(Dati!$D$2:$D$451,Dati!$A$2:$A$451,$H72,Dati!$H$2:$H$451,$AA72)+SUMIFS(Dati!$K$2:$K$451,Dati!$H$2:$H$451,$H72,Dati!$A$2:$A$451,$AA72)+SUMIFS(Dati!$C$2:$C$451,Dati!$A$2:$A$451,$H72,Dati!$H$2:$H$451,$AA72)+SUMIFS(Dati!$J$2:$J$451,Dati!$H$2:$H$451,$H72,Dati!$A$2:$A$451,$AA72),"-")</f>
        <v/>
      </c>
      <c r="AZ72" s="22">
        <f>IF(AND($H72&lt;&gt;"",$AB72&lt;&gt;"",$H72&lt;&gt;$AB72,IFERROR(VLOOKUP($H72,areaCercaPuntiClassificaSquadra,3,FALSE),-1)=IFERROR(VLOOKUP($AB72,areaCercaPuntiClassificaSquadra,3,FALSE),-2)),SUMIFS(Dati!$D$2:$D$451,Dati!$A$2:$A$451,$H72,Dati!$H$2:$H$451,$AB72)+SUMIFS(Dati!$K$2:$K$451,Dati!$H$2:$H$451,$H72,Dati!$A$2:$A$451,$AB72)+SUMIFS(Dati!$C$2:$C$451,Dati!$A$2:$A$451,$H72,Dati!$H$2:$H$451,$AB72)+SUMIFS(Dati!$J$2:$J$451,Dati!$H$2:$H$451,$H72,Dati!$A$2:$A$451,$AB72),"-")</f>
        <v/>
      </c>
      <c r="BA72" s="22">
        <f>IF(AND($H72&lt;&gt;"",$AC72&lt;&gt;"",$H72&lt;&gt;$AC72,IFERROR(VLOOKUP($H72,areaCercaPuntiClassificaSquadra,3,FALSE),-1)=IFERROR(VLOOKUP($AC72,areaCercaPuntiClassificaSquadra,3,FALSE),-2)),SUMIFS(Dati!$D$2:$D$451,Dati!$A$2:$A$451,$H72,Dati!$H$2:$H$451,$AC72)+SUMIFS(Dati!$K$2:$K$451,Dati!$H$2:$H$451,$H72,Dati!$A$2:$A$451,$AC72)+SUMIFS(Dati!$C$2:$C$451,Dati!$A$2:$A$451,$H72,Dati!$H$2:$H$451,$AC72)+SUMIFS(Dati!$J$2:$J$451,Dati!$H$2:$H$451,$H72,Dati!$A$2:$A$451,$AC72),"-")</f>
        <v/>
      </c>
      <c r="BB72" s="22">
        <f>IF(AND($H72&lt;&gt;"",$AD72&lt;&gt;"",$H72&lt;&gt;$AD72,IFERROR(VLOOKUP($H72,areaCercaPuntiClassificaSquadra,3,FALSE),-1)=IFERROR(VLOOKUP($AD72,areaCercaPuntiClassificaSquadra,3,FALSE),-2)),SUMIFS(Dati!$D$2:$D$451,Dati!$A$2:$A$451,$H72,Dati!$H$2:$H$451,$AD72)+SUMIFS(Dati!$K$2:$K$451,Dati!$H$2:$H$451,$H72,Dati!$A$2:$A$451,$AD72)+SUMIFS(Dati!$C$2:$C$451,Dati!$A$2:$A$451,$H72,Dati!$H$2:$H$451,$AD72)+SUMIFS(Dati!$J$2:$J$451,Dati!$H$2:$H$451,$H72,Dati!$A$2:$A$451,$AD72),"-")</f>
        <v/>
      </c>
      <c r="BC72" s="22">
        <f>IF(AND($H72&lt;&gt;"",$AE72&lt;&gt;"",$H72&lt;&gt;$AE72,IFERROR(VLOOKUP($H72,areaCercaPuntiClassificaSquadra,3,FALSE),-1)=IFERROR(VLOOKUP($AE72,areaCercaPuntiClassificaSquadra,3,FALSE),-2)),SUMIFS(Dati!$D$2:$D$451,Dati!$A$2:$A$451,$H72,Dati!$H$2:$H$451,$AE72)+SUMIFS(Dati!$K$2:$K$451,Dati!$H$2:$H$451,$H72,Dati!$A$2:$A$451,$AE72)+SUMIFS(Dati!$C$2:$C$451,Dati!$A$2:$A$451,$H72,Dati!$H$2:$H$451,$AE72)+SUMIFS(Dati!$J$2:$J$451,Dati!$H$2:$H$451,$H72,Dati!$A$2:$A$451,$AE72),"-")</f>
        <v/>
      </c>
      <c r="BD72" s="22">
        <f>IF(AND($H72&lt;&gt;"",$AF72&lt;&gt;"",$H72&lt;&gt;$AF72,IFERROR(VLOOKUP($H72,areaCercaPuntiClassificaSquadra,3,FALSE),-1)=IFERROR(VLOOKUP($AF72,areaCercaPuntiClassificaSquadra,3,FALSE),-2)),SUMIFS(Dati!$D$2:$D$451,Dati!$A$2:$A$451,$H72,Dati!$H$2:$H$451,$AF72)+SUMIFS(Dati!$K$2:$K$451,Dati!$H$2:$H$451,$H72,Dati!$A$2:$A$451,$AF72)+SUMIFS(Dati!$C$2:$C$451,Dati!$A$2:$A$451,$H72,Dati!$H$2:$H$451,$AF72)+SUMIFS(Dati!$J$2:$J$451,Dati!$H$2:$H$451,$H72,Dati!$A$2:$A$451,$AF72),"-")</f>
        <v/>
      </c>
      <c r="BE72" s="22">
        <f>IF(AND($H72&lt;&gt;"",$AG72&lt;&gt;"",$H72&lt;&gt;$AG72,IFERROR(VLOOKUP($H72,areaCercaPuntiClassificaSquadra,3,FALSE),-1)=IFERROR(VLOOKUP($AG72,areaCercaPuntiClassificaSquadra,3,FALSE),-2)),SUMIFS(Dati!$D$2:$D$451,Dati!$A$2:$A$451,$H72,Dati!$H$2:$H$451,$AG72)+SUMIFS(Dati!$K$2:$K$451,Dati!$H$2:$H$451,$H72,Dati!$A$2:$A$451,$AG72)+SUMIFS(Dati!$C$2:$C$451,Dati!$A$2:$A$451,$H72,Dati!$H$2:$H$451,$AG72)+SUMIFS(Dati!$J$2:$J$451,Dati!$H$2:$H$451,$H72,Dati!$A$2:$A$451,$AG72),"-")</f>
        <v/>
      </c>
      <c r="BF72" s="22">
        <f>IF(AND($H72&lt;&gt;"",$AH72&lt;&gt;"",$H72&lt;&gt;$AH72,IFERROR(VLOOKUP($H72,areaCercaPuntiClassificaSquadra,3,FALSE),-1)=IFERROR(VLOOKUP($AH72,areaCercaPuntiClassificaSquadra,3,FALSE),-2)),SUMIFS(Dati!$D$2:$D$451,Dati!$A$2:$A$451,$H72,Dati!$H$2:$H$451,$AH72)+SUMIFS(Dati!$K$2:$K$451,Dati!$H$2:$H$451,$H72,Dati!$A$2:$A$451,$AH72)+SUMIFS(Dati!$C$2:$C$451,Dati!$A$2:$A$451,$H72,Dati!$H$2:$H$451,$AH72)+SUMIFS(Dati!$J$2:$J$451,Dati!$H$2:$H$451,$H72,Dati!$A$2:$A$451,$AH72),"-")</f>
        <v/>
      </c>
      <c r="BH72" s="21">
        <f>$C72</f>
        <v/>
      </c>
      <c r="BI72" s="22">
        <f>IF(AND($H72&lt;&gt;"",$Y72&lt;&gt;"",$H72&lt;&gt;$Y72,IFERROR(VLOOKUP($H72,areaCercaPuntiClassificaSquadra,3,FALSE),-1)=IFERROR(VLOOKUP($Y72,areaCercaPuntiClassificaSquadra,3,FALSE),-2)),SUMIFS(Dati!$E$2:$E$451,Dati!$A$2:$A$451,$H72,Dati!$H$2:$H$451,$Y72)+SUMIFS(Dati!$L$2:$L$451,Dati!$H$2:$H$451,$H72,Dati!$A$2:$A$451,$Y72),"-")</f>
        <v/>
      </c>
      <c r="BJ72" s="22">
        <f>IF(AND($H72&lt;&gt;"",$Z72&lt;&gt;"",$H72&lt;&gt;$Z72,IFERROR(VLOOKUP($H72,areaCercaPuntiClassificaSquadra,3,FALSE),-1)=IFERROR(VLOOKUP($Z72,areaCercaPuntiClassificaSquadra,3,FALSE),-2)),SUMIFS(Dati!$E$2:$E$451,Dati!$A$2:$A$451,$H72,Dati!$H$2:$H$451,$Z72)+SUMIFS(Dati!$L$2:$L$451,Dati!$H$2:$H$451,$H72,Dati!$A$2:$A$451,$Z72),"-")</f>
        <v/>
      </c>
      <c r="BK72" s="22">
        <f>IF(AND($H72&lt;&gt;"",$AA72&lt;&gt;"",$H72&lt;&gt;$AA72,IFERROR(VLOOKUP($H72,areaCercaPuntiClassificaSquadra,3,FALSE),-1)=IFERROR(VLOOKUP($AA72,areaCercaPuntiClassificaSquadra,3,FALSE),-2)),SUMIFS(Dati!$E$2:$E$451,Dati!$A$2:$A$451,$H72,Dati!$H$2:$H$451,$AA72)+SUMIFS(Dati!$L$2:$L$451,Dati!$H$2:$H$451,$H72,Dati!$A$2:$A$451,$AA72),"-")</f>
        <v/>
      </c>
      <c r="BL72" s="22">
        <f>IF(AND($H72&lt;&gt;"",$AB72&lt;&gt;"",$H72&lt;&gt;$AB72,IFERROR(VLOOKUP($H72,areaCercaPuntiClassificaSquadra,3,FALSE),-1)=IFERROR(VLOOKUP($AB72,areaCercaPuntiClassificaSquadra,3,FALSE),-2)),SUMIFS(Dati!$E$2:$E$451,Dati!$A$2:$A$451,$H72,Dati!$H$2:$H$451,$AB72)+SUMIFS(Dati!$L$2:$L$451,Dati!$H$2:$H$451,$H72,Dati!$A$2:$A$451,$AB72),"-")</f>
        <v/>
      </c>
      <c r="BM72" s="22">
        <f>IF(AND($H72&lt;&gt;"",$AC72&lt;&gt;"",$H72&lt;&gt;$AC72,IFERROR(VLOOKUP($H72,areaCercaPuntiClassificaSquadra,3,FALSE),-1)=IFERROR(VLOOKUP($AC72,areaCercaPuntiClassificaSquadra,3,FALSE),-2)),SUMIFS(Dati!$E$2:$E$451,Dati!$A$2:$A$451,$H72,Dati!$H$2:$H$451,$AC72)+SUMIFS(Dati!$L$2:$L$451,Dati!$H$2:$H$451,$H72,Dati!$A$2:$A$451,$AC72),"-")</f>
        <v/>
      </c>
      <c r="BN72" s="22">
        <f>IF(AND($H72&lt;&gt;"",$AD72&lt;&gt;"",$H72&lt;&gt;$AD72,IFERROR(VLOOKUP($H72,areaCercaPuntiClassificaSquadra,3,FALSE),-1)=IFERROR(VLOOKUP($AD72,areaCercaPuntiClassificaSquadra,3,FALSE),-2)),SUMIFS(Dati!$E$2:$E$451,Dati!$A$2:$A$451,$H72,Dati!$H$2:$H$451,$AD72)+SUMIFS(Dati!$L$2:$L$451,Dati!$H$2:$H$451,$H72,Dati!$A$2:$A$451,$AD72),"-")</f>
        <v/>
      </c>
      <c r="BO72" s="22">
        <f>IF(AND($H72&lt;&gt;"",$AE72&lt;&gt;"",$H72&lt;&gt;$AE72,IFERROR(VLOOKUP($H72,areaCercaPuntiClassificaSquadra,3,FALSE),-1)=IFERROR(VLOOKUP($AE72,areaCercaPuntiClassificaSquadra,3,FALSE),-2)),SUMIFS(Dati!$E$2:$E$451,Dati!$A$2:$A$451,$H72,Dati!$H$2:$H$451,$AE72)+SUMIFS(Dati!$L$2:$L$451,Dati!$H$2:$H$451,$H72,Dati!$A$2:$A$451,$AE72),"-")</f>
        <v/>
      </c>
      <c r="BP72" s="22">
        <f>IF(AND($H72&lt;&gt;"",$AF72&lt;&gt;"",$H72&lt;&gt;$AF72,IFERROR(VLOOKUP($H72,areaCercaPuntiClassificaSquadra,3,FALSE),-1)=IFERROR(VLOOKUP($AF72,areaCercaPuntiClassificaSquadra,3,FALSE),-2)),SUMIFS(Dati!$E$2:$E$451,Dati!$A$2:$A$451,$H72,Dati!$H$2:$H$451,$AF72)+SUMIFS(Dati!$L$2:$L$451,Dati!$H$2:$H$451,$H72,Dati!$A$2:$A$451,$AF72),"-")</f>
        <v/>
      </c>
      <c r="BQ72" s="22">
        <f>IF(AND($H72&lt;&gt;"",$AG72&lt;&gt;"",$H72&lt;&gt;$AG72,IFERROR(VLOOKUP($H72,areaCercaPuntiClassificaSquadra,3,FALSE),-1)=IFERROR(VLOOKUP($AG72,areaCercaPuntiClassificaSquadra,3,FALSE),-2)),SUMIFS(Dati!$E$2:$E$451,Dati!$A$2:$A$451,$H72,Dati!$H$2:$H$451,$AG72)+SUMIFS(Dati!$L$2:$L$451,Dati!$H$2:$H$451,$H72,Dati!$A$2:$A$451,$AG72),"-")</f>
        <v/>
      </c>
      <c r="BR72" s="22">
        <f>IF(AND($H72&lt;&gt;"",$AH72&lt;&gt;"",$H72&lt;&gt;$AH72,IFERROR(VLOOKUP($H72,areaCercaPuntiClassificaSquadra,3,FALSE),-1)=IFERROR(VLOOKUP($AH72,areaCercaPuntiClassificaSquadra,3,FALSE),-2)),SUMIFS(Dati!$E$2:$E$451,Dati!$A$2:$A$451,$H72,Dati!$H$2:$H$451,$AH72)+SUMIFS(Dati!$L$2:$L$451,Dati!$H$2:$H$451,$H72,Dati!$A$2:$A$451,$AH72),"-")</f>
        <v/>
      </c>
      <c r="BT72" s="21">
        <f>$C72</f>
        <v/>
      </c>
      <c r="BU72" s="22">
        <f>IF(AND($H72&lt;&gt;"",$Y72&lt;&gt;"",$H72&lt;&gt;$Y72,IFERROR(VLOOKUP($H72,areaCercaPuntiClassificaSquadra,3,FALSE),-1)=IFERROR(VLOOKUP($Y72,areaCercaPuntiClassificaSquadra,3,FALSE),-2)),SUMIFS(Dati!$F$2:$F$451,Dati!$A$2:$A$451,$H72,Dati!$H$2:$H$451,$Y72)+SUMIFS(Dati!$M$2:$M$451,Dati!$H$2:$H$451,$H72,Dati!$A$2:$A$451,$Y72),"-")</f>
        <v/>
      </c>
      <c r="BV72" s="22">
        <f>IF(AND($H72&lt;&gt;"",$Z72&lt;&gt;"",$H72&lt;&gt;$Z72,IFERROR(VLOOKUP($H72,areaCercaPuntiClassificaSquadra,3,FALSE),-1)=IFERROR(VLOOKUP($Z72,areaCercaPuntiClassificaSquadra,3,FALSE),-2)),SUMIFS(Dati!$F$2:$F$451,Dati!$A$2:$A$451,$H72,Dati!$H$2:$H$451,$Z72)+SUMIFS(Dati!$M$2:$M$451,Dati!$H$2:$H$451,$H72,Dati!$A$2:$A$451,$Z72),"-")</f>
        <v/>
      </c>
      <c r="BW72" s="22">
        <f>IF(AND($H72&lt;&gt;"",$AA72&lt;&gt;"",$H72&lt;&gt;$AA72,IFERROR(VLOOKUP($H72,areaCercaPuntiClassificaSquadra,3,FALSE),-1)=IFERROR(VLOOKUP($AA72,areaCercaPuntiClassificaSquadra,3,FALSE),-2)),SUMIFS(Dati!$F$2:$F$451,Dati!$A$2:$A$451,$H72,Dati!$H$2:$H$451,$AA72)+SUMIFS(Dati!$M$2:$M$451,Dati!$H$2:$H$451,$H72,Dati!$A$2:$A$451,$AA72),"-")</f>
        <v/>
      </c>
      <c r="BX72" s="22">
        <f>IF(AND($H72&lt;&gt;"",$AB72&lt;&gt;"",$H72&lt;&gt;$AB72,IFERROR(VLOOKUP($H72,areaCercaPuntiClassificaSquadra,3,FALSE),-1)=IFERROR(VLOOKUP($AB72,areaCercaPuntiClassificaSquadra,3,FALSE),-2)),SUMIFS(Dati!$F$2:$F$451,Dati!$A$2:$A$451,$H72,Dati!$H$2:$H$451,$AB72)+SUMIFS(Dati!$M$2:$M$451,Dati!$H$2:$H$451,$H72,Dati!$A$2:$A$451,$AB72),"-")</f>
        <v/>
      </c>
      <c r="BY72" s="22">
        <f>IF(AND($H72&lt;&gt;"",$AC72&lt;&gt;"",$H72&lt;&gt;$AC72,IFERROR(VLOOKUP($H72,areaCercaPuntiClassificaSquadra,3,FALSE),-1)=IFERROR(VLOOKUP($AC72,areaCercaPuntiClassificaSquadra,3,FALSE),-2)),SUMIFS(Dati!$F$2:$F$451,Dati!$A$2:$A$451,$H72,Dati!$H$2:$H$451,$AC72)+SUMIFS(Dati!$M$2:$M$451,Dati!$H$2:$H$451,$H72,Dati!$A$2:$A$451,$AC72),"-")</f>
        <v/>
      </c>
      <c r="BZ72" s="22">
        <f>IF(AND($H72&lt;&gt;"",$AD72&lt;&gt;"",$H72&lt;&gt;$AD72,IFERROR(VLOOKUP($H72,areaCercaPuntiClassificaSquadra,3,FALSE),-1)=IFERROR(VLOOKUP($AD72,areaCercaPuntiClassificaSquadra,3,FALSE),-2)),SUMIFS(Dati!$F$2:$F$451,Dati!$A$2:$A$451,$H72,Dati!$H$2:$H$451,$AD72)+SUMIFS(Dati!$M$2:$M$451,Dati!$H$2:$H$451,$H72,Dati!$A$2:$A$451,$AD72),"-")</f>
        <v/>
      </c>
      <c r="CA72" s="22">
        <f>IF(AND($H72&lt;&gt;"",$AE72&lt;&gt;"",$H72&lt;&gt;$AE72,IFERROR(VLOOKUP($H72,areaCercaPuntiClassificaSquadra,3,FALSE),-1)=IFERROR(VLOOKUP($AE72,areaCercaPuntiClassificaSquadra,3,FALSE),-2)),SUMIFS(Dati!$F$2:$F$451,Dati!$A$2:$A$451,$H72,Dati!$H$2:$H$451,$AE72)+SUMIFS(Dati!$M$2:$M$451,Dati!$H$2:$H$451,$H72,Dati!$A$2:$A$451,$AE72),"-")</f>
        <v/>
      </c>
      <c r="CB72" s="22">
        <f>IF(AND($H72&lt;&gt;"",$AF72&lt;&gt;"",$H72&lt;&gt;$AF72,IFERROR(VLOOKUP($H72,areaCercaPuntiClassificaSquadra,3,FALSE),-1)=IFERROR(VLOOKUP($AF72,areaCercaPuntiClassificaSquadra,3,FALSE),-2)),SUMIFS(Dati!$F$2:$F$451,Dati!$A$2:$A$451,$H72,Dati!$H$2:$H$451,$AF72)+SUMIFS(Dati!$M$2:$M$451,Dati!$H$2:$H$451,$H72,Dati!$A$2:$A$451,$AF72),"-")</f>
        <v/>
      </c>
      <c r="CC72" s="22">
        <f>IF(AND($H72&lt;&gt;"",$AG72&lt;&gt;"",$H72&lt;&gt;$AG72,IFERROR(VLOOKUP($H72,areaCercaPuntiClassificaSquadra,3,FALSE),-1)=IFERROR(VLOOKUP($AG72,areaCercaPuntiClassificaSquadra,3,FALSE),-2)),SUMIFS(Dati!$F$2:$F$451,Dati!$A$2:$A$451,$H72,Dati!$H$2:$H$451,$AG72)+SUMIFS(Dati!$M$2:$M$451,Dati!$H$2:$H$451,$H72,Dati!$A$2:$A$451,$AG72),"-")</f>
        <v/>
      </c>
      <c r="CD72" s="22">
        <f>IF(AND($H72&lt;&gt;"",$AH72&lt;&gt;"",$H72&lt;&gt;$AH72,IFERROR(VLOOKUP($H72,areaCercaPuntiClassificaSquadra,3,FALSE),-1)=IFERROR(VLOOKUP($AH72,areaCercaPuntiClassificaSquadra,3,FALSE),-2)),SUMIFS(Dati!$F$2:$F$451,Dati!$A$2:$A$451,$H72,Dati!$H$2:$H$451,$AH72)+SUMIFS(Dati!$M$2:$M$451,Dati!$H$2:$H$451,$H72,Dati!$A$2:$A$451,$AH72),"-")</f>
        <v/>
      </c>
      <c r="CF72" s="22">
        <f>IF($C72="","",SUM(AK72:AT72))</f>
        <v/>
      </c>
    </row>
    <row r="73">
      <c r="B73" s="12" t="inlineStr">
        <is>
          <t>F10</t>
        </is>
      </c>
      <c r="C73" s="13" t="n"/>
      <c r="D73" s="14" t="n"/>
      <c r="E73" s="31" t="inlineStr">
        <is>
          <t>F</t>
        </is>
      </c>
      <c r="G73" s="32">
        <f>IF($C73="","",$E73&amp;(COUNTIFS(I$14:I$113,"&gt;"&amp;I73,E$14:E$113,"="&amp;E73,C$14:C$113,"&lt;&gt;")+COUNTIFS(I$14:I$113,"="&amp;I73,H$14:H$113,"&lt;="&amp;H73,E$14:E$113,"="&amp;E73,C$14:C$113,"&lt;&gt;")))</f>
        <v/>
      </c>
      <c r="H73" s="17">
        <f>IF($C73="","",IFERROR(LEFT($C73,FIND("-",$C73)-1),$C73))</f>
        <v/>
      </c>
      <c r="I73" s="12">
        <f>TEXT(1000000000+J73,"|0000000000|")&amp;TEXT(SUM(AK73:AT73),"0000000000|")&amp;IF(SUM(BU73:CD73)=0,"0000000000|",TEXT(ROUND(SUM(BI73:BR73)/SUM(BU73:CD73),4)*100000,"0000000000|"))&amp;IF(P73=0,"0000000000|",TEXT(ROUND(O73/P73,4)*100000,"0000000000|"))</f>
        <v/>
      </c>
      <c r="J73" s="32">
        <f>L73*constPuntiVittoria+M73*constPuntiSconfitta+N73*constPuntiForfait+IF(D73="",0,D73)</f>
        <v/>
      </c>
      <c r="K73" s="12">
        <f>SUM(L73:N73)</f>
        <v/>
      </c>
      <c r="L73" s="12">
        <f>IF($H73="",0,SUMIF(Dati!$A$2:$A$451,$H73,Dati!$B$2:$B$451)+SUMIF(Dati!$H$2:$H$451,$H73,Dati!$I$2:$I$451))</f>
        <v/>
      </c>
      <c r="M73" s="12">
        <f>IF($H73="",0,SUMIF(Dati!$A$2:$A$451,$H73,Dati!$D$2:$D$451)+SUMIF(Dati!$H$2:$H$451,$H73,Dati!$K$2:$K$451))</f>
        <v/>
      </c>
      <c r="N73" s="12">
        <f>IF($H73="",0,SUMIF(Dati!$A$2:$A$451,$H73,Dati!$C$2:$C$451)+SUMIF(Dati!$H$2:$H$451,$H73,Dati!$J$2:$J$451))</f>
        <v/>
      </c>
      <c r="O73" s="12">
        <f>IF($H73="",0,SUMIF(Dati!$A$2:$A$451,$H73,Dati!$E$2:$E$451)+SUMIF(Dati!$H$2:$H$451,$H73,Dati!$L$2:$L$451))</f>
        <v/>
      </c>
      <c r="P73" s="12">
        <f>IF($H73="",0,SUMIF(Dati!$A$2:$A$451,$H73,Dati!$F$2:$F$451)+SUMIF(Dati!$H$2:$H$451,$H73,Dati!$M$2:$M$451))</f>
        <v/>
      </c>
      <c r="Q73" s="12">
        <f>IF($H73="",0,SUMIF(Dati!$A$2:$A$451,$H73,Dati!$G$2:$G$451)+SUMIF(Dati!$H$2:$H$451,$H73,Dati!$N$2:$N$451))</f>
        <v/>
      </c>
      <c r="R73" s="12">
        <f>IF(K73=0,0,ROUND(O73/K73,2))</f>
        <v/>
      </c>
      <c r="S73" s="12">
        <f>IF(K73=0,0,ROUND(P73/K73,2))</f>
        <v/>
      </c>
      <c r="T73" s="12">
        <f>IF(K73=0,0,ROUND(Q73/K73,2))</f>
        <v/>
      </c>
      <c r="U73" s="12">
        <f>IF(COUNTIFS($E$14:$E$113,$E73,$J$14:$J$113,$J73,$C$14:$C$113,"&lt;&gt;")&lt;=1,"-",SUM(AK73:AT73)&amp;"-"&amp;SUM(AW73:BF73))</f>
        <v/>
      </c>
      <c r="V73" s="18">
        <f>IF(COUNTIFS($E$14:$E$113,$E73,$J$14:$J$113,$J73,$C$14:$C$113,"&lt;&gt;",$CF$14:$CF$113,$CF73)&lt;=1,"-",IF(SUM(BU73:CD73)=0,0,ROUND(SUM(BI73:BR73)/SUM(BU73:CD73),3)))</f>
        <v/>
      </c>
      <c r="W73" s="18">
        <f>IF(COUNTIFS($E$14:$E$113,$E73,$J$14:$J$113,$J73,$C$14:$C$113,"&lt;&gt;",$CF$14:$CF$113,$CF73,$V$14:$V$113,$V73)&lt;=1,"-",IF(P73=0,0,ROUND(O73/P73,3)))</f>
        <v/>
      </c>
      <c r="X73" s="19">
        <f>IF($C73="","",$E73&amp;"#"&amp;COUNTIFS($E$14:$E73,$E73,$C$14:$C73,"&lt;&gt;"))</f>
        <v/>
      </c>
      <c r="Y73" s="20">
        <f>IFERROR(INDEX($H$14:$H$113,MATCH($E73&amp;"#1",$X$14:$X$113,0)),"")</f>
        <v/>
      </c>
      <c r="Z73" s="20">
        <f>IFERROR(INDEX($H$14:$H$113,MATCH($E73&amp;"#2",$X$14:$X$113,0)),"")</f>
        <v/>
      </c>
      <c r="AA73" s="20">
        <f>IFERROR(INDEX($H$14:$H$113,MATCH($E73&amp;"#3",$X$14:$X$113,0)),"")</f>
        <v/>
      </c>
      <c r="AB73" s="20">
        <f>IFERROR(INDEX($H$14:$H$113,MATCH($E73&amp;"#4",$X$14:$X$113,0)),"")</f>
        <v/>
      </c>
      <c r="AC73" s="20">
        <f>IFERROR(INDEX($H$14:$H$113,MATCH($E73&amp;"#5",$X$14:$X$113,0)),"")</f>
        <v/>
      </c>
      <c r="AD73" s="20">
        <f>IFERROR(INDEX($H$14:$H$113,MATCH($E73&amp;"#6",$X$14:$X$113,0)),"")</f>
        <v/>
      </c>
      <c r="AE73" s="20">
        <f>IFERROR(INDEX($H$14:$H$113,MATCH($E73&amp;"#7",$X$14:$X$113,0)),"")</f>
        <v/>
      </c>
      <c r="AF73" s="20">
        <f>IFERROR(INDEX($H$14:$H$113,MATCH($E73&amp;"#8",$X$14:$X$113,0)),"")</f>
        <v/>
      </c>
      <c r="AG73" s="20">
        <f>IFERROR(INDEX($H$14:$H$113,MATCH($E73&amp;"#9",$X$14:$X$113,0)),"")</f>
        <v/>
      </c>
      <c r="AH73" s="20">
        <f>IFERROR(INDEX($H$14:$H$113,MATCH($E73&amp;"#10",$X$14:$X$113,0)),"")</f>
        <v/>
      </c>
      <c r="AJ73" s="21">
        <f>$C73</f>
        <v/>
      </c>
      <c r="AK73" s="22">
        <f>IF(AND($H73&lt;&gt;"",$Y73&lt;&gt;"",$H73&lt;&gt;$Y73,IFERROR(VLOOKUP($H73,areaCercaPuntiClassificaSquadra,3,FALSE),-1)=IFERROR(VLOOKUP($Y73,areaCercaPuntiClassificaSquadra,3,FALSE),-2)),SUMIFS(Dati!$B$2:$B$451,Dati!$A$2:$A$451,$H73,Dati!$H$2:$H$451,$Y73)+SUMIFS(Dati!$I$2:$I$451,Dati!$H$2:$H$451,$H73,Dati!$A$2:$A$451,$Y73),"-")</f>
        <v/>
      </c>
      <c r="AL73" s="22">
        <f>IF(AND($H73&lt;&gt;"",$Z73&lt;&gt;"",$H73&lt;&gt;$Z73,IFERROR(VLOOKUP($H73,areaCercaPuntiClassificaSquadra,3,FALSE),-1)=IFERROR(VLOOKUP($Z73,areaCercaPuntiClassificaSquadra,3,FALSE),-2)),SUMIFS(Dati!$B$2:$B$451,Dati!$A$2:$A$451,$H73,Dati!$H$2:$H$451,$Z73)+SUMIFS(Dati!$I$2:$I$451,Dati!$H$2:$H$451,$H73,Dati!$A$2:$A$451,$Z73),"-")</f>
        <v/>
      </c>
      <c r="AM73" s="22">
        <f>IF(AND($H73&lt;&gt;"",$AA73&lt;&gt;"",$H73&lt;&gt;$AA73,IFERROR(VLOOKUP($H73,areaCercaPuntiClassificaSquadra,3,FALSE),-1)=IFERROR(VLOOKUP($AA73,areaCercaPuntiClassificaSquadra,3,FALSE),-2)),SUMIFS(Dati!$B$2:$B$451,Dati!$A$2:$A$451,$H73,Dati!$H$2:$H$451,$AA73)+SUMIFS(Dati!$I$2:$I$451,Dati!$H$2:$H$451,$H73,Dati!$A$2:$A$451,$AA73),"-")</f>
        <v/>
      </c>
      <c r="AN73" s="22">
        <f>IF(AND($H73&lt;&gt;"",$AB73&lt;&gt;"",$H73&lt;&gt;$AB73,IFERROR(VLOOKUP($H73,areaCercaPuntiClassificaSquadra,3,FALSE),-1)=IFERROR(VLOOKUP($AB73,areaCercaPuntiClassificaSquadra,3,FALSE),-2)),SUMIFS(Dati!$B$2:$B$451,Dati!$A$2:$A$451,$H73,Dati!$H$2:$H$451,$AB73)+SUMIFS(Dati!$I$2:$I$451,Dati!$H$2:$H$451,$H73,Dati!$A$2:$A$451,$AB73),"-")</f>
        <v/>
      </c>
      <c r="AO73" s="22">
        <f>IF(AND($H73&lt;&gt;"",$AC73&lt;&gt;"",$H73&lt;&gt;$AC73,IFERROR(VLOOKUP($H73,areaCercaPuntiClassificaSquadra,3,FALSE),-1)=IFERROR(VLOOKUP($AC73,areaCercaPuntiClassificaSquadra,3,FALSE),-2)),SUMIFS(Dati!$B$2:$B$451,Dati!$A$2:$A$451,$H73,Dati!$H$2:$H$451,$AC73)+SUMIFS(Dati!$I$2:$I$451,Dati!$H$2:$H$451,$H73,Dati!$A$2:$A$451,$AC73),"-")</f>
        <v/>
      </c>
      <c r="AP73" s="22">
        <f>IF(AND($H73&lt;&gt;"",$AD73&lt;&gt;"",$H73&lt;&gt;$AD73,IFERROR(VLOOKUP($H73,areaCercaPuntiClassificaSquadra,3,FALSE),-1)=IFERROR(VLOOKUP($AD73,areaCercaPuntiClassificaSquadra,3,FALSE),-2)),SUMIFS(Dati!$B$2:$B$451,Dati!$A$2:$A$451,$H73,Dati!$H$2:$H$451,$AD73)+SUMIFS(Dati!$I$2:$I$451,Dati!$H$2:$H$451,$H73,Dati!$A$2:$A$451,$AD73),"-")</f>
        <v/>
      </c>
      <c r="AQ73" s="22">
        <f>IF(AND($H73&lt;&gt;"",$AE73&lt;&gt;"",$H73&lt;&gt;$AE73,IFERROR(VLOOKUP($H73,areaCercaPuntiClassificaSquadra,3,FALSE),-1)=IFERROR(VLOOKUP($AE73,areaCercaPuntiClassificaSquadra,3,FALSE),-2)),SUMIFS(Dati!$B$2:$B$451,Dati!$A$2:$A$451,$H73,Dati!$H$2:$H$451,$AE73)+SUMIFS(Dati!$I$2:$I$451,Dati!$H$2:$H$451,$H73,Dati!$A$2:$A$451,$AE73),"-")</f>
        <v/>
      </c>
      <c r="AR73" s="22">
        <f>IF(AND($H73&lt;&gt;"",$AF73&lt;&gt;"",$H73&lt;&gt;$AF73,IFERROR(VLOOKUP($H73,areaCercaPuntiClassificaSquadra,3,FALSE),-1)=IFERROR(VLOOKUP($AF73,areaCercaPuntiClassificaSquadra,3,FALSE),-2)),SUMIFS(Dati!$B$2:$B$451,Dati!$A$2:$A$451,$H73,Dati!$H$2:$H$451,$AF73)+SUMIFS(Dati!$I$2:$I$451,Dati!$H$2:$H$451,$H73,Dati!$A$2:$A$451,$AF73),"-")</f>
        <v/>
      </c>
      <c r="AS73" s="22">
        <f>IF(AND($H73&lt;&gt;"",$AG73&lt;&gt;"",$H73&lt;&gt;$AG73,IFERROR(VLOOKUP($H73,areaCercaPuntiClassificaSquadra,3,FALSE),-1)=IFERROR(VLOOKUP($AG73,areaCercaPuntiClassificaSquadra,3,FALSE),-2)),SUMIFS(Dati!$B$2:$B$451,Dati!$A$2:$A$451,$H73,Dati!$H$2:$H$451,$AG73)+SUMIFS(Dati!$I$2:$I$451,Dati!$H$2:$H$451,$H73,Dati!$A$2:$A$451,$AG73),"-")</f>
        <v/>
      </c>
      <c r="AT73" s="22">
        <f>IF(AND($H73&lt;&gt;"",$AH73&lt;&gt;"",$H73&lt;&gt;$AH73,IFERROR(VLOOKUP($H73,areaCercaPuntiClassificaSquadra,3,FALSE),-1)=IFERROR(VLOOKUP($AH73,areaCercaPuntiClassificaSquadra,3,FALSE),-2)),SUMIFS(Dati!$B$2:$B$451,Dati!$A$2:$A$451,$H73,Dati!$H$2:$H$451,$AH73)+SUMIFS(Dati!$I$2:$I$451,Dati!$H$2:$H$451,$H73,Dati!$A$2:$A$451,$AH73),"-")</f>
        <v/>
      </c>
      <c r="AV73" s="21">
        <f>$C73</f>
        <v/>
      </c>
      <c r="AW73" s="22">
        <f>IF(AND($H73&lt;&gt;"",$Y73&lt;&gt;"",$H73&lt;&gt;$Y73,IFERROR(VLOOKUP($H73,areaCercaPuntiClassificaSquadra,3,FALSE),-1)=IFERROR(VLOOKUP($Y73,areaCercaPuntiClassificaSquadra,3,FALSE),-2)),SUMIFS(Dati!$D$2:$D$451,Dati!$A$2:$A$451,$H73,Dati!$H$2:$H$451,$Y73)+SUMIFS(Dati!$K$2:$K$451,Dati!$H$2:$H$451,$H73,Dati!$A$2:$A$451,$Y73)+SUMIFS(Dati!$C$2:$C$451,Dati!$A$2:$A$451,$H73,Dati!$H$2:$H$451,$Y73)+SUMIFS(Dati!$J$2:$J$451,Dati!$H$2:$H$451,$H73,Dati!$A$2:$A$451,$Y73),"-")</f>
        <v/>
      </c>
      <c r="AX73" s="22">
        <f>IF(AND($H73&lt;&gt;"",$Z73&lt;&gt;"",$H73&lt;&gt;$Z73,IFERROR(VLOOKUP($H73,areaCercaPuntiClassificaSquadra,3,FALSE),-1)=IFERROR(VLOOKUP($Z73,areaCercaPuntiClassificaSquadra,3,FALSE),-2)),SUMIFS(Dati!$D$2:$D$451,Dati!$A$2:$A$451,$H73,Dati!$H$2:$H$451,$Z73)+SUMIFS(Dati!$K$2:$K$451,Dati!$H$2:$H$451,$H73,Dati!$A$2:$A$451,$Z73)+SUMIFS(Dati!$C$2:$C$451,Dati!$A$2:$A$451,$H73,Dati!$H$2:$H$451,$Z73)+SUMIFS(Dati!$J$2:$J$451,Dati!$H$2:$H$451,$H73,Dati!$A$2:$A$451,$Z73),"-")</f>
        <v/>
      </c>
      <c r="AY73" s="22">
        <f>IF(AND($H73&lt;&gt;"",$AA73&lt;&gt;"",$H73&lt;&gt;$AA73,IFERROR(VLOOKUP($H73,areaCercaPuntiClassificaSquadra,3,FALSE),-1)=IFERROR(VLOOKUP($AA73,areaCercaPuntiClassificaSquadra,3,FALSE),-2)),SUMIFS(Dati!$D$2:$D$451,Dati!$A$2:$A$451,$H73,Dati!$H$2:$H$451,$AA73)+SUMIFS(Dati!$K$2:$K$451,Dati!$H$2:$H$451,$H73,Dati!$A$2:$A$451,$AA73)+SUMIFS(Dati!$C$2:$C$451,Dati!$A$2:$A$451,$H73,Dati!$H$2:$H$451,$AA73)+SUMIFS(Dati!$J$2:$J$451,Dati!$H$2:$H$451,$H73,Dati!$A$2:$A$451,$AA73),"-")</f>
        <v/>
      </c>
      <c r="AZ73" s="22">
        <f>IF(AND($H73&lt;&gt;"",$AB73&lt;&gt;"",$H73&lt;&gt;$AB73,IFERROR(VLOOKUP($H73,areaCercaPuntiClassificaSquadra,3,FALSE),-1)=IFERROR(VLOOKUP($AB73,areaCercaPuntiClassificaSquadra,3,FALSE),-2)),SUMIFS(Dati!$D$2:$D$451,Dati!$A$2:$A$451,$H73,Dati!$H$2:$H$451,$AB73)+SUMIFS(Dati!$K$2:$K$451,Dati!$H$2:$H$451,$H73,Dati!$A$2:$A$451,$AB73)+SUMIFS(Dati!$C$2:$C$451,Dati!$A$2:$A$451,$H73,Dati!$H$2:$H$451,$AB73)+SUMIFS(Dati!$J$2:$J$451,Dati!$H$2:$H$451,$H73,Dati!$A$2:$A$451,$AB73),"-")</f>
        <v/>
      </c>
      <c r="BA73" s="22">
        <f>IF(AND($H73&lt;&gt;"",$AC73&lt;&gt;"",$H73&lt;&gt;$AC73,IFERROR(VLOOKUP($H73,areaCercaPuntiClassificaSquadra,3,FALSE),-1)=IFERROR(VLOOKUP($AC73,areaCercaPuntiClassificaSquadra,3,FALSE),-2)),SUMIFS(Dati!$D$2:$D$451,Dati!$A$2:$A$451,$H73,Dati!$H$2:$H$451,$AC73)+SUMIFS(Dati!$K$2:$K$451,Dati!$H$2:$H$451,$H73,Dati!$A$2:$A$451,$AC73)+SUMIFS(Dati!$C$2:$C$451,Dati!$A$2:$A$451,$H73,Dati!$H$2:$H$451,$AC73)+SUMIFS(Dati!$J$2:$J$451,Dati!$H$2:$H$451,$H73,Dati!$A$2:$A$451,$AC73),"-")</f>
        <v/>
      </c>
      <c r="BB73" s="22">
        <f>IF(AND($H73&lt;&gt;"",$AD73&lt;&gt;"",$H73&lt;&gt;$AD73,IFERROR(VLOOKUP($H73,areaCercaPuntiClassificaSquadra,3,FALSE),-1)=IFERROR(VLOOKUP($AD73,areaCercaPuntiClassificaSquadra,3,FALSE),-2)),SUMIFS(Dati!$D$2:$D$451,Dati!$A$2:$A$451,$H73,Dati!$H$2:$H$451,$AD73)+SUMIFS(Dati!$K$2:$K$451,Dati!$H$2:$H$451,$H73,Dati!$A$2:$A$451,$AD73)+SUMIFS(Dati!$C$2:$C$451,Dati!$A$2:$A$451,$H73,Dati!$H$2:$H$451,$AD73)+SUMIFS(Dati!$J$2:$J$451,Dati!$H$2:$H$451,$H73,Dati!$A$2:$A$451,$AD73),"-")</f>
        <v/>
      </c>
      <c r="BC73" s="22">
        <f>IF(AND($H73&lt;&gt;"",$AE73&lt;&gt;"",$H73&lt;&gt;$AE73,IFERROR(VLOOKUP($H73,areaCercaPuntiClassificaSquadra,3,FALSE),-1)=IFERROR(VLOOKUP($AE73,areaCercaPuntiClassificaSquadra,3,FALSE),-2)),SUMIFS(Dati!$D$2:$D$451,Dati!$A$2:$A$451,$H73,Dati!$H$2:$H$451,$AE73)+SUMIFS(Dati!$K$2:$K$451,Dati!$H$2:$H$451,$H73,Dati!$A$2:$A$451,$AE73)+SUMIFS(Dati!$C$2:$C$451,Dati!$A$2:$A$451,$H73,Dati!$H$2:$H$451,$AE73)+SUMIFS(Dati!$J$2:$J$451,Dati!$H$2:$H$451,$H73,Dati!$A$2:$A$451,$AE73),"-")</f>
        <v/>
      </c>
      <c r="BD73" s="22">
        <f>IF(AND($H73&lt;&gt;"",$AF73&lt;&gt;"",$H73&lt;&gt;$AF73,IFERROR(VLOOKUP($H73,areaCercaPuntiClassificaSquadra,3,FALSE),-1)=IFERROR(VLOOKUP($AF73,areaCercaPuntiClassificaSquadra,3,FALSE),-2)),SUMIFS(Dati!$D$2:$D$451,Dati!$A$2:$A$451,$H73,Dati!$H$2:$H$451,$AF73)+SUMIFS(Dati!$K$2:$K$451,Dati!$H$2:$H$451,$H73,Dati!$A$2:$A$451,$AF73)+SUMIFS(Dati!$C$2:$C$451,Dati!$A$2:$A$451,$H73,Dati!$H$2:$H$451,$AF73)+SUMIFS(Dati!$J$2:$J$451,Dati!$H$2:$H$451,$H73,Dati!$A$2:$A$451,$AF73),"-")</f>
        <v/>
      </c>
      <c r="BE73" s="22">
        <f>IF(AND($H73&lt;&gt;"",$AG73&lt;&gt;"",$H73&lt;&gt;$AG73,IFERROR(VLOOKUP($H73,areaCercaPuntiClassificaSquadra,3,FALSE),-1)=IFERROR(VLOOKUP($AG73,areaCercaPuntiClassificaSquadra,3,FALSE),-2)),SUMIFS(Dati!$D$2:$D$451,Dati!$A$2:$A$451,$H73,Dati!$H$2:$H$451,$AG73)+SUMIFS(Dati!$K$2:$K$451,Dati!$H$2:$H$451,$H73,Dati!$A$2:$A$451,$AG73)+SUMIFS(Dati!$C$2:$C$451,Dati!$A$2:$A$451,$H73,Dati!$H$2:$H$451,$AG73)+SUMIFS(Dati!$J$2:$J$451,Dati!$H$2:$H$451,$H73,Dati!$A$2:$A$451,$AG73),"-")</f>
        <v/>
      </c>
      <c r="BF73" s="22">
        <f>IF(AND($H73&lt;&gt;"",$AH73&lt;&gt;"",$H73&lt;&gt;$AH73,IFERROR(VLOOKUP($H73,areaCercaPuntiClassificaSquadra,3,FALSE),-1)=IFERROR(VLOOKUP($AH73,areaCercaPuntiClassificaSquadra,3,FALSE),-2)),SUMIFS(Dati!$D$2:$D$451,Dati!$A$2:$A$451,$H73,Dati!$H$2:$H$451,$AH73)+SUMIFS(Dati!$K$2:$K$451,Dati!$H$2:$H$451,$H73,Dati!$A$2:$A$451,$AH73)+SUMIFS(Dati!$C$2:$C$451,Dati!$A$2:$A$451,$H73,Dati!$H$2:$H$451,$AH73)+SUMIFS(Dati!$J$2:$J$451,Dati!$H$2:$H$451,$H73,Dati!$A$2:$A$451,$AH73),"-")</f>
        <v/>
      </c>
      <c r="BH73" s="21">
        <f>$C73</f>
        <v/>
      </c>
      <c r="BI73" s="22">
        <f>IF(AND($H73&lt;&gt;"",$Y73&lt;&gt;"",$H73&lt;&gt;$Y73,IFERROR(VLOOKUP($H73,areaCercaPuntiClassificaSquadra,3,FALSE),-1)=IFERROR(VLOOKUP($Y73,areaCercaPuntiClassificaSquadra,3,FALSE),-2)),SUMIFS(Dati!$E$2:$E$451,Dati!$A$2:$A$451,$H73,Dati!$H$2:$H$451,$Y73)+SUMIFS(Dati!$L$2:$L$451,Dati!$H$2:$H$451,$H73,Dati!$A$2:$A$451,$Y73),"-")</f>
        <v/>
      </c>
      <c r="BJ73" s="22">
        <f>IF(AND($H73&lt;&gt;"",$Z73&lt;&gt;"",$H73&lt;&gt;$Z73,IFERROR(VLOOKUP($H73,areaCercaPuntiClassificaSquadra,3,FALSE),-1)=IFERROR(VLOOKUP($Z73,areaCercaPuntiClassificaSquadra,3,FALSE),-2)),SUMIFS(Dati!$E$2:$E$451,Dati!$A$2:$A$451,$H73,Dati!$H$2:$H$451,$Z73)+SUMIFS(Dati!$L$2:$L$451,Dati!$H$2:$H$451,$H73,Dati!$A$2:$A$451,$Z73),"-")</f>
        <v/>
      </c>
      <c r="BK73" s="22">
        <f>IF(AND($H73&lt;&gt;"",$AA73&lt;&gt;"",$H73&lt;&gt;$AA73,IFERROR(VLOOKUP($H73,areaCercaPuntiClassificaSquadra,3,FALSE),-1)=IFERROR(VLOOKUP($AA73,areaCercaPuntiClassificaSquadra,3,FALSE),-2)),SUMIFS(Dati!$E$2:$E$451,Dati!$A$2:$A$451,$H73,Dati!$H$2:$H$451,$AA73)+SUMIFS(Dati!$L$2:$L$451,Dati!$H$2:$H$451,$H73,Dati!$A$2:$A$451,$AA73),"-")</f>
        <v/>
      </c>
      <c r="BL73" s="22">
        <f>IF(AND($H73&lt;&gt;"",$AB73&lt;&gt;"",$H73&lt;&gt;$AB73,IFERROR(VLOOKUP($H73,areaCercaPuntiClassificaSquadra,3,FALSE),-1)=IFERROR(VLOOKUP($AB73,areaCercaPuntiClassificaSquadra,3,FALSE),-2)),SUMIFS(Dati!$E$2:$E$451,Dati!$A$2:$A$451,$H73,Dati!$H$2:$H$451,$AB73)+SUMIFS(Dati!$L$2:$L$451,Dati!$H$2:$H$451,$H73,Dati!$A$2:$A$451,$AB73),"-")</f>
        <v/>
      </c>
      <c r="BM73" s="22">
        <f>IF(AND($H73&lt;&gt;"",$AC73&lt;&gt;"",$H73&lt;&gt;$AC73,IFERROR(VLOOKUP($H73,areaCercaPuntiClassificaSquadra,3,FALSE),-1)=IFERROR(VLOOKUP($AC73,areaCercaPuntiClassificaSquadra,3,FALSE),-2)),SUMIFS(Dati!$E$2:$E$451,Dati!$A$2:$A$451,$H73,Dati!$H$2:$H$451,$AC73)+SUMIFS(Dati!$L$2:$L$451,Dati!$H$2:$H$451,$H73,Dati!$A$2:$A$451,$AC73),"-")</f>
        <v/>
      </c>
      <c r="BN73" s="22">
        <f>IF(AND($H73&lt;&gt;"",$AD73&lt;&gt;"",$H73&lt;&gt;$AD73,IFERROR(VLOOKUP($H73,areaCercaPuntiClassificaSquadra,3,FALSE),-1)=IFERROR(VLOOKUP($AD73,areaCercaPuntiClassificaSquadra,3,FALSE),-2)),SUMIFS(Dati!$E$2:$E$451,Dati!$A$2:$A$451,$H73,Dati!$H$2:$H$451,$AD73)+SUMIFS(Dati!$L$2:$L$451,Dati!$H$2:$H$451,$H73,Dati!$A$2:$A$451,$AD73),"-")</f>
        <v/>
      </c>
      <c r="BO73" s="22">
        <f>IF(AND($H73&lt;&gt;"",$AE73&lt;&gt;"",$H73&lt;&gt;$AE73,IFERROR(VLOOKUP($H73,areaCercaPuntiClassificaSquadra,3,FALSE),-1)=IFERROR(VLOOKUP($AE73,areaCercaPuntiClassificaSquadra,3,FALSE),-2)),SUMIFS(Dati!$E$2:$E$451,Dati!$A$2:$A$451,$H73,Dati!$H$2:$H$451,$AE73)+SUMIFS(Dati!$L$2:$L$451,Dati!$H$2:$H$451,$H73,Dati!$A$2:$A$451,$AE73),"-")</f>
        <v/>
      </c>
      <c r="BP73" s="22">
        <f>IF(AND($H73&lt;&gt;"",$AF73&lt;&gt;"",$H73&lt;&gt;$AF73,IFERROR(VLOOKUP($H73,areaCercaPuntiClassificaSquadra,3,FALSE),-1)=IFERROR(VLOOKUP($AF73,areaCercaPuntiClassificaSquadra,3,FALSE),-2)),SUMIFS(Dati!$E$2:$E$451,Dati!$A$2:$A$451,$H73,Dati!$H$2:$H$451,$AF73)+SUMIFS(Dati!$L$2:$L$451,Dati!$H$2:$H$451,$H73,Dati!$A$2:$A$451,$AF73),"-")</f>
        <v/>
      </c>
      <c r="BQ73" s="22">
        <f>IF(AND($H73&lt;&gt;"",$AG73&lt;&gt;"",$H73&lt;&gt;$AG73,IFERROR(VLOOKUP($H73,areaCercaPuntiClassificaSquadra,3,FALSE),-1)=IFERROR(VLOOKUP($AG73,areaCercaPuntiClassificaSquadra,3,FALSE),-2)),SUMIFS(Dati!$E$2:$E$451,Dati!$A$2:$A$451,$H73,Dati!$H$2:$H$451,$AG73)+SUMIFS(Dati!$L$2:$L$451,Dati!$H$2:$H$451,$H73,Dati!$A$2:$A$451,$AG73),"-")</f>
        <v/>
      </c>
      <c r="BR73" s="22">
        <f>IF(AND($H73&lt;&gt;"",$AH73&lt;&gt;"",$H73&lt;&gt;$AH73,IFERROR(VLOOKUP($H73,areaCercaPuntiClassificaSquadra,3,FALSE),-1)=IFERROR(VLOOKUP($AH73,areaCercaPuntiClassificaSquadra,3,FALSE),-2)),SUMIFS(Dati!$E$2:$E$451,Dati!$A$2:$A$451,$H73,Dati!$H$2:$H$451,$AH73)+SUMIFS(Dati!$L$2:$L$451,Dati!$H$2:$H$451,$H73,Dati!$A$2:$A$451,$AH73),"-")</f>
        <v/>
      </c>
      <c r="BT73" s="21">
        <f>$C73</f>
        <v/>
      </c>
      <c r="BU73" s="22">
        <f>IF(AND($H73&lt;&gt;"",$Y73&lt;&gt;"",$H73&lt;&gt;$Y73,IFERROR(VLOOKUP($H73,areaCercaPuntiClassificaSquadra,3,FALSE),-1)=IFERROR(VLOOKUP($Y73,areaCercaPuntiClassificaSquadra,3,FALSE),-2)),SUMIFS(Dati!$F$2:$F$451,Dati!$A$2:$A$451,$H73,Dati!$H$2:$H$451,$Y73)+SUMIFS(Dati!$M$2:$M$451,Dati!$H$2:$H$451,$H73,Dati!$A$2:$A$451,$Y73),"-")</f>
        <v/>
      </c>
      <c r="BV73" s="22">
        <f>IF(AND($H73&lt;&gt;"",$Z73&lt;&gt;"",$H73&lt;&gt;$Z73,IFERROR(VLOOKUP($H73,areaCercaPuntiClassificaSquadra,3,FALSE),-1)=IFERROR(VLOOKUP($Z73,areaCercaPuntiClassificaSquadra,3,FALSE),-2)),SUMIFS(Dati!$F$2:$F$451,Dati!$A$2:$A$451,$H73,Dati!$H$2:$H$451,$Z73)+SUMIFS(Dati!$M$2:$M$451,Dati!$H$2:$H$451,$H73,Dati!$A$2:$A$451,$Z73),"-")</f>
        <v/>
      </c>
      <c r="BW73" s="22">
        <f>IF(AND($H73&lt;&gt;"",$AA73&lt;&gt;"",$H73&lt;&gt;$AA73,IFERROR(VLOOKUP($H73,areaCercaPuntiClassificaSquadra,3,FALSE),-1)=IFERROR(VLOOKUP($AA73,areaCercaPuntiClassificaSquadra,3,FALSE),-2)),SUMIFS(Dati!$F$2:$F$451,Dati!$A$2:$A$451,$H73,Dati!$H$2:$H$451,$AA73)+SUMIFS(Dati!$M$2:$M$451,Dati!$H$2:$H$451,$H73,Dati!$A$2:$A$451,$AA73),"-")</f>
        <v/>
      </c>
      <c r="BX73" s="22">
        <f>IF(AND($H73&lt;&gt;"",$AB73&lt;&gt;"",$H73&lt;&gt;$AB73,IFERROR(VLOOKUP($H73,areaCercaPuntiClassificaSquadra,3,FALSE),-1)=IFERROR(VLOOKUP($AB73,areaCercaPuntiClassificaSquadra,3,FALSE),-2)),SUMIFS(Dati!$F$2:$F$451,Dati!$A$2:$A$451,$H73,Dati!$H$2:$H$451,$AB73)+SUMIFS(Dati!$M$2:$M$451,Dati!$H$2:$H$451,$H73,Dati!$A$2:$A$451,$AB73),"-")</f>
        <v/>
      </c>
      <c r="BY73" s="22">
        <f>IF(AND($H73&lt;&gt;"",$AC73&lt;&gt;"",$H73&lt;&gt;$AC73,IFERROR(VLOOKUP($H73,areaCercaPuntiClassificaSquadra,3,FALSE),-1)=IFERROR(VLOOKUP($AC73,areaCercaPuntiClassificaSquadra,3,FALSE),-2)),SUMIFS(Dati!$F$2:$F$451,Dati!$A$2:$A$451,$H73,Dati!$H$2:$H$451,$AC73)+SUMIFS(Dati!$M$2:$M$451,Dati!$H$2:$H$451,$H73,Dati!$A$2:$A$451,$AC73),"-")</f>
        <v/>
      </c>
      <c r="BZ73" s="22">
        <f>IF(AND($H73&lt;&gt;"",$AD73&lt;&gt;"",$H73&lt;&gt;$AD73,IFERROR(VLOOKUP($H73,areaCercaPuntiClassificaSquadra,3,FALSE),-1)=IFERROR(VLOOKUP($AD73,areaCercaPuntiClassificaSquadra,3,FALSE),-2)),SUMIFS(Dati!$F$2:$F$451,Dati!$A$2:$A$451,$H73,Dati!$H$2:$H$451,$AD73)+SUMIFS(Dati!$M$2:$M$451,Dati!$H$2:$H$451,$H73,Dati!$A$2:$A$451,$AD73),"-")</f>
        <v/>
      </c>
      <c r="CA73" s="22">
        <f>IF(AND($H73&lt;&gt;"",$AE73&lt;&gt;"",$H73&lt;&gt;$AE73,IFERROR(VLOOKUP($H73,areaCercaPuntiClassificaSquadra,3,FALSE),-1)=IFERROR(VLOOKUP($AE73,areaCercaPuntiClassificaSquadra,3,FALSE),-2)),SUMIFS(Dati!$F$2:$F$451,Dati!$A$2:$A$451,$H73,Dati!$H$2:$H$451,$AE73)+SUMIFS(Dati!$M$2:$M$451,Dati!$H$2:$H$451,$H73,Dati!$A$2:$A$451,$AE73),"-")</f>
        <v/>
      </c>
      <c r="CB73" s="22">
        <f>IF(AND($H73&lt;&gt;"",$AF73&lt;&gt;"",$H73&lt;&gt;$AF73,IFERROR(VLOOKUP($H73,areaCercaPuntiClassificaSquadra,3,FALSE),-1)=IFERROR(VLOOKUP($AF73,areaCercaPuntiClassificaSquadra,3,FALSE),-2)),SUMIFS(Dati!$F$2:$F$451,Dati!$A$2:$A$451,$H73,Dati!$H$2:$H$451,$AF73)+SUMIFS(Dati!$M$2:$M$451,Dati!$H$2:$H$451,$H73,Dati!$A$2:$A$451,$AF73),"-")</f>
        <v/>
      </c>
      <c r="CC73" s="22">
        <f>IF(AND($H73&lt;&gt;"",$AG73&lt;&gt;"",$H73&lt;&gt;$AG73,IFERROR(VLOOKUP($H73,areaCercaPuntiClassificaSquadra,3,FALSE),-1)=IFERROR(VLOOKUP($AG73,areaCercaPuntiClassificaSquadra,3,FALSE),-2)),SUMIFS(Dati!$F$2:$F$451,Dati!$A$2:$A$451,$H73,Dati!$H$2:$H$451,$AG73)+SUMIFS(Dati!$M$2:$M$451,Dati!$H$2:$H$451,$H73,Dati!$A$2:$A$451,$AG73),"-")</f>
        <v/>
      </c>
      <c r="CD73" s="22">
        <f>IF(AND($H73&lt;&gt;"",$AH73&lt;&gt;"",$H73&lt;&gt;$AH73,IFERROR(VLOOKUP($H73,areaCercaPuntiClassificaSquadra,3,FALSE),-1)=IFERROR(VLOOKUP($AH73,areaCercaPuntiClassificaSquadra,3,FALSE),-2)),SUMIFS(Dati!$F$2:$F$451,Dati!$A$2:$A$451,$H73,Dati!$H$2:$H$451,$AH73)+SUMIFS(Dati!$M$2:$M$451,Dati!$H$2:$H$451,$H73,Dati!$A$2:$A$451,$AH73),"-")</f>
        <v/>
      </c>
      <c r="CF73" s="22">
        <f>IF($C73="","",SUM(AK73:AT73))</f>
        <v/>
      </c>
    </row>
    <row r="74">
      <c r="B74" s="12" t="inlineStr">
        <is>
          <t>G01</t>
        </is>
      </c>
      <c r="C74" s="13" t="n"/>
      <c r="D74" s="14" t="n"/>
      <c r="E74" s="33" t="inlineStr">
        <is>
          <t>G</t>
        </is>
      </c>
      <c r="G74" s="34">
        <f>IF($C74="","",$E74&amp;(COUNTIFS(I$14:I$113,"&gt;"&amp;I74,E$14:E$113,"="&amp;E74,C$14:C$113,"&lt;&gt;")+COUNTIFS(I$14:I$113,"="&amp;I74,H$14:H$113,"&lt;="&amp;H74,E$14:E$113,"="&amp;E74,C$14:C$113,"&lt;&gt;")))</f>
        <v/>
      </c>
      <c r="H74" s="17">
        <f>IF($C74="","",IFERROR(LEFT($C74,FIND("-",$C74)-1),$C74))</f>
        <v/>
      </c>
      <c r="I74" s="12">
        <f>TEXT(1000000000+J74,"|0000000000|")&amp;TEXT(SUM(AK74:AT74),"0000000000|")&amp;IF(SUM(BU74:CD74)=0,"0000000000|",TEXT(ROUND(SUM(BI74:BR74)/SUM(BU74:CD74),4)*100000,"0000000000|"))&amp;IF(P74=0,"0000000000|",TEXT(ROUND(O74/P74,4)*100000,"0000000000|"))</f>
        <v/>
      </c>
      <c r="J74" s="34">
        <f>L74*constPuntiVittoria+M74*constPuntiSconfitta+N74*constPuntiForfait+IF(D74="",0,D74)</f>
        <v/>
      </c>
      <c r="K74" s="12">
        <f>SUM(L74:N74)</f>
        <v/>
      </c>
      <c r="L74" s="12">
        <f>IF($H74="",0,SUMIF(Dati!$A$2:$A$451,$H74,Dati!$B$2:$B$451)+SUMIF(Dati!$H$2:$H$451,$H74,Dati!$I$2:$I$451))</f>
        <v/>
      </c>
      <c r="M74" s="12">
        <f>IF($H74="",0,SUMIF(Dati!$A$2:$A$451,$H74,Dati!$D$2:$D$451)+SUMIF(Dati!$H$2:$H$451,$H74,Dati!$K$2:$K$451))</f>
        <v/>
      </c>
      <c r="N74" s="12">
        <f>IF($H74="",0,SUMIF(Dati!$A$2:$A$451,$H74,Dati!$C$2:$C$451)+SUMIF(Dati!$H$2:$H$451,$H74,Dati!$J$2:$J$451))</f>
        <v/>
      </c>
      <c r="O74" s="12">
        <f>IF($H74="",0,SUMIF(Dati!$A$2:$A$451,$H74,Dati!$E$2:$E$451)+SUMIF(Dati!$H$2:$H$451,$H74,Dati!$L$2:$L$451))</f>
        <v/>
      </c>
      <c r="P74" s="12">
        <f>IF($H74="",0,SUMIF(Dati!$A$2:$A$451,$H74,Dati!$F$2:$F$451)+SUMIF(Dati!$H$2:$H$451,$H74,Dati!$M$2:$M$451))</f>
        <v/>
      </c>
      <c r="Q74" s="12">
        <f>IF($H74="",0,SUMIF(Dati!$A$2:$A$451,$H74,Dati!$G$2:$G$451)+SUMIF(Dati!$H$2:$H$451,$H74,Dati!$N$2:$N$451))</f>
        <v/>
      </c>
      <c r="R74" s="12">
        <f>IF(K74=0,0,ROUND(O74/K74,2))</f>
        <v/>
      </c>
      <c r="S74" s="12">
        <f>IF(K74=0,0,ROUND(P74/K74,2))</f>
        <v/>
      </c>
      <c r="T74" s="12">
        <f>IF(K74=0,0,ROUND(Q74/K74,2))</f>
        <v/>
      </c>
      <c r="U74" s="12">
        <f>IF(COUNTIFS($E$14:$E$113,$E74,$J$14:$J$113,$J74,$C$14:$C$113,"&lt;&gt;")&lt;=1,"-",SUM(AK74:AT74)&amp;"-"&amp;SUM(AW74:BF74))</f>
        <v/>
      </c>
      <c r="V74" s="18">
        <f>IF(COUNTIFS($E$14:$E$113,$E74,$J$14:$J$113,$J74,$C$14:$C$113,"&lt;&gt;",$CF$14:$CF$113,$CF74)&lt;=1,"-",IF(SUM(BU74:CD74)=0,0,ROUND(SUM(BI74:BR74)/SUM(BU74:CD74),3)))</f>
        <v/>
      </c>
      <c r="W74" s="18">
        <f>IF(COUNTIFS($E$14:$E$113,$E74,$J$14:$J$113,$J74,$C$14:$C$113,"&lt;&gt;",$CF$14:$CF$113,$CF74,$V$14:$V$113,$V74)&lt;=1,"-",IF(P74=0,0,ROUND(O74/P74,3)))</f>
        <v/>
      </c>
      <c r="X74" s="19">
        <f>IF($C74="","",$E74&amp;"#"&amp;COUNTIFS($E$14:$E74,$E74,$C$14:$C74,"&lt;&gt;"))</f>
        <v/>
      </c>
      <c r="Y74" s="20">
        <f>IFERROR(INDEX($H$14:$H$113,MATCH($E74&amp;"#1",$X$14:$X$113,0)),"")</f>
        <v/>
      </c>
      <c r="Z74" s="20">
        <f>IFERROR(INDEX($H$14:$H$113,MATCH($E74&amp;"#2",$X$14:$X$113,0)),"")</f>
        <v/>
      </c>
      <c r="AA74" s="20">
        <f>IFERROR(INDEX($H$14:$H$113,MATCH($E74&amp;"#3",$X$14:$X$113,0)),"")</f>
        <v/>
      </c>
      <c r="AB74" s="20">
        <f>IFERROR(INDEX($H$14:$H$113,MATCH($E74&amp;"#4",$X$14:$X$113,0)),"")</f>
        <v/>
      </c>
      <c r="AC74" s="20">
        <f>IFERROR(INDEX($H$14:$H$113,MATCH($E74&amp;"#5",$X$14:$X$113,0)),"")</f>
        <v/>
      </c>
      <c r="AD74" s="20">
        <f>IFERROR(INDEX($H$14:$H$113,MATCH($E74&amp;"#6",$X$14:$X$113,0)),"")</f>
        <v/>
      </c>
      <c r="AE74" s="20">
        <f>IFERROR(INDEX($H$14:$H$113,MATCH($E74&amp;"#7",$X$14:$X$113,0)),"")</f>
        <v/>
      </c>
      <c r="AF74" s="20">
        <f>IFERROR(INDEX($H$14:$H$113,MATCH($E74&amp;"#8",$X$14:$X$113,0)),"")</f>
        <v/>
      </c>
      <c r="AG74" s="20">
        <f>IFERROR(INDEX($H$14:$H$113,MATCH($E74&amp;"#9",$X$14:$X$113,0)),"")</f>
        <v/>
      </c>
      <c r="AH74" s="20">
        <f>IFERROR(INDEX($H$14:$H$113,MATCH($E74&amp;"#10",$X$14:$X$113,0)),"")</f>
        <v/>
      </c>
      <c r="AJ74" s="21">
        <f>$C74</f>
        <v/>
      </c>
      <c r="AK74" s="22">
        <f>IF(AND($H74&lt;&gt;"",$Y74&lt;&gt;"",$H74&lt;&gt;$Y74,IFERROR(VLOOKUP($H74,areaCercaPuntiClassificaSquadra,3,FALSE),-1)=IFERROR(VLOOKUP($Y74,areaCercaPuntiClassificaSquadra,3,FALSE),-2)),SUMIFS(Dati!$B$2:$B$451,Dati!$A$2:$A$451,$H74,Dati!$H$2:$H$451,$Y74)+SUMIFS(Dati!$I$2:$I$451,Dati!$H$2:$H$451,$H74,Dati!$A$2:$A$451,$Y74),"-")</f>
        <v/>
      </c>
      <c r="AL74" s="22">
        <f>IF(AND($H74&lt;&gt;"",$Z74&lt;&gt;"",$H74&lt;&gt;$Z74,IFERROR(VLOOKUP($H74,areaCercaPuntiClassificaSquadra,3,FALSE),-1)=IFERROR(VLOOKUP($Z74,areaCercaPuntiClassificaSquadra,3,FALSE),-2)),SUMIFS(Dati!$B$2:$B$451,Dati!$A$2:$A$451,$H74,Dati!$H$2:$H$451,$Z74)+SUMIFS(Dati!$I$2:$I$451,Dati!$H$2:$H$451,$H74,Dati!$A$2:$A$451,$Z74),"-")</f>
        <v/>
      </c>
      <c r="AM74" s="22">
        <f>IF(AND($H74&lt;&gt;"",$AA74&lt;&gt;"",$H74&lt;&gt;$AA74,IFERROR(VLOOKUP($H74,areaCercaPuntiClassificaSquadra,3,FALSE),-1)=IFERROR(VLOOKUP($AA74,areaCercaPuntiClassificaSquadra,3,FALSE),-2)),SUMIFS(Dati!$B$2:$B$451,Dati!$A$2:$A$451,$H74,Dati!$H$2:$H$451,$AA74)+SUMIFS(Dati!$I$2:$I$451,Dati!$H$2:$H$451,$H74,Dati!$A$2:$A$451,$AA74),"-")</f>
        <v/>
      </c>
      <c r="AN74" s="22">
        <f>IF(AND($H74&lt;&gt;"",$AB74&lt;&gt;"",$H74&lt;&gt;$AB74,IFERROR(VLOOKUP($H74,areaCercaPuntiClassificaSquadra,3,FALSE),-1)=IFERROR(VLOOKUP($AB74,areaCercaPuntiClassificaSquadra,3,FALSE),-2)),SUMIFS(Dati!$B$2:$B$451,Dati!$A$2:$A$451,$H74,Dati!$H$2:$H$451,$AB74)+SUMIFS(Dati!$I$2:$I$451,Dati!$H$2:$H$451,$H74,Dati!$A$2:$A$451,$AB74),"-")</f>
        <v/>
      </c>
      <c r="AO74" s="22">
        <f>IF(AND($H74&lt;&gt;"",$AC74&lt;&gt;"",$H74&lt;&gt;$AC74,IFERROR(VLOOKUP($H74,areaCercaPuntiClassificaSquadra,3,FALSE),-1)=IFERROR(VLOOKUP($AC74,areaCercaPuntiClassificaSquadra,3,FALSE),-2)),SUMIFS(Dati!$B$2:$B$451,Dati!$A$2:$A$451,$H74,Dati!$H$2:$H$451,$AC74)+SUMIFS(Dati!$I$2:$I$451,Dati!$H$2:$H$451,$H74,Dati!$A$2:$A$451,$AC74),"-")</f>
        <v/>
      </c>
      <c r="AP74" s="22">
        <f>IF(AND($H74&lt;&gt;"",$AD74&lt;&gt;"",$H74&lt;&gt;$AD74,IFERROR(VLOOKUP($H74,areaCercaPuntiClassificaSquadra,3,FALSE),-1)=IFERROR(VLOOKUP($AD74,areaCercaPuntiClassificaSquadra,3,FALSE),-2)),SUMIFS(Dati!$B$2:$B$451,Dati!$A$2:$A$451,$H74,Dati!$H$2:$H$451,$AD74)+SUMIFS(Dati!$I$2:$I$451,Dati!$H$2:$H$451,$H74,Dati!$A$2:$A$451,$AD74),"-")</f>
        <v/>
      </c>
      <c r="AQ74" s="22">
        <f>IF(AND($H74&lt;&gt;"",$AE74&lt;&gt;"",$H74&lt;&gt;$AE74,IFERROR(VLOOKUP($H74,areaCercaPuntiClassificaSquadra,3,FALSE),-1)=IFERROR(VLOOKUP($AE74,areaCercaPuntiClassificaSquadra,3,FALSE),-2)),SUMIFS(Dati!$B$2:$B$451,Dati!$A$2:$A$451,$H74,Dati!$H$2:$H$451,$AE74)+SUMIFS(Dati!$I$2:$I$451,Dati!$H$2:$H$451,$H74,Dati!$A$2:$A$451,$AE74),"-")</f>
        <v/>
      </c>
      <c r="AR74" s="22">
        <f>IF(AND($H74&lt;&gt;"",$AF74&lt;&gt;"",$H74&lt;&gt;$AF74,IFERROR(VLOOKUP($H74,areaCercaPuntiClassificaSquadra,3,FALSE),-1)=IFERROR(VLOOKUP($AF74,areaCercaPuntiClassificaSquadra,3,FALSE),-2)),SUMIFS(Dati!$B$2:$B$451,Dati!$A$2:$A$451,$H74,Dati!$H$2:$H$451,$AF74)+SUMIFS(Dati!$I$2:$I$451,Dati!$H$2:$H$451,$H74,Dati!$A$2:$A$451,$AF74),"-")</f>
        <v/>
      </c>
      <c r="AS74" s="22">
        <f>IF(AND($H74&lt;&gt;"",$AG74&lt;&gt;"",$H74&lt;&gt;$AG74,IFERROR(VLOOKUP($H74,areaCercaPuntiClassificaSquadra,3,FALSE),-1)=IFERROR(VLOOKUP($AG74,areaCercaPuntiClassificaSquadra,3,FALSE),-2)),SUMIFS(Dati!$B$2:$B$451,Dati!$A$2:$A$451,$H74,Dati!$H$2:$H$451,$AG74)+SUMIFS(Dati!$I$2:$I$451,Dati!$H$2:$H$451,$H74,Dati!$A$2:$A$451,$AG74),"-")</f>
        <v/>
      </c>
      <c r="AT74" s="22">
        <f>IF(AND($H74&lt;&gt;"",$AH74&lt;&gt;"",$H74&lt;&gt;$AH74,IFERROR(VLOOKUP($H74,areaCercaPuntiClassificaSquadra,3,FALSE),-1)=IFERROR(VLOOKUP($AH74,areaCercaPuntiClassificaSquadra,3,FALSE),-2)),SUMIFS(Dati!$B$2:$B$451,Dati!$A$2:$A$451,$H74,Dati!$H$2:$H$451,$AH74)+SUMIFS(Dati!$I$2:$I$451,Dati!$H$2:$H$451,$H74,Dati!$A$2:$A$451,$AH74),"-")</f>
        <v/>
      </c>
      <c r="AV74" s="21">
        <f>$C74</f>
        <v/>
      </c>
      <c r="AW74" s="22">
        <f>IF(AND($H74&lt;&gt;"",$Y74&lt;&gt;"",$H74&lt;&gt;$Y74,IFERROR(VLOOKUP($H74,areaCercaPuntiClassificaSquadra,3,FALSE),-1)=IFERROR(VLOOKUP($Y74,areaCercaPuntiClassificaSquadra,3,FALSE),-2)),SUMIFS(Dati!$D$2:$D$451,Dati!$A$2:$A$451,$H74,Dati!$H$2:$H$451,$Y74)+SUMIFS(Dati!$K$2:$K$451,Dati!$H$2:$H$451,$H74,Dati!$A$2:$A$451,$Y74)+SUMIFS(Dati!$C$2:$C$451,Dati!$A$2:$A$451,$H74,Dati!$H$2:$H$451,$Y74)+SUMIFS(Dati!$J$2:$J$451,Dati!$H$2:$H$451,$H74,Dati!$A$2:$A$451,$Y74),"-")</f>
        <v/>
      </c>
      <c r="AX74" s="22">
        <f>IF(AND($H74&lt;&gt;"",$Z74&lt;&gt;"",$H74&lt;&gt;$Z74,IFERROR(VLOOKUP($H74,areaCercaPuntiClassificaSquadra,3,FALSE),-1)=IFERROR(VLOOKUP($Z74,areaCercaPuntiClassificaSquadra,3,FALSE),-2)),SUMIFS(Dati!$D$2:$D$451,Dati!$A$2:$A$451,$H74,Dati!$H$2:$H$451,$Z74)+SUMIFS(Dati!$K$2:$K$451,Dati!$H$2:$H$451,$H74,Dati!$A$2:$A$451,$Z74)+SUMIFS(Dati!$C$2:$C$451,Dati!$A$2:$A$451,$H74,Dati!$H$2:$H$451,$Z74)+SUMIFS(Dati!$J$2:$J$451,Dati!$H$2:$H$451,$H74,Dati!$A$2:$A$451,$Z74),"-")</f>
        <v/>
      </c>
      <c r="AY74" s="22">
        <f>IF(AND($H74&lt;&gt;"",$AA74&lt;&gt;"",$H74&lt;&gt;$AA74,IFERROR(VLOOKUP($H74,areaCercaPuntiClassificaSquadra,3,FALSE),-1)=IFERROR(VLOOKUP($AA74,areaCercaPuntiClassificaSquadra,3,FALSE),-2)),SUMIFS(Dati!$D$2:$D$451,Dati!$A$2:$A$451,$H74,Dati!$H$2:$H$451,$AA74)+SUMIFS(Dati!$K$2:$K$451,Dati!$H$2:$H$451,$H74,Dati!$A$2:$A$451,$AA74)+SUMIFS(Dati!$C$2:$C$451,Dati!$A$2:$A$451,$H74,Dati!$H$2:$H$451,$AA74)+SUMIFS(Dati!$J$2:$J$451,Dati!$H$2:$H$451,$H74,Dati!$A$2:$A$451,$AA74),"-")</f>
        <v/>
      </c>
      <c r="AZ74" s="22">
        <f>IF(AND($H74&lt;&gt;"",$AB74&lt;&gt;"",$H74&lt;&gt;$AB74,IFERROR(VLOOKUP($H74,areaCercaPuntiClassificaSquadra,3,FALSE),-1)=IFERROR(VLOOKUP($AB74,areaCercaPuntiClassificaSquadra,3,FALSE),-2)),SUMIFS(Dati!$D$2:$D$451,Dati!$A$2:$A$451,$H74,Dati!$H$2:$H$451,$AB74)+SUMIFS(Dati!$K$2:$K$451,Dati!$H$2:$H$451,$H74,Dati!$A$2:$A$451,$AB74)+SUMIFS(Dati!$C$2:$C$451,Dati!$A$2:$A$451,$H74,Dati!$H$2:$H$451,$AB74)+SUMIFS(Dati!$J$2:$J$451,Dati!$H$2:$H$451,$H74,Dati!$A$2:$A$451,$AB74),"-")</f>
        <v/>
      </c>
      <c r="BA74" s="22">
        <f>IF(AND($H74&lt;&gt;"",$AC74&lt;&gt;"",$H74&lt;&gt;$AC74,IFERROR(VLOOKUP($H74,areaCercaPuntiClassificaSquadra,3,FALSE),-1)=IFERROR(VLOOKUP($AC74,areaCercaPuntiClassificaSquadra,3,FALSE),-2)),SUMIFS(Dati!$D$2:$D$451,Dati!$A$2:$A$451,$H74,Dati!$H$2:$H$451,$AC74)+SUMIFS(Dati!$K$2:$K$451,Dati!$H$2:$H$451,$H74,Dati!$A$2:$A$451,$AC74)+SUMIFS(Dati!$C$2:$C$451,Dati!$A$2:$A$451,$H74,Dati!$H$2:$H$451,$AC74)+SUMIFS(Dati!$J$2:$J$451,Dati!$H$2:$H$451,$H74,Dati!$A$2:$A$451,$AC74),"-")</f>
        <v/>
      </c>
      <c r="BB74" s="22">
        <f>IF(AND($H74&lt;&gt;"",$AD74&lt;&gt;"",$H74&lt;&gt;$AD74,IFERROR(VLOOKUP($H74,areaCercaPuntiClassificaSquadra,3,FALSE),-1)=IFERROR(VLOOKUP($AD74,areaCercaPuntiClassificaSquadra,3,FALSE),-2)),SUMIFS(Dati!$D$2:$D$451,Dati!$A$2:$A$451,$H74,Dati!$H$2:$H$451,$AD74)+SUMIFS(Dati!$K$2:$K$451,Dati!$H$2:$H$451,$H74,Dati!$A$2:$A$451,$AD74)+SUMIFS(Dati!$C$2:$C$451,Dati!$A$2:$A$451,$H74,Dati!$H$2:$H$451,$AD74)+SUMIFS(Dati!$J$2:$J$451,Dati!$H$2:$H$451,$H74,Dati!$A$2:$A$451,$AD74),"-")</f>
        <v/>
      </c>
      <c r="BC74" s="22">
        <f>IF(AND($H74&lt;&gt;"",$AE74&lt;&gt;"",$H74&lt;&gt;$AE74,IFERROR(VLOOKUP($H74,areaCercaPuntiClassificaSquadra,3,FALSE),-1)=IFERROR(VLOOKUP($AE74,areaCercaPuntiClassificaSquadra,3,FALSE),-2)),SUMIFS(Dati!$D$2:$D$451,Dati!$A$2:$A$451,$H74,Dati!$H$2:$H$451,$AE74)+SUMIFS(Dati!$K$2:$K$451,Dati!$H$2:$H$451,$H74,Dati!$A$2:$A$451,$AE74)+SUMIFS(Dati!$C$2:$C$451,Dati!$A$2:$A$451,$H74,Dati!$H$2:$H$451,$AE74)+SUMIFS(Dati!$J$2:$J$451,Dati!$H$2:$H$451,$H74,Dati!$A$2:$A$451,$AE74),"-")</f>
        <v/>
      </c>
      <c r="BD74" s="22">
        <f>IF(AND($H74&lt;&gt;"",$AF74&lt;&gt;"",$H74&lt;&gt;$AF74,IFERROR(VLOOKUP($H74,areaCercaPuntiClassificaSquadra,3,FALSE),-1)=IFERROR(VLOOKUP($AF74,areaCercaPuntiClassificaSquadra,3,FALSE),-2)),SUMIFS(Dati!$D$2:$D$451,Dati!$A$2:$A$451,$H74,Dati!$H$2:$H$451,$AF74)+SUMIFS(Dati!$K$2:$K$451,Dati!$H$2:$H$451,$H74,Dati!$A$2:$A$451,$AF74)+SUMIFS(Dati!$C$2:$C$451,Dati!$A$2:$A$451,$H74,Dati!$H$2:$H$451,$AF74)+SUMIFS(Dati!$J$2:$J$451,Dati!$H$2:$H$451,$H74,Dati!$A$2:$A$451,$AF74),"-")</f>
        <v/>
      </c>
      <c r="BE74" s="22">
        <f>IF(AND($H74&lt;&gt;"",$AG74&lt;&gt;"",$H74&lt;&gt;$AG74,IFERROR(VLOOKUP($H74,areaCercaPuntiClassificaSquadra,3,FALSE),-1)=IFERROR(VLOOKUP($AG74,areaCercaPuntiClassificaSquadra,3,FALSE),-2)),SUMIFS(Dati!$D$2:$D$451,Dati!$A$2:$A$451,$H74,Dati!$H$2:$H$451,$AG74)+SUMIFS(Dati!$K$2:$K$451,Dati!$H$2:$H$451,$H74,Dati!$A$2:$A$451,$AG74)+SUMIFS(Dati!$C$2:$C$451,Dati!$A$2:$A$451,$H74,Dati!$H$2:$H$451,$AG74)+SUMIFS(Dati!$J$2:$J$451,Dati!$H$2:$H$451,$H74,Dati!$A$2:$A$451,$AG74),"-")</f>
        <v/>
      </c>
      <c r="BF74" s="22">
        <f>IF(AND($H74&lt;&gt;"",$AH74&lt;&gt;"",$H74&lt;&gt;$AH74,IFERROR(VLOOKUP($H74,areaCercaPuntiClassificaSquadra,3,FALSE),-1)=IFERROR(VLOOKUP($AH74,areaCercaPuntiClassificaSquadra,3,FALSE),-2)),SUMIFS(Dati!$D$2:$D$451,Dati!$A$2:$A$451,$H74,Dati!$H$2:$H$451,$AH74)+SUMIFS(Dati!$K$2:$K$451,Dati!$H$2:$H$451,$H74,Dati!$A$2:$A$451,$AH74)+SUMIFS(Dati!$C$2:$C$451,Dati!$A$2:$A$451,$H74,Dati!$H$2:$H$451,$AH74)+SUMIFS(Dati!$J$2:$J$451,Dati!$H$2:$H$451,$H74,Dati!$A$2:$A$451,$AH74),"-")</f>
        <v/>
      </c>
      <c r="BH74" s="21">
        <f>$C74</f>
        <v/>
      </c>
      <c r="BI74" s="22">
        <f>IF(AND($H74&lt;&gt;"",$Y74&lt;&gt;"",$H74&lt;&gt;$Y74,IFERROR(VLOOKUP($H74,areaCercaPuntiClassificaSquadra,3,FALSE),-1)=IFERROR(VLOOKUP($Y74,areaCercaPuntiClassificaSquadra,3,FALSE),-2)),SUMIFS(Dati!$E$2:$E$451,Dati!$A$2:$A$451,$H74,Dati!$H$2:$H$451,$Y74)+SUMIFS(Dati!$L$2:$L$451,Dati!$H$2:$H$451,$H74,Dati!$A$2:$A$451,$Y74),"-")</f>
        <v/>
      </c>
      <c r="BJ74" s="22">
        <f>IF(AND($H74&lt;&gt;"",$Z74&lt;&gt;"",$H74&lt;&gt;$Z74,IFERROR(VLOOKUP($H74,areaCercaPuntiClassificaSquadra,3,FALSE),-1)=IFERROR(VLOOKUP($Z74,areaCercaPuntiClassificaSquadra,3,FALSE),-2)),SUMIFS(Dati!$E$2:$E$451,Dati!$A$2:$A$451,$H74,Dati!$H$2:$H$451,$Z74)+SUMIFS(Dati!$L$2:$L$451,Dati!$H$2:$H$451,$H74,Dati!$A$2:$A$451,$Z74),"-")</f>
        <v/>
      </c>
      <c r="BK74" s="22">
        <f>IF(AND($H74&lt;&gt;"",$AA74&lt;&gt;"",$H74&lt;&gt;$AA74,IFERROR(VLOOKUP($H74,areaCercaPuntiClassificaSquadra,3,FALSE),-1)=IFERROR(VLOOKUP($AA74,areaCercaPuntiClassificaSquadra,3,FALSE),-2)),SUMIFS(Dati!$E$2:$E$451,Dati!$A$2:$A$451,$H74,Dati!$H$2:$H$451,$AA74)+SUMIFS(Dati!$L$2:$L$451,Dati!$H$2:$H$451,$H74,Dati!$A$2:$A$451,$AA74),"-")</f>
        <v/>
      </c>
      <c r="BL74" s="22">
        <f>IF(AND($H74&lt;&gt;"",$AB74&lt;&gt;"",$H74&lt;&gt;$AB74,IFERROR(VLOOKUP($H74,areaCercaPuntiClassificaSquadra,3,FALSE),-1)=IFERROR(VLOOKUP($AB74,areaCercaPuntiClassificaSquadra,3,FALSE),-2)),SUMIFS(Dati!$E$2:$E$451,Dati!$A$2:$A$451,$H74,Dati!$H$2:$H$451,$AB74)+SUMIFS(Dati!$L$2:$L$451,Dati!$H$2:$H$451,$H74,Dati!$A$2:$A$451,$AB74),"-")</f>
        <v/>
      </c>
      <c r="BM74" s="22">
        <f>IF(AND($H74&lt;&gt;"",$AC74&lt;&gt;"",$H74&lt;&gt;$AC74,IFERROR(VLOOKUP($H74,areaCercaPuntiClassificaSquadra,3,FALSE),-1)=IFERROR(VLOOKUP($AC74,areaCercaPuntiClassificaSquadra,3,FALSE),-2)),SUMIFS(Dati!$E$2:$E$451,Dati!$A$2:$A$451,$H74,Dati!$H$2:$H$451,$AC74)+SUMIFS(Dati!$L$2:$L$451,Dati!$H$2:$H$451,$H74,Dati!$A$2:$A$451,$AC74),"-")</f>
        <v/>
      </c>
      <c r="BN74" s="22">
        <f>IF(AND($H74&lt;&gt;"",$AD74&lt;&gt;"",$H74&lt;&gt;$AD74,IFERROR(VLOOKUP($H74,areaCercaPuntiClassificaSquadra,3,FALSE),-1)=IFERROR(VLOOKUP($AD74,areaCercaPuntiClassificaSquadra,3,FALSE),-2)),SUMIFS(Dati!$E$2:$E$451,Dati!$A$2:$A$451,$H74,Dati!$H$2:$H$451,$AD74)+SUMIFS(Dati!$L$2:$L$451,Dati!$H$2:$H$451,$H74,Dati!$A$2:$A$451,$AD74),"-")</f>
        <v/>
      </c>
      <c r="BO74" s="22">
        <f>IF(AND($H74&lt;&gt;"",$AE74&lt;&gt;"",$H74&lt;&gt;$AE74,IFERROR(VLOOKUP($H74,areaCercaPuntiClassificaSquadra,3,FALSE),-1)=IFERROR(VLOOKUP($AE74,areaCercaPuntiClassificaSquadra,3,FALSE),-2)),SUMIFS(Dati!$E$2:$E$451,Dati!$A$2:$A$451,$H74,Dati!$H$2:$H$451,$AE74)+SUMIFS(Dati!$L$2:$L$451,Dati!$H$2:$H$451,$H74,Dati!$A$2:$A$451,$AE74),"-")</f>
        <v/>
      </c>
      <c r="BP74" s="22">
        <f>IF(AND($H74&lt;&gt;"",$AF74&lt;&gt;"",$H74&lt;&gt;$AF74,IFERROR(VLOOKUP($H74,areaCercaPuntiClassificaSquadra,3,FALSE),-1)=IFERROR(VLOOKUP($AF74,areaCercaPuntiClassificaSquadra,3,FALSE),-2)),SUMIFS(Dati!$E$2:$E$451,Dati!$A$2:$A$451,$H74,Dati!$H$2:$H$451,$AF74)+SUMIFS(Dati!$L$2:$L$451,Dati!$H$2:$H$451,$H74,Dati!$A$2:$A$451,$AF74),"-")</f>
        <v/>
      </c>
      <c r="BQ74" s="22">
        <f>IF(AND($H74&lt;&gt;"",$AG74&lt;&gt;"",$H74&lt;&gt;$AG74,IFERROR(VLOOKUP($H74,areaCercaPuntiClassificaSquadra,3,FALSE),-1)=IFERROR(VLOOKUP($AG74,areaCercaPuntiClassificaSquadra,3,FALSE),-2)),SUMIFS(Dati!$E$2:$E$451,Dati!$A$2:$A$451,$H74,Dati!$H$2:$H$451,$AG74)+SUMIFS(Dati!$L$2:$L$451,Dati!$H$2:$H$451,$H74,Dati!$A$2:$A$451,$AG74),"-")</f>
        <v/>
      </c>
      <c r="BR74" s="22">
        <f>IF(AND($H74&lt;&gt;"",$AH74&lt;&gt;"",$H74&lt;&gt;$AH74,IFERROR(VLOOKUP($H74,areaCercaPuntiClassificaSquadra,3,FALSE),-1)=IFERROR(VLOOKUP($AH74,areaCercaPuntiClassificaSquadra,3,FALSE),-2)),SUMIFS(Dati!$E$2:$E$451,Dati!$A$2:$A$451,$H74,Dati!$H$2:$H$451,$AH74)+SUMIFS(Dati!$L$2:$L$451,Dati!$H$2:$H$451,$H74,Dati!$A$2:$A$451,$AH74),"-")</f>
        <v/>
      </c>
      <c r="BT74" s="21">
        <f>$C74</f>
        <v/>
      </c>
      <c r="BU74" s="22">
        <f>IF(AND($H74&lt;&gt;"",$Y74&lt;&gt;"",$H74&lt;&gt;$Y74,IFERROR(VLOOKUP($H74,areaCercaPuntiClassificaSquadra,3,FALSE),-1)=IFERROR(VLOOKUP($Y74,areaCercaPuntiClassificaSquadra,3,FALSE),-2)),SUMIFS(Dati!$F$2:$F$451,Dati!$A$2:$A$451,$H74,Dati!$H$2:$H$451,$Y74)+SUMIFS(Dati!$M$2:$M$451,Dati!$H$2:$H$451,$H74,Dati!$A$2:$A$451,$Y74),"-")</f>
        <v/>
      </c>
      <c r="BV74" s="22">
        <f>IF(AND($H74&lt;&gt;"",$Z74&lt;&gt;"",$H74&lt;&gt;$Z74,IFERROR(VLOOKUP($H74,areaCercaPuntiClassificaSquadra,3,FALSE),-1)=IFERROR(VLOOKUP($Z74,areaCercaPuntiClassificaSquadra,3,FALSE),-2)),SUMIFS(Dati!$F$2:$F$451,Dati!$A$2:$A$451,$H74,Dati!$H$2:$H$451,$Z74)+SUMIFS(Dati!$M$2:$M$451,Dati!$H$2:$H$451,$H74,Dati!$A$2:$A$451,$Z74),"-")</f>
        <v/>
      </c>
      <c r="BW74" s="22">
        <f>IF(AND($H74&lt;&gt;"",$AA74&lt;&gt;"",$H74&lt;&gt;$AA74,IFERROR(VLOOKUP($H74,areaCercaPuntiClassificaSquadra,3,FALSE),-1)=IFERROR(VLOOKUP($AA74,areaCercaPuntiClassificaSquadra,3,FALSE),-2)),SUMIFS(Dati!$F$2:$F$451,Dati!$A$2:$A$451,$H74,Dati!$H$2:$H$451,$AA74)+SUMIFS(Dati!$M$2:$M$451,Dati!$H$2:$H$451,$H74,Dati!$A$2:$A$451,$AA74),"-")</f>
        <v/>
      </c>
      <c r="BX74" s="22">
        <f>IF(AND($H74&lt;&gt;"",$AB74&lt;&gt;"",$H74&lt;&gt;$AB74,IFERROR(VLOOKUP($H74,areaCercaPuntiClassificaSquadra,3,FALSE),-1)=IFERROR(VLOOKUP($AB74,areaCercaPuntiClassificaSquadra,3,FALSE),-2)),SUMIFS(Dati!$F$2:$F$451,Dati!$A$2:$A$451,$H74,Dati!$H$2:$H$451,$AB74)+SUMIFS(Dati!$M$2:$M$451,Dati!$H$2:$H$451,$H74,Dati!$A$2:$A$451,$AB74),"-")</f>
        <v/>
      </c>
      <c r="BY74" s="22">
        <f>IF(AND($H74&lt;&gt;"",$AC74&lt;&gt;"",$H74&lt;&gt;$AC74,IFERROR(VLOOKUP($H74,areaCercaPuntiClassificaSquadra,3,FALSE),-1)=IFERROR(VLOOKUP($AC74,areaCercaPuntiClassificaSquadra,3,FALSE),-2)),SUMIFS(Dati!$F$2:$F$451,Dati!$A$2:$A$451,$H74,Dati!$H$2:$H$451,$AC74)+SUMIFS(Dati!$M$2:$M$451,Dati!$H$2:$H$451,$H74,Dati!$A$2:$A$451,$AC74),"-")</f>
        <v/>
      </c>
      <c r="BZ74" s="22">
        <f>IF(AND($H74&lt;&gt;"",$AD74&lt;&gt;"",$H74&lt;&gt;$AD74,IFERROR(VLOOKUP($H74,areaCercaPuntiClassificaSquadra,3,FALSE),-1)=IFERROR(VLOOKUP($AD74,areaCercaPuntiClassificaSquadra,3,FALSE),-2)),SUMIFS(Dati!$F$2:$F$451,Dati!$A$2:$A$451,$H74,Dati!$H$2:$H$451,$AD74)+SUMIFS(Dati!$M$2:$M$451,Dati!$H$2:$H$451,$H74,Dati!$A$2:$A$451,$AD74),"-")</f>
        <v/>
      </c>
      <c r="CA74" s="22">
        <f>IF(AND($H74&lt;&gt;"",$AE74&lt;&gt;"",$H74&lt;&gt;$AE74,IFERROR(VLOOKUP($H74,areaCercaPuntiClassificaSquadra,3,FALSE),-1)=IFERROR(VLOOKUP($AE74,areaCercaPuntiClassificaSquadra,3,FALSE),-2)),SUMIFS(Dati!$F$2:$F$451,Dati!$A$2:$A$451,$H74,Dati!$H$2:$H$451,$AE74)+SUMIFS(Dati!$M$2:$M$451,Dati!$H$2:$H$451,$H74,Dati!$A$2:$A$451,$AE74),"-")</f>
        <v/>
      </c>
      <c r="CB74" s="22">
        <f>IF(AND($H74&lt;&gt;"",$AF74&lt;&gt;"",$H74&lt;&gt;$AF74,IFERROR(VLOOKUP($H74,areaCercaPuntiClassificaSquadra,3,FALSE),-1)=IFERROR(VLOOKUP($AF74,areaCercaPuntiClassificaSquadra,3,FALSE),-2)),SUMIFS(Dati!$F$2:$F$451,Dati!$A$2:$A$451,$H74,Dati!$H$2:$H$451,$AF74)+SUMIFS(Dati!$M$2:$M$451,Dati!$H$2:$H$451,$H74,Dati!$A$2:$A$451,$AF74),"-")</f>
        <v/>
      </c>
      <c r="CC74" s="22">
        <f>IF(AND($H74&lt;&gt;"",$AG74&lt;&gt;"",$H74&lt;&gt;$AG74,IFERROR(VLOOKUP($H74,areaCercaPuntiClassificaSquadra,3,FALSE),-1)=IFERROR(VLOOKUP($AG74,areaCercaPuntiClassificaSquadra,3,FALSE),-2)),SUMIFS(Dati!$F$2:$F$451,Dati!$A$2:$A$451,$H74,Dati!$H$2:$H$451,$AG74)+SUMIFS(Dati!$M$2:$M$451,Dati!$H$2:$H$451,$H74,Dati!$A$2:$A$451,$AG74),"-")</f>
        <v/>
      </c>
      <c r="CD74" s="22">
        <f>IF(AND($H74&lt;&gt;"",$AH74&lt;&gt;"",$H74&lt;&gt;$AH74,IFERROR(VLOOKUP($H74,areaCercaPuntiClassificaSquadra,3,FALSE),-1)=IFERROR(VLOOKUP($AH74,areaCercaPuntiClassificaSquadra,3,FALSE),-2)),SUMIFS(Dati!$F$2:$F$451,Dati!$A$2:$A$451,$H74,Dati!$H$2:$H$451,$AH74)+SUMIFS(Dati!$M$2:$M$451,Dati!$H$2:$H$451,$H74,Dati!$A$2:$A$451,$AH74),"-")</f>
        <v/>
      </c>
      <c r="CF74" s="22">
        <f>IF($C74="","",SUM(AK74:AT74))</f>
        <v/>
      </c>
    </row>
    <row r="75">
      <c r="B75" s="12" t="inlineStr">
        <is>
          <t>G02</t>
        </is>
      </c>
      <c r="C75" s="13" t="n"/>
      <c r="D75" s="14" t="n"/>
      <c r="E75" s="33" t="inlineStr">
        <is>
          <t>G</t>
        </is>
      </c>
      <c r="G75" s="34">
        <f>IF($C75="","",$E75&amp;(COUNTIFS(I$14:I$113,"&gt;"&amp;I75,E$14:E$113,"="&amp;E75,C$14:C$113,"&lt;&gt;")+COUNTIFS(I$14:I$113,"="&amp;I75,H$14:H$113,"&lt;="&amp;H75,E$14:E$113,"="&amp;E75,C$14:C$113,"&lt;&gt;")))</f>
        <v/>
      </c>
      <c r="H75" s="17">
        <f>IF($C75="","",IFERROR(LEFT($C75,FIND("-",$C75)-1),$C75))</f>
        <v/>
      </c>
      <c r="I75" s="12">
        <f>TEXT(1000000000+J75,"|0000000000|")&amp;TEXT(SUM(AK75:AT75),"0000000000|")&amp;IF(SUM(BU75:CD75)=0,"0000000000|",TEXT(ROUND(SUM(BI75:BR75)/SUM(BU75:CD75),4)*100000,"0000000000|"))&amp;IF(P75=0,"0000000000|",TEXT(ROUND(O75/P75,4)*100000,"0000000000|"))</f>
        <v/>
      </c>
      <c r="J75" s="34">
        <f>L75*constPuntiVittoria+M75*constPuntiSconfitta+N75*constPuntiForfait+IF(D75="",0,D75)</f>
        <v/>
      </c>
      <c r="K75" s="12">
        <f>SUM(L75:N75)</f>
        <v/>
      </c>
      <c r="L75" s="12">
        <f>IF($H75="",0,SUMIF(Dati!$A$2:$A$451,$H75,Dati!$B$2:$B$451)+SUMIF(Dati!$H$2:$H$451,$H75,Dati!$I$2:$I$451))</f>
        <v/>
      </c>
      <c r="M75" s="12">
        <f>IF($H75="",0,SUMIF(Dati!$A$2:$A$451,$H75,Dati!$D$2:$D$451)+SUMIF(Dati!$H$2:$H$451,$H75,Dati!$K$2:$K$451))</f>
        <v/>
      </c>
      <c r="N75" s="12">
        <f>IF($H75="",0,SUMIF(Dati!$A$2:$A$451,$H75,Dati!$C$2:$C$451)+SUMIF(Dati!$H$2:$H$451,$H75,Dati!$J$2:$J$451))</f>
        <v/>
      </c>
      <c r="O75" s="12">
        <f>IF($H75="",0,SUMIF(Dati!$A$2:$A$451,$H75,Dati!$E$2:$E$451)+SUMIF(Dati!$H$2:$H$451,$H75,Dati!$L$2:$L$451))</f>
        <v/>
      </c>
      <c r="P75" s="12">
        <f>IF($H75="",0,SUMIF(Dati!$A$2:$A$451,$H75,Dati!$F$2:$F$451)+SUMIF(Dati!$H$2:$H$451,$H75,Dati!$M$2:$M$451))</f>
        <v/>
      </c>
      <c r="Q75" s="12">
        <f>IF($H75="",0,SUMIF(Dati!$A$2:$A$451,$H75,Dati!$G$2:$G$451)+SUMIF(Dati!$H$2:$H$451,$H75,Dati!$N$2:$N$451))</f>
        <v/>
      </c>
      <c r="R75" s="12">
        <f>IF(K75=0,0,ROUND(O75/K75,2))</f>
        <v/>
      </c>
      <c r="S75" s="12">
        <f>IF(K75=0,0,ROUND(P75/K75,2))</f>
        <v/>
      </c>
      <c r="T75" s="12">
        <f>IF(K75=0,0,ROUND(Q75/K75,2))</f>
        <v/>
      </c>
      <c r="U75" s="12">
        <f>IF(COUNTIFS($E$14:$E$113,$E75,$J$14:$J$113,$J75,$C$14:$C$113,"&lt;&gt;")&lt;=1,"-",SUM(AK75:AT75)&amp;"-"&amp;SUM(AW75:BF75))</f>
        <v/>
      </c>
      <c r="V75" s="18">
        <f>IF(COUNTIFS($E$14:$E$113,$E75,$J$14:$J$113,$J75,$C$14:$C$113,"&lt;&gt;",$CF$14:$CF$113,$CF75)&lt;=1,"-",IF(SUM(BU75:CD75)=0,0,ROUND(SUM(BI75:BR75)/SUM(BU75:CD75),3)))</f>
        <v/>
      </c>
      <c r="W75" s="18">
        <f>IF(COUNTIFS($E$14:$E$113,$E75,$J$14:$J$113,$J75,$C$14:$C$113,"&lt;&gt;",$CF$14:$CF$113,$CF75,$V$14:$V$113,$V75)&lt;=1,"-",IF(P75=0,0,ROUND(O75/P75,3)))</f>
        <v/>
      </c>
      <c r="X75" s="19">
        <f>IF($C75="","",$E75&amp;"#"&amp;COUNTIFS($E$14:$E75,$E75,$C$14:$C75,"&lt;&gt;"))</f>
        <v/>
      </c>
      <c r="Y75" s="20">
        <f>IFERROR(INDEX($H$14:$H$113,MATCH($E75&amp;"#1",$X$14:$X$113,0)),"")</f>
        <v/>
      </c>
      <c r="Z75" s="20">
        <f>IFERROR(INDEX($H$14:$H$113,MATCH($E75&amp;"#2",$X$14:$X$113,0)),"")</f>
        <v/>
      </c>
      <c r="AA75" s="20">
        <f>IFERROR(INDEX($H$14:$H$113,MATCH($E75&amp;"#3",$X$14:$X$113,0)),"")</f>
        <v/>
      </c>
      <c r="AB75" s="20">
        <f>IFERROR(INDEX($H$14:$H$113,MATCH($E75&amp;"#4",$X$14:$X$113,0)),"")</f>
        <v/>
      </c>
      <c r="AC75" s="20">
        <f>IFERROR(INDEX($H$14:$H$113,MATCH($E75&amp;"#5",$X$14:$X$113,0)),"")</f>
        <v/>
      </c>
      <c r="AD75" s="20">
        <f>IFERROR(INDEX($H$14:$H$113,MATCH($E75&amp;"#6",$X$14:$X$113,0)),"")</f>
        <v/>
      </c>
      <c r="AE75" s="20">
        <f>IFERROR(INDEX($H$14:$H$113,MATCH($E75&amp;"#7",$X$14:$X$113,0)),"")</f>
        <v/>
      </c>
      <c r="AF75" s="20">
        <f>IFERROR(INDEX($H$14:$H$113,MATCH($E75&amp;"#8",$X$14:$X$113,0)),"")</f>
        <v/>
      </c>
      <c r="AG75" s="20">
        <f>IFERROR(INDEX($H$14:$H$113,MATCH($E75&amp;"#9",$X$14:$X$113,0)),"")</f>
        <v/>
      </c>
      <c r="AH75" s="20">
        <f>IFERROR(INDEX($H$14:$H$113,MATCH($E75&amp;"#10",$X$14:$X$113,0)),"")</f>
        <v/>
      </c>
      <c r="AJ75" s="21">
        <f>$C75</f>
        <v/>
      </c>
      <c r="AK75" s="22">
        <f>IF(AND($H75&lt;&gt;"",$Y75&lt;&gt;"",$H75&lt;&gt;$Y75,IFERROR(VLOOKUP($H75,areaCercaPuntiClassificaSquadra,3,FALSE),-1)=IFERROR(VLOOKUP($Y75,areaCercaPuntiClassificaSquadra,3,FALSE),-2)),SUMIFS(Dati!$B$2:$B$451,Dati!$A$2:$A$451,$H75,Dati!$H$2:$H$451,$Y75)+SUMIFS(Dati!$I$2:$I$451,Dati!$H$2:$H$451,$H75,Dati!$A$2:$A$451,$Y75),"-")</f>
        <v/>
      </c>
      <c r="AL75" s="22">
        <f>IF(AND($H75&lt;&gt;"",$Z75&lt;&gt;"",$H75&lt;&gt;$Z75,IFERROR(VLOOKUP($H75,areaCercaPuntiClassificaSquadra,3,FALSE),-1)=IFERROR(VLOOKUP($Z75,areaCercaPuntiClassificaSquadra,3,FALSE),-2)),SUMIFS(Dati!$B$2:$B$451,Dati!$A$2:$A$451,$H75,Dati!$H$2:$H$451,$Z75)+SUMIFS(Dati!$I$2:$I$451,Dati!$H$2:$H$451,$H75,Dati!$A$2:$A$451,$Z75),"-")</f>
        <v/>
      </c>
      <c r="AM75" s="22">
        <f>IF(AND($H75&lt;&gt;"",$AA75&lt;&gt;"",$H75&lt;&gt;$AA75,IFERROR(VLOOKUP($H75,areaCercaPuntiClassificaSquadra,3,FALSE),-1)=IFERROR(VLOOKUP($AA75,areaCercaPuntiClassificaSquadra,3,FALSE),-2)),SUMIFS(Dati!$B$2:$B$451,Dati!$A$2:$A$451,$H75,Dati!$H$2:$H$451,$AA75)+SUMIFS(Dati!$I$2:$I$451,Dati!$H$2:$H$451,$H75,Dati!$A$2:$A$451,$AA75),"-")</f>
        <v/>
      </c>
      <c r="AN75" s="22">
        <f>IF(AND($H75&lt;&gt;"",$AB75&lt;&gt;"",$H75&lt;&gt;$AB75,IFERROR(VLOOKUP($H75,areaCercaPuntiClassificaSquadra,3,FALSE),-1)=IFERROR(VLOOKUP($AB75,areaCercaPuntiClassificaSquadra,3,FALSE),-2)),SUMIFS(Dati!$B$2:$B$451,Dati!$A$2:$A$451,$H75,Dati!$H$2:$H$451,$AB75)+SUMIFS(Dati!$I$2:$I$451,Dati!$H$2:$H$451,$H75,Dati!$A$2:$A$451,$AB75),"-")</f>
        <v/>
      </c>
      <c r="AO75" s="22">
        <f>IF(AND($H75&lt;&gt;"",$AC75&lt;&gt;"",$H75&lt;&gt;$AC75,IFERROR(VLOOKUP($H75,areaCercaPuntiClassificaSquadra,3,FALSE),-1)=IFERROR(VLOOKUP($AC75,areaCercaPuntiClassificaSquadra,3,FALSE),-2)),SUMIFS(Dati!$B$2:$B$451,Dati!$A$2:$A$451,$H75,Dati!$H$2:$H$451,$AC75)+SUMIFS(Dati!$I$2:$I$451,Dati!$H$2:$H$451,$H75,Dati!$A$2:$A$451,$AC75),"-")</f>
        <v/>
      </c>
      <c r="AP75" s="22">
        <f>IF(AND($H75&lt;&gt;"",$AD75&lt;&gt;"",$H75&lt;&gt;$AD75,IFERROR(VLOOKUP($H75,areaCercaPuntiClassificaSquadra,3,FALSE),-1)=IFERROR(VLOOKUP($AD75,areaCercaPuntiClassificaSquadra,3,FALSE),-2)),SUMIFS(Dati!$B$2:$B$451,Dati!$A$2:$A$451,$H75,Dati!$H$2:$H$451,$AD75)+SUMIFS(Dati!$I$2:$I$451,Dati!$H$2:$H$451,$H75,Dati!$A$2:$A$451,$AD75),"-")</f>
        <v/>
      </c>
      <c r="AQ75" s="22">
        <f>IF(AND($H75&lt;&gt;"",$AE75&lt;&gt;"",$H75&lt;&gt;$AE75,IFERROR(VLOOKUP($H75,areaCercaPuntiClassificaSquadra,3,FALSE),-1)=IFERROR(VLOOKUP($AE75,areaCercaPuntiClassificaSquadra,3,FALSE),-2)),SUMIFS(Dati!$B$2:$B$451,Dati!$A$2:$A$451,$H75,Dati!$H$2:$H$451,$AE75)+SUMIFS(Dati!$I$2:$I$451,Dati!$H$2:$H$451,$H75,Dati!$A$2:$A$451,$AE75),"-")</f>
        <v/>
      </c>
      <c r="AR75" s="22">
        <f>IF(AND($H75&lt;&gt;"",$AF75&lt;&gt;"",$H75&lt;&gt;$AF75,IFERROR(VLOOKUP($H75,areaCercaPuntiClassificaSquadra,3,FALSE),-1)=IFERROR(VLOOKUP($AF75,areaCercaPuntiClassificaSquadra,3,FALSE),-2)),SUMIFS(Dati!$B$2:$B$451,Dati!$A$2:$A$451,$H75,Dati!$H$2:$H$451,$AF75)+SUMIFS(Dati!$I$2:$I$451,Dati!$H$2:$H$451,$H75,Dati!$A$2:$A$451,$AF75),"-")</f>
        <v/>
      </c>
      <c r="AS75" s="22">
        <f>IF(AND($H75&lt;&gt;"",$AG75&lt;&gt;"",$H75&lt;&gt;$AG75,IFERROR(VLOOKUP($H75,areaCercaPuntiClassificaSquadra,3,FALSE),-1)=IFERROR(VLOOKUP($AG75,areaCercaPuntiClassificaSquadra,3,FALSE),-2)),SUMIFS(Dati!$B$2:$B$451,Dati!$A$2:$A$451,$H75,Dati!$H$2:$H$451,$AG75)+SUMIFS(Dati!$I$2:$I$451,Dati!$H$2:$H$451,$H75,Dati!$A$2:$A$451,$AG75),"-")</f>
        <v/>
      </c>
      <c r="AT75" s="22">
        <f>IF(AND($H75&lt;&gt;"",$AH75&lt;&gt;"",$H75&lt;&gt;$AH75,IFERROR(VLOOKUP($H75,areaCercaPuntiClassificaSquadra,3,FALSE),-1)=IFERROR(VLOOKUP($AH75,areaCercaPuntiClassificaSquadra,3,FALSE),-2)),SUMIFS(Dati!$B$2:$B$451,Dati!$A$2:$A$451,$H75,Dati!$H$2:$H$451,$AH75)+SUMIFS(Dati!$I$2:$I$451,Dati!$H$2:$H$451,$H75,Dati!$A$2:$A$451,$AH75),"-")</f>
        <v/>
      </c>
      <c r="AV75" s="21">
        <f>$C75</f>
        <v/>
      </c>
      <c r="AW75" s="22">
        <f>IF(AND($H75&lt;&gt;"",$Y75&lt;&gt;"",$H75&lt;&gt;$Y75,IFERROR(VLOOKUP($H75,areaCercaPuntiClassificaSquadra,3,FALSE),-1)=IFERROR(VLOOKUP($Y75,areaCercaPuntiClassificaSquadra,3,FALSE),-2)),SUMIFS(Dati!$D$2:$D$451,Dati!$A$2:$A$451,$H75,Dati!$H$2:$H$451,$Y75)+SUMIFS(Dati!$K$2:$K$451,Dati!$H$2:$H$451,$H75,Dati!$A$2:$A$451,$Y75)+SUMIFS(Dati!$C$2:$C$451,Dati!$A$2:$A$451,$H75,Dati!$H$2:$H$451,$Y75)+SUMIFS(Dati!$J$2:$J$451,Dati!$H$2:$H$451,$H75,Dati!$A$2:$A$451,$Y75),"-")</f>
        <v/>
      </c>
      <c r="AX75" s="22">
        <f>IF(AND($H75&lt;&gt;"",$Z75&lt;&gt;"",$H75&lt;&gt;$Z75,IFERROR(VLOOKUP($H75,areaCercaPuntiClassificaSquadra,3,FALSE),-1)=IFERROR(VLOOKUP($Z75,areaCercaPuntiClassificaSquadra,3,FALSE),-2)),SUMIFS(Dati!$D$2:$D$451,Dati!$A$2:$A$451,$H75,Dati!$H$2:$H$451,$Z75)+SUMIFS(Dati!$K$2:$K$451,Dati!$H$2:$H$451,$H75,Dati!$A$2:$A$451,$Z75)+SUMIFS(Dati!$C$2:$C$451,Dati!$A$2:$A$451,$H75,Dati!$H$2:$H$451,$Z75)+SUMIFS(Dati!$J$2:$J$451,Dati!$H$2:$H$451,$H75,Dati!$A$2:$A$451,$Z75),"-")</f>
        <v/>
      </c>
      <c r="AY75" s="22">
        <f>IF(AND($H75&lt;&gt;"",$AA75&lt;&gt;"",$H75&lt;&gt;$AA75,IFERROR(VLOOKUP($H75,areaCercaPuntiClassificaSquadra,3,FALSE),-1)=IFERROR(VLOOKUP($AA75,areaCercaPuntiClassificaSquadra,3,FALSE),-2)),SUMIFS(Dati!$D$2:$D$451,Dati!$A$2:$A$451,$H75,Dati!$H$2:$H$451,$AA75)+SUMIFS(Dati!$K$2:$K$451,Dati!$H$2:$H$451,$H75,Dati!$A$2:$A$451,$AA75)+SUMIFS(Dati!$C$2:$C$451,Dati!$A$2:$A$451,$H75,Dati!$H$2:$H$451,$AA75)+SUMIFS(Dati!$J$2:$J$451,Dati!$H$2:$H$451,$H75,Dati!$A$2:$A$451,$AA75),"-")</f>
        <v/>
      </c>
      <c r="AZ75" s="22">
        <f>IF(AND($H75&lt;&gt;"",$AB75&lt;&gt;"",$H75&lt;&gt;$AB75,IFERROR(VLOOKUP($H75,areaCercaPuntiClassificaSquadra,3,FALSE),-1)=IFERROR(VLOOKUP($AB75,areaCercaPuntiClassificaSquadra,3,FALSE),-2)),SUMIFS(Dati!$D$2:$D$451,Dati!$A$2:$A$451,$H75,Dati!$H$2:$H$451,$AB75)+SUMIFS(Dati!$K$2:$K$451,Dati!$H$2:$H$451,$H75,Dati!$A$2:$A$451,$AB75)+SUMIFS(Dati!$C$2:$C$451,Dati!$A$2:$A$451,$H75,Dati!$H$2:$H$451,$AB75)+SUMIFS(Dati!$J$2:$J$451,Dati!$H$2:$H$451,$H75,Dati!$A$2:$A$451,$AB75),"-")</f>
        <v/>
      </c>
      <c r="BA75" s="22">
        <f>IF(AND($H75&lt;&gt;"",$AC75&lt;&gt;"",$H75&lt;&gt;$AC75,IFERROR(VLOOKUP($H75,areaCercaPuntiClassificaSquadra,3,FALSE),-1)=IFERROR(VLOOKUP($AC75,areaCercaPuntiClassificaSquadra,3,FALSE),-2)),SUMIFS(Dati!$D$2:$D$451,Dati!$A$2:$A$451,$H75,Dati!$H$2:$H$451,$AC75)+SUMIFS(Dati!$K$2:$K$451,Dati!$H$2:$H$451,$H75,Dati!$A$2:$A$451,$AC75)+SUMIFS(Dati!$C$2:$C$451,Dati!$A$2:$A$451,$H75,Dati!$H$2:$H$451,$AC75)+SUMIFS(Dati!$J$2:$J$451,Dati!$H$2:$H$451,$H75,Dati!$A$2:$A$451,$AC75),"-")</f>
        <v/>
      </c>
      <c r="BB75" s="22">
        <f>IF(AND($H75&lt;&gt;"",$AD75&lt;&gt;"",$H75&lt;&gt;$AD75,IFERROR(VLOOKUP($H75,areaCercaPuntiClassificaSquadra,3,FALSE),-1)=IFERROR(VLOOKUP($AD75,areaCercaPuntiClassificaSquadra,3,FALSE),-2)),SUMIFS(Dati!$D$2:$D$451,Dati!$A$2:$A$451,$H75,Dati!$H$2:$H$451,$AD75)+SUMIFS(Dati!$K$2:$K$451,Dati!$H$2:$H$451,$H75,Dati!$A$2:$A$451,$AD75)+SUMIFS(Dati!$C$2:$C$451,Dati!$A$2:$A$451,$H75,Dati!$H$2:$H$451,$AD75)+SUMIFS(Dati!$J$2:$J$451,Dati!$H$2:$H$451,$H75,Dati!$A$2:$A$451,$AD75),"-")</f>
        <v/>
      </c>
      <c r="BC75" s="22">
        <f>IF(AND($H75&lt;&gt;"",$AE75&lt;&gt;"",$H75&lt;&gt;$AE75,IFERROR(VLOOKUP($H75,areaCercaPuntiClassificaSquadra,3,FALSE),-1)=IFERROR(VLOOKUP($AE75,areaCercaPuntiClassificaSquadra,3,FALSE),-2)),SUMIFS(Dati!$D$2:$D$451,Dati!$A$2:$A$451,$H75,Dati!$H$2:$H$451,$AE75)+SUMIFS(Dati!$K$2:$K$451,Dati!$H$2:$H$451,$H75,Dati!$A$2:$A$451,$AE75)+SUMIFS(Dati!$C$2:$C$451,Dati!$A$2:$A$451,$H75,Dati!$H$2:$H$451,$AE75)+SUMIFS(Dati!$J$2:$J$451,Dati!$H$2:$H$451,$H75,Dati!$A$2:$A$451,$AE75),"-")</f>
        <v/>
      </c>
      <c r="BD75" s="22">
        <f>IF(AND($H75&lt;&gt;"",$AF75&lt;&gt;"",$H75&lt;&gt;$AF75,IFERROR(VLOOKUP($H75,areaCercaPuntiClassificaSquadra,3,FALSE),-1)=IFERROR(VLOOKUP($AF75,areaCercaPuntiClassificaSquadra,3,FALSE),-2)),SUMIFS(Dati!$D$2:$D$451,Dati!$A$2:$A$451,$H75,Dati!$H$2:$H$451,$AF75)+SUMIFS(Dati!$K$2:$K$451,Dati!$H$2:$H$451,$H75,Dati!$A$2:$A$451,$AF75)+SUMIFS(Dati!$C$2:$C$451,Dati!$A$2:$A$451,$H75,Dati!$H$2:$H$451,$AF75)+SUMIFS(Dati!$J$2:$J$451,Dati!$H$2:$H$451,$H75,Dati!$A$2:$A$451,$AF75),"-")</f>
        <v/>
      </c>
      <c r="BE75" s="22">
        <f>IF(AND($H75&lt;&gt;"",$AG75&lt;&gt;"",$H75&lt;&gt;$AG75,IFERROR(VLOOKUP($H75,areaCercaPuntiClassificaSquadra,3,FALSE),-1)=IFERROR(VLOOKUP($AG75,areaCercaPuntiClassificaSquadra,3,FALSE),-2)),SUMIFS(Dati!$D$2:$D$451,Dati!$A$2:$A$451,$H75,Dati!$H$2:$H$451,$AG75)+SUMIFS(Dati!$K$2:$K$451,Dati!$H$2:$H$451,$H75,Dati!$A$2:$A$451,$AG75)+SUMIFS(Dati!$C$2:$C$451,Dati!$A$2:$A$451,$H75,Dati!$H$2:$H$451,$AG75)+SUMIFS(Dati!$J$2:$J$451,Dati!$H$2:$H$451,$H75,Dati!$A$2:$A$451,$AG75),"-")</f>
        <v/>
      </c>
      <c r="BF75" s="22">
        <f>IF(AND($H75&lt;&gt;"",$AH75&lt;&gt;"",$H75&lt;&gt;$AH75,IFERROR(VLOOKUP($H75,areaCercaPuntiClassificaSquadra,3,FALSE),-1)=IFERROR(VLOOKUP($AH75,areaCercaPuntiClassificaSquadra,3,FALSE),-2)),SUMIFS(Dati!$D$2:$D$451,Dati!$A$2:$A$451,$H75,Dati!$H$2:$H$451,$AH75)+SUMIFS(Dati!$K$2:$K$451,Dati!$H$2:$H$451,$H75,Dati!$A$2:$A$451,$AH75)+SUMIFS(Dati!$C$2:$C$451,Dati!$A$2:$A$451,$H75,Dati!$H$2:$H$451,$AH75)+SUMIFS(Dati!$J$2:$J$451,Dati!$H$2:$H$451,$H75,Dati!$A$2:$A$451,$AH75),"-")</f>
        <v/>
      </c>
      <c r="BH75" s="21">
        <f>$C75</f>
        <v/>
      </c>
      <c r="BI75" s="22">
        <f>IF(AND($H75&lt;&gt;"",$Y75&lt;&gt;"",$H75&lt;&gt;$Y75,IFERROR(VLOOKUP($H75,areaCercaPuntiClassificaSquadra,3,FALSE),-1)=IFERROR(VLOOKUP($Y75,areaCercaPuntiClassificaSquadra,3,FALSE),-2)),SUMIFS(Dati!$E$2:$E$451,Dati!$A$2:$A$451,$H75,Dati!$H$2:$H$451,$Y75)+SUMIFS(Dati!$L$2:$L$451,Dati!$H$2:$H$451,$H75,Dati!$A$2:$A$451,$Y75),"-")</f>
        <v/>
      </c>
      <c r="BJ75" s="22">
        <f>IF(AND($H75&lt;&gt;"",$Z75&lt;&gt;"",$H75&lt;&gt;$Z75,IFERROR(VLOOKUP($H75,areaCercaPuntiClassificaSquadra,3,FALSE),-1)=IFERROR(VLOOKUP($Z75,areaCercaPuntiClassificaSquadra,3,FALSE),-2)),SUMIFS(Dati!$E$2:$E$451,Dati!$A$2:$A$451,$H75,Dati!$H$2:$H$451,$Z75)+SUMIFS(Dati!$L$2:$L$451,Dati!$H$2:$H$451,$H75,Dati!$A$2:$A$451,$Z75),"-")</f>
        <v/>
      </c>
      <c r="BK75" s="22">
        <f>IF(AND($H75&lt;&gt;"",$AA75&lt;&gt;"",$H75&lt;&gt;$AA75,IFERROR(VLOOKUP($H75,areaCercaPuntiClassificaSquadra,3,FALSE),-1)=IFERROR(VLOOKUP($AA75,areaCercaPuntiClassificaSquadra,3,FALSE),-2)),SUMIFS(Dati!$E$2:$E$451,Dati!$A$2:$A$451,$H75,Dati!$H$2:$H$451,$AA75)+SUMIFS(Dati!$L$2:$L$451,Dati!$H$2:$H$451,$H75,Dati!$A$2:$A$451,$AA75),"-")</f>
        <v/>
      </c>
      <c r="BL75" s="22">
        <f>IF(AND($H75&lt;&gt;"",$AB75&lt;&gt;"",$H75&lt;&gt;$AB75,IFERROR(VLOOKUP($H75,areaCercaPuntiClassificaSquadra,3,FALSE),-1)=IFERROR(VLOOKUP($AB75,areaCercaPuntiClassificaSquadra,3,FALSE),-2)),SUMIFS(Dati!$E$2:$E$451,Dati!$A$2:$A$451,$H75,Dati!$H$2:$H$451,$AB75)+SUMIFS(Dati!$L$2:$L$451,Dati!$H$2:$H$451,$H75,Dati!$A$2:$A$451,$AB75),"-")</f>
        <v/>
      </c>
      <c r="BM75" s="22">
        <f>IF(AND($H75&lt;&gt;"",$AC75&lt;&gt;"",$H75&lt;&gt;$AC75,IFERROR(VLOOKUP($H75,areaCercaPuntiClassificaSquadra,3,FALSE),-1)=IFERROR(VLOOKUP($AC75,areaCercaPuntiClassificaSquadra,3,FALSE),-2)),SUMIFS(Dati!$E$2:$E$451,Dati!$A$2:$A$451,$H75,Dati!$H$2:$H$451,$AC75)+SUMIFS(Dati!$L$2:$L$451,Dati!$H$2:$H$451,$H75,Dati!$A$2:$A$451,$AC75),"-")</f>
        <v/>
      </c>
      <c r="BN75" s="22">
        <f>IF(AND($H75&lt;&gt;"",$AD75&lt;&gt;"",$H75&lt;&gt;$AD75,IFERROR(VLOOKUP($H75,areaCercaPuntiClassificaSquadra,3,FALSE),-1)=IFERROR(VLOOKUP($AD75,areaCercaPuntiClassificaSquadra,3,FALSE),-2)),SUMIFS(Dati!$E$2:$E$451,Dati!$A$2:$A$451,$H75,Dati!$H$2:$H$451,$AD75)+SUMIFS(Dati!$L$2:$L$451,Dati!$H$2:$H$451,$H75,Dati!$A$2:$A$451,$AD75),"-")</f>
        <v/>
      </c>
      <c r="BO75" s="22">
        <f>IF(AND($H75&lt;&gt;"",$AE75&lt;&gt;"",$H75&lt;&gt;$AE75,IFERROR(VLOOKUP($H75,areaCercaPuntiClassificaSquadra,3,FALSE),-1)=IFERROR(VLOOKUP($AE75,areaCercaPuntiClassificaSquadra,3,FALSE),-2)),SUMIFS(Dati!$E$2:$E$451,Dati!$A$2:$A$451,$H75,Dati!$H$2:$H$451,$AE75)+SUMIFS(Dati!$L$2:$L$451,Dati!$H$2:$H$451,$H75,Dati!$A$2:$A$451,$AE75),"-")</f>
        <v/>
      </c>
      <c r="BP75" s="22">
        <f>IF(AND($H75&lt;&gt;"",$AF75&lt;&gt;"",$H75&lt;&gt;$AF75,IFERROR(VLOOKUP($H75,areaCercaPuntiClassificaSquadra,3,FALSE),-1)=IFERROR(VLOOKUP($AF75,areaCercaPuntiClassificaSquadra,3,FALSE),-2)),SUMIFS(Dati!$E$2:$E$451,Dati!$A$2:$A$451,$H75,Dati!$H$2:$H$451,$AF75)+SUMIFS(Dati!$L$2:$L$451,Dati!$H$2:$H$451,$H75,Dati!$A$2:$A$451,$AF75),"-")</f>
        <v/>
      </c>
      <c r="BQ75" s="22">
        <f>IF(AND($H75&lt;&gt;"",$AG75&lt;&gt;"",$H75&lt;&gt;$AG75,IFERROR(VLOOKUP($H75,areaCercaPuntiClassificaSquadra,3,FALSE),-1)=IFERROR(VLOOKUP($AG75,areaCercaPuntiClassificaSquadra,3,FALSE),-2)),SUMIFS(Dati!$E$2:$E$451,Dati!$A$2:$A$451,$H75,Dati!$H$2:$H$451,$AG75)+SUMIFS(Dati!$L$2:$L$451,Dati!$H$2:$H$451,$H75,Dati!$A$2:$A$451,$AG75),"-")</f>
        <v/>
      </c>
      <c r="BR75" s="22">
        <f>IF(AND($H75&lt;&gt;"",$AH75&lt;&gt;"",$H75&lt;&gt;$AH75,IFERROR(VLOOKUP($H75,areaCercaPuntiClassificaSquadra,3,FALSE),-1)=IFERROR(VLOOKUP($AH75,areaCercaPuntiClassificaSquadra,3,FALSE),-2)),SUMIFS(Dati!$E$2:$E$451,Dati!$A$2:$A$451,$H75,Dati!$H$2:$H$451,$AH75)+SUMIFS(Dati!$L$2:$L$451,Dati!$H$2:$H$451,$H75,Dati!$A$2:$A$451,$AH75),"-")</f>
        <v/>
      </c>
      <c r="BT75" s="21">
        <f>$C75</f>
        <v/>
      </c>
      <c r="BU75" s="22">
        <f>IF(AND($H75&lt;&gt;"",$Y75&lt;&gt;"",$H75&lt;&gt;$Y75,IFERROR(VLOOKUP($H75,areaCercaPuntiClassificaSquadra,3,FALSE),-1)=IFERROR(VLOOKUP($Y75,areaCercaPuntiClassificaSquadra,3,FALSE),-2)),SUMIFS(Dati!$F$2:$F$451,Dati!$A$2:$A$451,$H75,Dati!$H$2:$H$451,$Y75)+SUMIFS(Dati!$M$2:$M$451,Dati!$H$2:$H$451,$H75,Dati!$A$2:$A$451,$Y75),"-")</f>
        <v/>
      </c>
      <c r="BV75" s="22">
        <f>IF(AND($H75&lt;&gt;"",$Z75&lt;&gt;"",$H75&lt;&gt;$Z75,IFERROR(VLOOKUP($H75,areaCercaPuntiClassificaSquadra,3,FALSE),-1)=IFERROR(VLOOKUP($Z75,areaCercaPuntiClassificaSquadra,3,FALSE),-2)),SUMIFS(Dati!$F$2:$F$451,Dati!$A$2:$A$451,$H75,Dati!$H$2:$H$451,$Z75)+SUMIFS(Dati!$M$2:$M$451,Dati!$H$2:$H$451,$H75,Dati!$A$2:$A$451,$Z75),"-")</f>
        <v/>
      </c>
      <c r="BW75" s="22">
        <f>IF(AND($H75&lt;&gt;"",$AA75&lt;&gt;"",$H75&lt;&gt;$AA75,IFERROR(VLOOKUP($H75,areaCercaPuntiClassificaSquadra,3,FALSE),-1)=IFERROR(VLOOKUP($AA75,areaCercaPuntiClassificaSquadra,3,FALSE),-2)),SUMIFS(Dati!$F$2:$F$451,Dati!$A$2:$A$451,$H75,Dati!$H$2:$H$451,$AA75)+SUMIFS(Dati!$M$2:$M$451,Dati!$H$2:$H$451,$H75,Dati!$A$2:$A$451,$AA75),"-")</f>
        <v/>
      </c>
      <c r="BX75" s="22">
        <f>IF(AND($H75&lt;&gt;"",$AB75&lt;&gt;"",$H75&lt;&gt;$AB75,IFERROR(VLOOKUP($H75,areaCercaPuntiClassificaSquadra,3,FALSE),-1)=IFERROR(VLOOKUP($AB75,areaCercaPuntiClassificaSquadra,3,FALSE),-2)),SUMIFS(Dati!$F$2:$F$451,Dati!$A$2:$A$451,$H75,Dati!$H$2:$H$451,$AB75)+SUMIFS(Dati!$M$2:$M$451,Dati!$H$2:$H$451,$H75,Dati!$A$2:$A$451,$AB75),"-")</f>
        <v/>
      </c>
      <c r="BY75" s="22">
        <f>IF(AND($H75&lt;&gt;"",$AC75&lt;&gt;"",$H75&lt;&gt;$AC75,IFERROR(VLOOKUP($H75,areaCercaPuntiClassificaSquadra,3,FALSE),-1)=IFERROR(VLOOKUP($AC75,areaCercaPuntiClassificaSquadra,3,FALSE),-2)),SUMIFS(Dati!$F$2:$F$451,Dati!$A$2:$A$451,$H75,Dati!$H$2:$H$451,$AC75)+SUMIFS(Dati!$M$2:$M$451,Dati!$H$2:$H$451,$H75,Dati!$A$2:$A$451,$AC75),"-")</f>
        <v/>
      </c>
      <c r="BZ75" s="22">
        <f>IF(AND($H75&lt;&gt;"",$AD75&lt;&gt;"",$H75&lt;&gt;$AD75,IFERROR(VLOOKUP($H75,areaCercaPuntiClassificaSquadra,3,FALSE),-1)=IFERROR(VLOOKUP($AD75,areaCercaPuntiClassificaSquadra,3,FALSE),-2)),SUMIFS(Dati!$F$2:$F$451,Dati!$A$2:$A$451,$H75,Dati!$H$2:$H$451,$AD75)+SUMIFS(Dati!$M$2:$M$451,Dati!$H$2:$H$451,$H75,Dati!$A$2:$A$451,$AD75),"-")</f>
        <v/>
      </c>
      <c r="CA75" s="22">
        <f>IF(AND($H75&lt;&gt;"",$AE75&lt;&gt;"",$H75&lt;&gt;$AE75,IFERROR(VLOOKUP($H75,areaCercaPuntiClassificaSquadra,3,FALSE),-1)=IFERROR(VLOOKUP($AE75,areaCercaPuntiClassificaSquadra,3,FALSE),-2)),SUMIFS(Dati!$F$2:$F$451,Dati!$A$2:$A$451,$H75,Dati!$H$2:$H$451,$AE75)+SUMIFS(Dati!$M$2:$M$451,Dati!$H$2:$H$451,$H75,Dati!$A$2:$A$451,$AE75),"-")</f>
        <v/>
      </c>
      <c r="CB75" s="22">
        <f>IF(AND($H75&lt;&gt;"",$AF75&lt;&gt;"",$H75&lt;&gt;$AF75,IFERROR(VLOOKUP($H75,areaCercaPuntiClassificaSquadra,3,FALSE),-1)=IFERROR(VLOOKUP($AF75,areaCercaPuntiClassificaSquadra,3,FALSE),-2)),SUMIFS(Dati!$F$2:$F$451,Dati!$A$2:$A$451,$H75,Dati!$H$2:$H$451,$AF75)+SUMIFS(Dati!$M$2:$M$451,Dati!$H$2:$H$451,$H75,Dati!$A$2:$A$451,$AF75),"-")</f>
        <v/>
      </c>
      <c r="CC75" s="22">
        <f>IF(AND($H75&lt;&gt;"",$AG75&lt;&gt;"",$H75&lt;&gt;$AG75,IFERROR(VLOOKUP($H75,areaCercaPuntiClassificaSquadra,3,FALSE),-1)=IFERROR(VLOOKUP($AG75,areaCercaPuntiClassificaSquadra,3,FALSE),-2)),SUMIFS(Dati!$F$2:$F$451,Dati!$A$2:$A$451,$H75,Dati!$H$2:$H$451,$AG75)+SUMIFS(Dati!$M$2:$M$451,Dati!$H$2:$H$451,$H75,Dati!$A$2:$A$451,$AG75),"-")</f>
        <v/>
      </c>
      <c r="CD75" s="22">
        <f>IF(AND($H75&lt;&gt;"",$AH75&lt;&gt;"",$H75&lt;&gt;$AH75,IFERROR(VLOOKUP($H75,areaCercaPuntiClassificaSquadra,3,FALSE),-1)=IFERROR(VLOOKUP($AH75,areaCercaPuntiClassificaSquadra,3,FALSE),-2)),SUMIFS(Dati!$F$2:$F$451,Dati!$A$2:$A$451,$H75,Dati!$H$2:$H$451,$AH75)+SUMIFS(Dati!$M$2:$M$451,Dati!$H$2:$H$451,$H75,Dati!$A$2:$A$451,$AH75),"-")</f>
        <v/>
      </c>
      <c r="CF75" s="22">
        <f>IF($C75="","",SUM(AK75:AT75))</f>
        <v/>
      </c>
    </row>
    <row r="76">
      <c r="B76" s="12" t="inlineStr">
        <is>
          <t>G03</t>
        </is>
      </c>
      <c r="C76" s="13" t="n"/>
      <c r="D76" s="14" t="n"/>
      <c r="E76" s="33" t="inlineStr">
        <is>
          <t>G</t>
        </is>
      </c>
      <c r="G76" s="34">
        <f>IF($C76="","",$E76&amp;(COUNTIFS(I$14:I$113,"&gt;"&amp;I76,E$14:E$113,"="&amp;E76,C$14:C$113,"&lt;&gt;")+COUNTIFS(I$14:I$113,"="&amp;I76,H$14:H$113,"&lt;="&amp;H76,E$14:E$113,"="&amp;E76,C$14:C$113,"&lt;&gt;")))</f>
        <v/>
      </c>
      <c r="H76" s="17">
        <f>IF($C76="","",IFERROR(LEFT($C76,FIND("-",$C76)-1),$C76))</f>
        <v/>
      </c>
      <c r="I76" s="12">
        <f>TEXT(1000000000+J76,"|0000000000|")&amp;TEXT(SUM(AK76:AT76),"0000000000|")&amp;IF(SUM(BU76:CD76)=0,"0000000000|",TEXT(ROUND(SUM(BI76:BR76)/SUM(BU76:CD76),4)*100000,"0000000000|"))&amp;IF(P76=0,"0000000000|",TEXT(ROUND(O76/P76,4)*100000,"0000000000|"))</f>
        <v/>
      </c>
      <c r="J76" s="34">
        <f>L76*constPuntiVittoria+M76*constPuntiSconfitta+N76*constPuntiForfait+IF(D76="",0,D76)</f>
        <v/>
      </c>
      <c r="K76" s="12">
        <f>SUM(L76:N76)</f>
        <v/>
      </c>
      <c r="L76" s="12">
        <f>IF($H76="",0,SUMIF(Dati!$A$2:$A$451,$H76,Dati!$B$2:$B$451)+SUMIF(Dati!$H$2:$H$451,$H76,Dati!$I$2:$I$451))</f>
        <v/>
      </c>
      <c r="M76" s="12">
        <f>IF($H76="",0,SUMIF(Dati!$A$2:$A$451,$H76,Dati!$D$2:$D$451)+SUMIF(Dati!$H$2:$H$451,$H76,Dati!$K$2:$K$451))</f>
        <v/>
      </c>
      <c r="N76" s="12">
        <f>IF($H76="",0,SUMIF(Dati!$A$2:$A$451,$H76,Dati!$C$2:$C$451)+SUMIF(Dati!$H$2:$H$451,$H76,Dati!$J$2:$J$451))</f>
        <v/>
      </c>
      <c r="O76" s="12">
        <f>IF($H76="",0,SUMIF(Dati!$A$2:$A$451,$H76,Dati!$E$2:$E$451)+SUMIF(Dati!$H$2:$H$451,$H76,Dati!$L$2:$L$451))</f>
        <v/>
      </c>
      <c r="P76" s="12">
        <f>IF($H76="",0,SUMIF(Dati!$A$2:$A$451,$H76,Dati!$F$2:$F$451)+SUMIF(Dati!$H$2:$H$451,$H76,Dati!$M$2:$M$451))</f>
        <v/>
      </c>
      <c r="Q76" s="12">
        <f>IF($H76="",0,SUMIF(Dati!$A$2:$A$451,$H76,Dati!$G$2:$G$451)+SUMIF(Dati!$H$2:$H$451,$H76,Dati!$N$2:$N$451))</f>
        <v/>
      </c>
      <c r="R76" s="12">
        <f>IF(K76=0,0,ROUND(O76/K76,2))</f>
        <v/>
      </c>
      <c r="S76" s="12">
        <f>IF(K76=0,0,ROUND(P76/K76,2))</f>
        <v/>
      </c>
      <c r="T76" s="12">
        <f>IF(K76=0,0,ROUND(Q76/K76,2))</f>
        <v/>
      </c>
      <c r="U76" s="12">
        <f>IF(COUNTIFS($E$14:$E$113,$E76,$J$14:$J$113,$J76,$C$14:$C$113,"&lt;&gt;")&lt;=1,"-",SUM(AK76:AT76)&amp;"-"&amp;SUM(AW76:BF76))</f>
        <v/>
      </c>
      <c r="V76" s="18">
        <f>IF(COUNTIFS($E$14:$E$113,$E76,$J$14:$J$113,$J76,$C$14:$C$113,"&lt;&gt;",$CF$14:$CF$113,$CF76)&lt;=1,"-",IF(SUM(BU76:CD76)=0,0,ROUND(SUM(BI76:BR76)/SUM(BU76:CD76),3)))</f>
        <v/>
      </c>
      <c r="W76" s="18">
        <f>IF(COUNTIFS($E$14:$E$113,$E76,$J$14:$J$113,$J76,$C$14:$C$113,"&lt;&gt;",$CF$14:$CF$113,$CF76,$V$14:$V$113,$V76)&lt;=1,"-",IF(P76=0,0,ROUND(O76/P76,3)))</f>
        <v/>
      </c>
      <c r="X76" s="19">
        <f>IF($C76="","",$E76&amp;"#"&amp;COUNTIFS($E$14:$E76,$E76,$C$14:$C76,"&lt;&gt;"))</f>
        <v/>
      </c>
      <c r="Y76" s="20">
        <f>IFERROR(INDEX($H$14:$H$113,MATCH($E76&amp;"#1",$X$14:$X$113,0)),"")</f>
        <v/>
      </c>
      <c r="Z76" s="20">
        <f>IFERROR(INDEX($H$14:$H$113,MATCH($E76&amp;"#2",$X$14:$X$113,0)),"")</f>
        <v/>
      </c>
      <c r="AA76" s="20">
        <f>IFERROR(INDEX($H$14:$H$113,MATCH($E76&amp;"#3",$X$14:$X$113,0)),"")</f>
        <v/>
      </c>
      <c r="AB76" s="20">
        <f>IFERROR(INDEX($H$14:$H$113,MATCH($E76&amp;"#4",$X$14:$X$113,0)),"")</f>
        <v/>
      </c>
      <c r="AC76" s="20">
        <f>IFERROR(INDEX($H$14:$H$113,MATCH($E76&amp;"#5",$X$14:$X$113,0)),"")</f>
        <v/>
      </c>
      <c r="AD76" s="20">
        <f>IFERROR(INDEX($H$14:$H$113,MATCH($E76&amp;"#6",$X$14:$X$113,0)),"")</f>
        <v/>
      </c>
      <c r="AE76" s="20">
        <f>IFERROR(INDEX($H$14:$H$113,MATCH($E76&amp;"#7",$X$14:$X$113,0)),"")</f>
        <v/>
      </c>
      <c r="AF76" s="20">
        <f>IFERROR(INDEX($H$14:$H$113,MATCH($E76&amp;"#8",$X$14:$X$113,0)),"")</f>
        <v/>
      </c>
      <c r="AG76" s="20">
        <f>IFERROR(INDEX($H$14:$H$113,MATCH($E76&amp;"#9",$X$14:$X$113,0)),"")</f>
        <v/>
      </c>
      <c r="AH76" s="20">
        <f>IFERROR(INDEX($H$14:$H$113,MATCH($E76&amp;"#10",$X$14:$X$113,0)),"")</f>
        <v/>
      </c>
      <c r="AJ76" s="21">
        <f>$C76</f>
        <v/>
      </c>
      <c r="AK76" s="22">
        <f>IF(AND($H76&lt;&gt;"",$Y76&lt;&gt;"",$H76&lt;&gt;$Y76,IFERROR(VLOOKUP($H76,areaCercaPuntiClassificaSquadra,3,FALSE),-1)=IFERROR(VLOOKUP($Y76,areaCercaPuntiClassificaSquadra,3,FALSE),-2)),SUMIFS(Dati!$B$2:$B$451,Dati!$A$2:$A$451,$H76,Dati!$H$2:$H$451,$Y76)+SUMIFS(Dati!$I$2:$I$451,Dati!$H$2:$H$451,$H76,Dati!$A$2:$A$451,$Y76),"-")</f>
        <v/>
      </c>
      <c r="AL76" s="22">
        <f>IF(AND($H76&lt;&gt;"",$Z76&lt;&gt;"",$H76&lt;&gt;$Z76,IFERROR(VLOOKUP($H76,areaCercaPuntiClassificaSquadra,3,FALSE),-1)=IFERROR(VLOOKUP($Z76,areaCercaPuntiClassificaSquadra,3,FALSE),-2)),SUMIFS(Dati!$B$2:$B$451,Dati!$A$2:$A$451,$H76,Dati!$H$2:$H$451,$Z76)+SUMIFS(Dati!$I$2:$I$451,Dati!$H$2:$H$451,$H76,Dati!$A$2:$A$451,$Z76),"-")</f>
        <v/>
      </c>
      <c r="AM76" s="22">
        <f>IF(AND($H76&lt;&gt;"",$AA76&lt;&gt;"",$H76&lt;&gt;$AA76,IFERROR(VLOOKUP($H76,areaCercaPuntiClassificaSquadra,3,FALSE),-1)=IFERROR(VLOOKUP($AA76,areaCercaPuntiClassificaSquadra,3,FALSE),-2)),SUMIFS(Dati!$B$2:$B$451,Dati!$A$2:$A$451,$H76,Dati!$H$2:$H$451,$AA76)+SUMIFS(Dati!$I$2:$I$451,Dati!$H$2:$H$451,$H76,Dati!$A$2:$A$451,$AA76),"-")</f>
        <v/>
      </c>
      <c r="AN76" s="22">
        <f>IF(AND($H76&lt;&gt;"",$AB76&lt;&gt;"",$H76&lt;&gt;$AB76,IFERROR(VLOOKUP($H76,areaCercaPuntiClassificaSquadra,3,FALSE),-1)=IFERROR(VLOOKUP($AB76,areaCercaPuntiClassificaSquadra,3,FALSE),-2)),SUMIFS(Dati!$B$2:$B$451,Dati!$A$2:$A$451,$H76,Dati!$H$2:$H$451,$AB76)+SUMIFS(Dati!$I$2:$I$451,Dati!$H$2:$H$451,$H76,Dati!$A$2:$A$451,$AB76),"-")</f>
        <v/>
      </c>
      <c r="AO76" s="22">
        <f>IF(AND($H76&lt;&gt;"",$AC76&lt;&gt;"",$H76&lt;&gt;$AC76,IFERROR(VLOOKUP($H76,areaCercaPuntiClassificaSquadra,3,FALSE),-1)=IFERROR(VLOOKUP($AC76,areaCercaPuntiClassificaSquadra,3,FALSE),-2)),SUMIFS(Dati!$B$2:$B$451,Dati!$A$2:$A$451,$H76,Dati!$H$2:$H$451,$AC76)+SUMIFS(Dati!$I$2:$I$451,Dati!$H$2:$H$451,$H76,Dati!$A$2:$A$451,$AC76),"-")</f>
        <v/>
      </c>
      <c r="AP76" s="22">
        <f>IF(AND($H76&lt;&gt;"",$AD76&lt;&gt;"",$H76&lt;&gt;$AD76,IFERROR(VLOOKUP($H76,areaCercaPuntiClassificaSquadra,3,FALSE),-1)=IFERROR(VLOOKUP($AD76,areaCercaPuntiClassificaSquadra,3,FALSE),-2)),SUMIFS(Dati!$B$2:$B$451,Dati!$A$2:$A$451,$H76,Dati!$H$2:$H$451,$AD76)+SUMIFS(Dati!$I$2:$I$451,Dati!$H$2:$H$451,$H76,Dati!$A$2:$A$451,$AD76),"-")</f>
        <v/>
      </c>
      <c r="AQ76" s="22">
        <f>IF(AND($H76&lt;&gt;"",$AE76&lt;&gt;"",$H76&lt;&gt;$AE76,IFERROR(VLOOKUP($H76,areaCercaPuntiClassificaSquadra,3,FALSE),-1)=IFERROR(VLOOKUP($AE76,areaCercaPuntiClassificaSquadra,3,FALSE),-2)),SUMIFS(Dati!$B$2:$B$451,Dati!$A$2:$A$451,$H76,Dati!$H$2:$H$451,$AE76)+SUMIFS(Dati!$I$2:$I$451,Dati!$H$2:$H$451,$H76,Dati!$A$2:$A$451,$AE76),"-")</f>
        <v/>
      </c>
      <c r="AR76" s="22">
        <f>IF(AND($H76&lt;&gt;"",$AF76&lt;&gt;"",$H76&lt;&gt;$AF76,IFERROR(VLOOKUP($H76,areaCercaPuntiClassificaSquadra,3,FALSE),-1)=IFERROR(VLOOKUP($AF76,areaCercaPuntiClassificaSquadra,3,FALSE),-2)),SUMIFS(Dati!$B$2:$B$451,Dati!$A$2:$A$451,$H76,Dati!$H$2:$H$451,$AF76)+SUMIFS(Dati!$I$2:$I$451,Dati!$H$2:$H$451,$H76,Dati!$A$2:$A$451,$AF76),"-")</f>
        <v/>
      </c>
      <c r="AS76" s="22">
        <f>IF(AND($H76&lt;&gt;"",$AG76&lt;&gt;"",$H76&lt;&gt;$AG76,IFERROR(VLOOKUP($H76,areaCercaPuntiClassificaSquadra,3,FALSE),-1)=IFERROR(VLOOKUP($AG76,areaCercaPuntiClassificaSquadra,3,FALSE),-2)),SUMIFS(Dati!$B$2:$B$451,Dati!$A$2:$A$451,$H76,Dati!$H$2:$H$451,$AG76)+SUMIFS(Dati!$I$2:$I$451,Dati!$H$2:$H$451,$H76,Dati!$A$2:$A$451,$AG76),"-")</f>
        <v/>
      </c>
      <c r="AT76" s="22">
        <f>IF(AND($H76&lt;&gt;"",$AH76&lt;&gt;"",$H76&lt;&gt;$AH76,IFERROR(VLOOKUP($H76,areaCercaPuntiClassificaSquadra,3,FALSE),-1)=IFERROR(VLOOKUP($AH76,areaCercaPuntiClassificaSquadra,3,FALSE),-2)),SUMIFS(Dati!$B$2:$B$451,Dati!$A$2:$A$451,$H76,Dati!$H$2:$H$451,$AH76)+SUMIFS(Dati!$I$2:$I$451,Dati!$H$2:$H$451,$H76,Dati!$A$2:$A$451,$AH76),"-")</f>
        <v/>
      </c>
      <c r="AV76" s="21">
        <f>$C76</f>
        <v/>
      </c>
      <c r="AW76" s="22">
        <f>IF(AND($H76&lt;&gt;"",$Y76&lt;&gt;"",$H76&lt;&gt;$Y76,IFERROR(VLOOKUP($H76,areaCercaPuntiClassificaSquadra,3,FALSE),-1)=IFERROR(VLOOKUP($Y76,areaCercaPuntiClassificaSquadra,3,FALSE),-2)),SUMIFS(Dati!$D$2:$D$451,Dati!$A$2:$A$451,$H76,Dati!$H$2:$H$451,$Y76)+SUMIFS(Dati!$K$2:$K$451,Dati!$H$2:$H$451,$H76,Dati!$A$2:$A$451,$Y76)+SUMIFS(Dati!$C$2:$C$451,Dati!$A$2:$A$451,$H76,Dati!$H$2:$H$451,$Y76)+SUMIFS(Dati!$J$2:$J$451,Dati!$H$2:$H$451,$H76,Dati!$A$2:$A$451,$Y76),"-")</f>
        <v/>
      </c>
      <c r="AX76" s="22">
        <f>IF(AND($H76&lt;&gt;"",$Z76&lt;&gt;"",$H76&lt;&gt;$Z76,IFERROR(VLOOKUP($H76,areaCercaPuntiClassificaSquadra,3,FALSE),-1)=IFERROR(VLOOKUP($Z76,areaCercaPuntiClassificaSquadra,3,FALSE),-2)),SUMIFS(Dati!$D$2:$D$451,Dati!$A$2:$A$451,$H76,Dati!$H$2:$H$451,$Z76)+SUMIFS(Dati!$K$2:$K$451,Dati!$H$2:$H$451,$H76,Dati!$A$2:$A$451,$Z76)+SUMIFS(Dati!$C$2:$C$451,Dati!$A$2:$A$451,$H76,Dati!$H$2:$H$451,$Z76)+SUMIFS(Dati!$J$2:$J$451,Dati!$H$2:$H$451,$H76,Dati!$A$2:$A$451,$Z76),"-")</f>
        <v/>
      </c>
      <c r="AY76" s="22">
        <f>IF(AND($H76&lt;&gt;"",$AA76&lt;&gt;"",$H76&lt;&gt;$AA76,IFERROR(VLOOKUP($H76,areaCercaPuntiClassificaSquadra,3,FALSE),-1)=IFERROR(VLOOKUP($AA76,areaCercaPuntiClassificaSquadra,3,FALSE),-2)),SUMIFS(Dati!$D$2:$D$451,Dati!$A$2:$A$451,$H76,Dati!$H$2:$H$451,$AA76)+SUMIFS(Dati!$K$2:$K$451,Dati!$H$2:$H$451,$H76,Dati!$A$2:$A$451,$AA76)+SUMIFS(Dati!$C$2:$C$451,Dati!$A$2:$A$451,$H76,Dati!$H$2:$H$451,$AA76)+SUMIFS(Dati!$J$2:$J$451,Dati!$H$2:$H$451,$H76,Dati!$A$2:$A$451,$AA76),"-")</f>
        <v/>
      </c>
      <c r="AZ76" s="22">
        <f>IF(AND($H76&lt;&gt;"",$AB76&lt;&gt;"",$H76&lt;&gt;$AB76,IFERROR(VLOOKUP($H76,areaCercaPuntiClassificaSquadra,3,FALSE),-1)=IFERROR(VLOOKUP($AB76,areaCercaPuntiClassificaSquadra,3,FALSE),-2)),SUMIFS(Dati!$D$2:$D$451,Dati!$A$2:$A$451,$H76,Dati!$H$2:$H$451,$AB76)+SUMIFS(Dati!$K$2:$K$451,Dati!$H$2:$H$451,$H76,Dati!$A$2:$A$451,$AB76)+SUMIFS(Dati!$C$2:$C$451,Dati!$A$2:$A$451,$H76,Dati!$H$2:$H$451,$AB76)+SUMIFS(Dati!$J$2:$J$451,Dati!$H$2:$H$451,$H76,Dati!$A$2:$A$451,$AB76),"-")</f>
        <v/>
      </c>
      <c r="BA76" s="22">
        <f>IF(AND($H76&lt;&gt;"",$AC76&lt;&gt;"",$H76&lt;&gt;$AC76,IFERROR(VLOOKUP($H76,areaCercaPuntiClassificaSquadra,3,FALSE),-1)=IFERROR(VLOOKUP($AC76,areaCercaPuntiClassificaSquadra,3,FALSE),-2)),SUMIFS(Dati!$D$2:$D$451,Dati!$A$2:$A$451,$H76,Dati!$H$2:$H$451,$AC76)+SUMIFS(Dati!$K$2:$K$451,Dati!$H$2:$H$451,$H76,Dati!$A$2:$A$451,$AC76)+SUMIFS(Dati!$C$2:$C$451,Dati!$A$2:$A$451,$H76,Dati!$H$2:$H$451,$AC76)+SUMIFS(Dati!$J$2:$J$451,Dati!$H$2:$H$451,$H76,Dati!$A$2:$A$451,$AC76),"-")</f>
        <v/>
      </c>
      <c r="BB76" s="22">
        <f>IF(AND($H76&lt;&gt;"",$AD76&lt;&gt;"",$H76&lt;&gt;$AD76,IFERROR(VLOOKUP($H76,areaCercaPuntiClassificaSquadra,3,FALSE),-1)=IFERROR(VLOOKUP($AD76,areaCercaPuntiClassificaSquadra,3,FALSE),-2)),SUMIFS(Dati!$D$2:$D$451,Dati!$A$2:$A$451,$H76,Dati!$H$2:$H$451,$AD76)+SUMIFS(Dati!$K$2:$K$451,Dati!$H$2:$H$451,$H76,Dati!$A$2:$A$451,$AD76)+SUMIFS(Dati!$C$2:$C$451,Dati!$A$2:$A$451,$H76,Dati!$H$2:$H$451,$AD76)+SUMIFS(Dati!$J$2:$J$451,Dati!$H$2:$H$451,$H76,Dati!$A$2:$A$451,$AD76),"-")</f>
        <v/>
      </c>
      <c r="BC76" s="22">
        <f>IF(AND($H76&lt;&gt;"",$AE76&lt;&gt;"",$H76&lt;&gt;$AE76,IFERROR(VLOOKUP($H76,areaCercaPuntiClassificaSquadra,3,FALSE),-1)=IFERROR(VLOOKUP($AE76,areaCercaPuntiClassificaSquadra,3,FALSE),-2)),SUMIFS(Dati!$D$2:$D$451,Dati!$A$2:$A$451,$H76,Dati!$H$2:$H$451,$AE76)+SUMIFS(Dati!$K$2:$K$451,Dati!$H$2:$H$451,$H76,Dati!$A$2:$A$451,$AE76)+SUMIFS(Dati!$C$2:$C$451,Dati!$A$2:$A$451,$H76,Dati!$H$2:$H$451,$AE76)+SUMIFS(Dati!$J$2:$J$451,Dati!$H$2:$H$451,$H76,Dati!$A$2:$A$451,$AE76),"-")</f>
        <v/>
      </c>
      <c r="BD76" s="22">
        <f>IF(AND($H76&lt;&gt;"",$AF76&lt;&gt;"",$H76&lt;&gt;$AF76,IFERROR(VLOOKUP($H76,areaCercaPuntiClassificaSquadra,3,FALSE),-1)=IFERROR(VLOOKUP($AF76,areaCercaPuntiClassificaSquadra,3,FALSE),-2)),SUMIFS(Dati!$D$2:$D$451,Dati!$A$2:$A$451,$H76,Dati!$H$2:$H$451,$AF76)+SUMIFS(Dati!$K$2:$K$451,Dati!$H$2:$H$451,$H76,Dati!$A$2:$A$451,$AF76)+SUMIFS(Dati!$C$2:$C$451,Dati!$A$2:$A$451,$H76,Dati!$H$2:$H$451,$AF76)+SUMIFS(Dati!$J$2:$J$451,Dati!$H$2:$H$451,$H76,Dati!$A$2:$A$451,$AF76),"-")</f>
        <v/>
      </c>
      <c r="BE76" s="22">
        <f>IF(AND($H76&lt;&gt;"",$AG76&lt;&gt;"",$H76&lt;&gt;$AG76,IFERROR(VLOOKUP($H76,areaCercaPuntiClassificaSquadra,3,FALSE),-1)=IFERROR(VLOOKUP($AG76,areaCercaPuntiClassificaSquadra,3,FALSE),-2)),SUMIFS(Dati!$D$2:$D$451,Dati!$A$2:$A$451,$H76,Dati!$H$2:$H$451,$AG76)+SUMIFS(Dati!$K$2:$K$451,Dati!$H$2:$H$451,$H76,Dati!$A$2:$A$451,$AG76)+SUMIFS(Dati!$C$2:$C$451,Dati!$A$2:$A$451,$H76,Dati!$H$2:$H$451,$AG76)+SUMIFS(Dati!$J$2:$J$451,Dati!$H$2:$H$451,$H76,Dati!$A$2:$A$451,$AG76),"-")</f>
        <v/>
      </c>
      <c r="BF76" s="22">
        <f>IF(AND($H76&lt;&gt;"",$AH76&lt;&gt;"",$H76&lt;&gt;$AH76,IFERROR(VLOOKUP($H76,areaCercaPuntiClassificaSquadra,3,FALSE),-1)=IFERROR(VLOOKUP($AH76,areaCercaPuntiClassificaSquadra,3,FALSE),-2)),SUMIFS(Dati!$D$2:$D$451,Dati!$A$2:$A$451,$H76,Dati!$H$2:$H$451,$AH76)+SUMIFS(Dati!$K$2:$K$451,Dati!$H$2:$H$451,$H76,Dati!$A$2:$A$451,$AH76)+SUMIFS(Dati!$C$2:$C$451,Dati!$A$2:$A$451,$H76,Dati!$H$2:$H$451,$AH76)+SUMIFS(Dati!$J$2:$J$451,Dati!$H$2:$H$451,$H76,Dati!$A$2:$A$451,$AH76),"-")</f>
        <v/>
      </c>
      <c r="BH76" s="21">
        <f>$C76</f>
        <v/>
      </c>
      <c r="BI76" s="22">
        <f>IF(AND($H76&lt;&gt;"",$Y76&lt;&gt;"",$H76&lt;&gt;$Y76,IFERROR(VLOOKUP($H76,areaCercaPuntiClassificaSquadra,3,FALSE),-1)=IFERROR(VLOOKUP($Y76,areaCercaPuntiClassificaSquadra,3,FALSE),-2)),SUMIFS(Dati!$E$2:$E$451,Dati!$A$2:$A$451,$H76,Dati!$H$2:$H$451,$Y76)+SUMIFS(Dati!$L$2:$L$451,Dati!$H$2:$H$451,$H76,Dati!$A$2:$A$451,$Y76),"-")</f>
        <v/>
      </c>
      <c r="BJ76" s="22">
        <f>IF(AND($H76&lt;&gt;"",$Z76&lt;&gt;"",$H76&lt;&gt;$Z76,IFERROR(VLOOKUP($H76,areaCercaPuntiClassificaSquadra,3,FALSE),-1)=IFERROR(VLOOKUP($Z76,areaCercaPuntiClassificaSquadra,3,FALSE),-2)),SUMIFS(Dati!$E$2:$E$451,Dati!$A$2:$A$451,$H76,Dati!$H$2:$H$451,$Z76)+SUMIFS(Dati!$L$2:$L$451,Dati!$H$2:$H$451,$H76,Dati!$A$2:$A$451,$Z76),"-")</f>
        <v/>
      </c>
      <c r="BK76" s="22">
        <f>IF(AND($H76&lt;&gt;"",$AA76&lt;&gt;"",$H76&lt;&gt;$AA76,IFERROR(VLOOKUP($H76,areaCercaPuntiClassificaSquadra,3,FALSE),-1)=IFERROR(VLOOKUP($AA76,areaCercaPuntiClassificaSquadra,3,FALSE),-2)),SUMIFS(Dati!$E$2:$E$451,Dati!$A$2:$A$451,$H76,Dati!$H$2:$H$451,$AA76)+SUMIFS(Dati!$L$2:$L$451,Dati!$H$2:$H$451,$H76,Dati!$A$2:$A$451,$AA76),"-")</f>
        <v/>
      </c>
      <c r="BL76" s="22">
        <f>IF(AND($H76&lt;&gt;"",$AB76&lt;&gt;"",$H76&lt;&gt;$AB76,IFERROR(VLOOKUP($H76,areaCercaPuntiClassificaSquadra,3,FALSE),-1)=IFERROR(VLOOKUP($AB76,areaCercaPuntiClassificaSquadra,3,FALSE),-2)),SUMIFS(Dati!$E$2:$E$451,Dati!$A$2:$A$451,$H76,Dati!$H$2:$H$451,$AB76)+SUMIFS(Dati!$L$2:$L$451,Dati!$H$2:$H$451,$H76,Dati!$A$2:$A$451,$AB76),"-")</f>
        <v/>
      </c>
      <c r="BM76" s="22">
        <f>IF(AND($H76&lt;&gt;"",$AC76&lt;&gt;"",$H76&lt;&gt;$AC76,IFERROR(VLOOKUP($H76,areaCercaPuntiClassificaSquadra,3,FALSE),-1)=IFERROR(VLOOKUP($AC76,areaCercaPuntiClassificaSquadra,3,FALSE),-2)),SUMIFS(Dati!$E$2:$E$451,Dati!$A$2:$A$451,$H76,Dati!$H$2:$H$451,$AC76)+SUMIFS(Dati!$L$2:$L$451,Dati!$H$2:$H$451,$H76,Dati!$A$2:$A$451,$AC76),"-")</f>
        <v/>
      </c>
      <c r="BN76" s="22">
        <f>IF(AND($H76&lt;&gt;"",$AD76&lt;&gt;"",$H76&lt;&gt;$AD76,IFERROR(VLOOKUP($H76,areaCercaPuntiClassificaSquadra,3,FALSE),-1)=IFERROR(VLOOKUP($AD76,areaCercaPuntiClassificaSquadra,3,FALSE),-2)),SUMIFS(Dati!$E$2:$E$451,Dati!$A$2:$A$451,$H76,Dati!$H$2:$H$451,$AD76)+SUMIFS(Dati!$L$2:$L$451,Dati!$H$2:$H$451,$H76,Dati!$A$2:$A$451,$AD76),"-")</f>
        <v/>
      </c>
      <c r="BO76" s="22">
        <f>IF(AND($H76&lt;&gt;"",$AE76&lt;&gt;"",$H76&lt;&gt;$AE76,IFERROR(VLOOKUP($H76,areaCercaPuntiClassificaSquadra,3,FALSE),-1)=IFERROR(VLOOKUP($AE76,areaCercaPuntiClassificaSquadra,3,FALSE),-2)),SUMIFS(Dati!$E$2:$E$451,Dati!$A$2:$A$451,$H76,Dati!$H$2:$H$451,$AE76)+SUMIFS(Dati!$L$2:$L$451,Dati!$H$2:$H$451,$H76,Dati!$A$2:$A$451,$AE76),"-")</f>
        <v/>
      </c>
      <c r="BP76" s="22">
        <f>IF(AND($H76&lt;&gt;"",$AF76&lt;&gt;"",$H76&lt;&gt;$AF76,IFERROR(VLOOKUP($H76,areaCercaPuntiClassificaSquadra,3,FALSE),-1)=IFERROR(VLOOKUP($AF76,areaCercaPuntiClassificaSquadra,3,FALSE),-2)),SUMIFS(Dati!$E$2:$E$451,Dati!$A$2:$A$451,$H76,Dati!$H$2:$H$451,$AF76)+SUMIFS(Dati!$L$2:$L$451,Dati!$H$2:$H$451,$H76,Dati!$A$2:$A$451,$AF76),"-")</f>
        <v/>
      </c>
      <c r="BQ76" s="22">
        <f>IF(AND($H76&lt;&gt;"",$AG76&lt;&gt;"",$H76&lt;&gt;$AG76,IFERROR(VLOOKUP($H76,areaCercaPuntiClassificaSquadra,3,FALSE),-1)=IFERROR(VLOOKUP($AG76,areaCercaPuntiClassificaSquadra,3,FALSE),-2)),SUMIFS(Dati!$E$2:$E$451,Dati!$A$2:$A$451,$H76,Dati!$H$2:$H$451,$AG76)+SUMIFS(Dati!$L$2:$L$451,Dati!$H$2:$H$451,$H76,Dati!$A$2:$A$451,$AG76),"-")</f>
        <v/>
      </c>
      <c r="BR76" s="22">
        <f>IF(AND($H76&lt;&gt;"",$AH76&lt;&gt;"",$H76&lt;&gt;$AH76,IFERROR(VLOOKUP($H76,areaCercaPuntiClassificaSquadra,3,FALSE),-1)=IFERROR(VLOOKUP($AH76,areaCercaPuntiClassificaSquadra,3,FALSE),-2)),SUMIFS(Dati!$E$2:$E$451,Dati!$A$2:$A$451,$H76,Dati!$H$2:$H$451,$AH76)+SUMIFS(Dati!$L$2:$L$451,Dati!$H$2:$H$451,$H76,Dati!$A$2:$A$451,$AH76),"-")</f>
        <v/>
      </c>
      <c r="BT76" s="21">
        <f>$C76</f>
        <v/>
      </c>
      <c r="BU76" s="22">
        <f>IF(AND($H76&lt;&gt;"",$Y76&lt;&gt;"",$H76&lt;&gt;$Y76,IFERROR(VLOOKUP($H76,areaCercaPuntiClassificaSquadra,3,FALSE),-1)=IFERROR(VLOOKUP($Y76,areaCercaPuntiClassificaSquadra,3,FALSE),-2)),SUMIFS(Dati!$F$2:$F$451,Dati!$A$2:$A$451,$H76,Dati!$H$2:$H$451,$Y76)+SUMIFS(Dati!$M$2:$M$451,Dati!$H$2:$H$451,$H76,Dati!$A$2:$A$451,$Y76),"-")</f>
        <v/>
      </c>
      <c r="BV76" s="22">
        <f>IF(AND($H76&lt;&gt;"",$Z76&lt;&gt;"",$H76&lt;&gt;$Z76,IFERROR(VLOOKUP($H76,areaCercaPuntiClassificaSquadra,3,FALSE),-1)=IFERROR(VLOOKUP($Z76,areaCercaPuntiClassificaSquadra,3,FALSE),-2)),SUMIFS(Dati!$F$2:$F$451,Dati!$A$2:$A$451,$H76,Dati!$H$2:$H$451,$Z76)+SUMIFS(Dati!$M$2:$M$451,Dati!$H$2:$H$451,$H76,Dati!$A$2:$A$451,$Z76),"-")</f>
        <v/>
      </c>
      <c r="BW76" s="22">
        <f>IF(AND($H76&lt;&gt;"",$AA76&lt;&gt;"",$H76&lt;&gt;$AA76,IFERROR(VLOOKUP($H76,areaCercaPuntiClassificaSquadra,3,FALSE),-1)=IFERROR(VLOOKUP($AA76,areaCercaPuntiClassificaSquadra,3,FALSE),-2)),SUMIFS(Dati!$F$2:$F$451,Dati!$A$2:$A$451,$H76,Dati!$H$2:$H$451,$AA76)+SUMIFS(Dati!$M$2:$M$451,Dati!$H$2:$H$451,$H76,Dati!$A$2:$A$451,$AA76),"-")</f>
        <v/>
      </c>
      <c r="BX76" s="22">
        <f>IF(AND($H76&lt;&gt;"",$AB76&lt;&gt;"",$H76&lt;&gt;$AB76,IFERROR(VLOOKUP($H76,areaCercaPuntiClassificaSquadra,3,FALSE),-1)=IFERROR(VLOOKUP($AB76,areaCercaPuntiClassificaSquadra,3,FALSE),-2)),SUMIFS(Dati!$F$2:$F$451,Dati!$A$2:$A$451,$H76,Dati!$H$2:$H$451,$AB76)+SUMIFS(Dati!$M$2:$M$451,Dati!$H$2:$H$451,$H76,Dati!$A$2:$A$451,$AB76),"-")</f>
        <v/>
      </c>
      <c r="BY76" s="22">
        <f>IF(AND($H76&lt;&gt;"",$AC76&lt;&gt;"",$H76&lt;&gt;$AC76,IFERROR(VLOOKUP($H76,areaCercaPuntiClassificaSquadra,3,FALSE),-1)=IFERROR(VLOOKUP($AC76,areaCercaPuntiClassificaSquadra,3,FALSE),-2)),SUMIFS(Dati!$F$2:$F$451,Dati!$A$2:$A$451,$H76,Dati!$H$2:$H$451,$AC76)+SUMIFS(Dati!$M$2:$M$451,Dati!$H$2:$H$451,$H76,Dati!$A$2:$A$451,$AC76),"-")</f>
        <v/>
      </c>
      <c r="BZ76" s="22">
        <f>IF(AND($H76&lt;&gt;"",$AD76&lt;&gt;"",$H76&lt;&gt;$AD76,IFERROR(VLOOKUP($H76,areaCercaPuntiClassificaSquadra,3,FALSE),-1)=IFERROR(VLOOKUP($AD76,areaCercaPuntiClassificaSquadra,3,FALSE),-2)),SUMIFS(Dati!$F$2:$F$451,Dati!$A$2:$A$451,$H76,Dati!$H$2:$H$451,$AD76)+SUMIFS(Dati!$M$2:$M$451,Dati!$H$2:$H$451,$H76,Dati!$A$2:$A$451,$AD76),"-")</f>
        <v/>
      </c>
      <c r="CA76" s="22">
        <f>IF(AND($H76&lt;&gt;"",$AE76&lt;&gt;"",$H76&lt;&gt;$AE76,IFERROR(VLOOKUP($H76,areaCercaPuntiClassificaSquadra,3,FALSE),-1)=IFERROR(VLOOKUP($AE76,areaCercaPuntiClassificaSquadra,3,FALSE),-2)),SUMIFS(Dati!$F$2:$F$451,Dati!$A$2:$A$451,$H76,Dati!$H$2:$H$451,$AE76)+SUMIFS(Dati!$M$2:$M$451,Dati!$H$2:$H$451,$H76,Dati!$A$2:$A$451,$AE76),"-")</f>
        <v/>
      </c>
      <c r="CB76" s="22">
        <f>IF(AND($H76&lt;&gt;"",$AF76&lt;&gt;"",$H76&lt;&gt;$AF76,IFERROR(VLOOKUP($H76,areaCercaPuntiClassificaSquadra,3,FALSE),-1)=IFERROR(VLOOKUP($AF76,areaCercaPuntiClassificaSquadra,3,FALSE),-2)),SUMIFS(Dati!$F$2:$F$451,Dati!$A$2:$A$451,$H76,Dati!$H$2:$H$451,$AF76)+SUMIFS(Dati!$M$2:$M$451,Dati!$H$2:$H$451,$H76,Dati!$A$2:$A$451,$AF76),"-")</f>
        <v/>
      </c>
      <c r="CC76" s="22">
        <f>IF(AND($H76&lt;&gt;"",$AG76&lt;&gt;"",$H76&lt;&gt;$AG76,IFERROR(VLOOKUP($H76,areaCercaPuntiClassificaSquadra,3,FALSE),-1)=IFERROR(VLOOKUP($AG76,areaCercaPuntiClassificaSquadra,3,FALSE),-2)),SUMIFS(Dati!$F$2:$F$451,Dati!$A$2:$A$451,$H76,Dati!$H$2:$H$451,$AG76)+SUMIFS(Dati!$M$2:$M$451,Dati!$H$2:$H$451,$H76,Dati!$A$2:$A$451,$AG76),"-")</f>
        <v/>
      </c>
      <c r="CD76" s="22">
        <f>IF(AND($H76&lt;&gt;"",$AH76&lt;&gt;"",$H76&lt;&gt;$AH76,IFERROR(VLOOKUP($H76,areaCercaPuntiClassificaSquadra,3,FALSE),-1)=IFERROR(VLOOKUP($AH76,areaCercaPuntiClassificaSquadra,3,FALSE),-2)),SUMIFS(Dati!$F$2:$F$451,Dati!$A$2:$A$451,$H76,Dati!$H$2:$H$451,$AH76)+SUMIFS(Dati!$M$2:$M$451,Dati!$H$2:$H$451,$H76,Dati!$A$2:$A$451,$AH76),"-")</f>
        <v/>
      </c>
      <c r="CF76" s="22">
        <f>IF($C76="","",SUM(AK76:AT76))</f>
        <v/>
      </c>
    </row>
    <row r="77">
      <c r="B77" s="12" t="inlineStr">
        <is>
          <t>G04</t>
        </is>
      </c>
      <c r="C77" s="13" t="n"/>
      <c r="D77" s="14" t="n"/>
      <c r="E77" s="33" t="inlineStr">
        <is>
          <t>G</t>
        </is>
      </c>
      <c r="G77" s="34">
        <f>IF($C77="","",$E77&amp;(COUNTIFS(I$14:I$113,"&gt;"&amp;I77,E$14:E$113,"="&amp;E77,C$14:C$113,"&lt;&gt;")+COUNTIFS(I$14:I$113,"="&amp;I77,H$14:H$113,"&lt;="&amp;H77,E$14:E$113,"="&amp;E77,C$14:C$113,"&lt;&gt;")))</f>
        <v/>
      </c>
      <c r="H77" s="17">
        <f>IF($C77="","",IFERROR(LEFT($C77,FIND("-",$C77)-1),$C77))</f>
        <v/>
      </c>
      <c r="I77" s="12">
        <f>TEXT(1000000000+J77,"|0000000000|")&amp;TEXT(SUM(AK77:AT77),"0000000000|")&amp;IF(SUM(BU77:CD77)=0,"0000000000|",TEXT(ROUND(SUM(BI77:BR77)/SUM(BU77:CD77),4)*100000,"0000000000|"))&amp;IF(P77=0,"0000000000|",TEXT(ROUND(O77/P77,4)*100000,"0000000000|"))</f>
        <v/>
      </c>
      <c r="J77" s="34">
        <f>L77*constPuntiVittoria+M77*constPuntiSconfitta+N77*constPuntiForfait+IF(D77="",0,D77)</f>
        <v/>
      </c>
      <c r="K77" s="12">
        <f>SUM(L77:N77)</f>
        <v/>
      </c>
      <c r="L77" s="12">
        <f>IF($H77="",0,SUMIF(Dati!$A$2:$A$451,$H77,Dati!$B$2:$B$451)+SUMIF(Dati!$H$2:$H$451,$H77,Dati!$I$2:$I$451))</f>
        <v/>
      </c>
      <c r="M77" s="12">
        <f>IF($H77="",0,SUMIF(Dati!$A$2:$A$451,$H77,Dati!$D$2:$D$451)+SUMIF(Dati!$H$2:$H$451,$H77,Dati!$K$2:$K$451))</f>
        <v/>
      </c>
      <c r="N77" s="12">
        <f>IF($H77="",0,SUMIF(Dati!$A$2:$A$451,$H77,Dati!$C$2:$C$451)+SUMIF(Dati!$H$2:$H$451,$H77,Dati!$J$2:$J$451))</f>
        <v/>
      </c>
      <c r="O77" s="12">
        <f>IF($H77="",0,SUMIF(Dati!$A$2:$A$451,$H77,Dati!$E$2:$E$451)+SUMIF(Dati!$H$2:$H$451,$H77,Dati!$L$2:$L$451))</f>
        <v/>
      </c>
      <c r="P77" s="12">
        <f>IF($H77="",0,SUMIF(Dati!$A$2:$A$451,$H77,Dati!$F$2:$F$451)+SUMIF(Dati!$H$2:$H$451,$H77,Dati!$M$2:$M$451))</f>
        <v/>
      </c>
      <c r="Q77" s="12">
        <f>IF($H77="",0,SUMIF(Dati!$A$2:$A$451,$H77,Dati!$G$2:$G$451)+SUMIF(Dati!$H$2:$H$451,$H77,Dati!$N$2:$N$451))</f>
        <v/>
      </c>
      <c r="R77" s="12">
        <f>IF(K77=0,0,ROUND(O77/K77,2))</f>
        <v/>
      </c>
      <c r="S77" s="12">
        <f>IF(K77=0,0,ROUND(P77/K77,2))</f>
        <v/>
      </c>
      <c r="T77" s="12">
        <f>IF(K77=0,0,ROUND(Q77/K77,2))</f>
        <v/>
      </c>
      <c r="U77" s="12">
        <f>IF(COUNTIFS($E$14:$E$113,$E77,$J$14:$J$113,$J77,$C$14:$C$113,"&lt;&gt;")&lt;=1,"-",SUM(AK77:AT77)&amp;"-"&amp;SUM(AW77:BF77))</f>
        <v/>
      </c>
      <c r="V77" s="18">
        <f>IF(COUNTIFS($E$14:$E$113,$E77,$J$14:$J$113,$J77,$C$14:$C$113,"&lt;&gt;",$CF$14:$CF$113,$CF77)&lt;=1,"-",IF(SUM(BU77:CD77)=0,0,ROUND(SUM(BI77:BR77)/SUM(BU77:CD77),3)))</f>
        <v/>
      </c>
      <c r="W77" s="18">
        <f>IF(COUNTIFS($E$14:$E$113,$E77,$J$14:$J$113,$J77,$C$14:$C$113,"&lt;&gt;",$CF$14:$CF$113,$CF77,$V$14:$V$113,$V77)&lt;=1,"-",IF(P77=0,0,ROUND(O77/P77,3)))</f>
        <v/>
      </c>
      <c r="X77" s="19">
        <f>IF($C77="","",$E77&amp;"#"&amp;COUNTIFS($E$14:$E77,$E77,$C$14:$C77,"&lt;&gt;"))</f>
        <v/>
      </c>
      <c r="Y77" s="20">
        <f>IFERROR(INDEX($H$14:$H$113,MATCH($E77&amp;"#1",$X$14:$X$113,0)),"")</f>
        <v/>
      </c>
      <c r="Z77" s="20">
        <f>IFERROR(INDEX($H$14:$H$113,MATCH($E77&amp;"#2",$X$14:$X$113,0)),"")</f>
        <v/>
      </c>
      <c r="AA77" s="20">
        <f>IFERROR(INDEX($H$14:$H$113,MATCH($E77&amp;"#3",$X$14:$X$113,0)),"")</f>
        <v/>
      </c>
      <c r="AB77" s="20">
        <f>IFERROR(INDEX($H$14:$H$113,MATCH($E77&amp;"#4",$X$14:$X$113,0)),"")</f>
        <v/>
      </c>
      <c r="AC77" s="20">
        <f>IFERROR(INDEX($H$14:$H$113,MATCH($E77&amp;"#5",$X$14:$X$113,0)),"")</f>
        <v/>
      </c>
      <c r="AD77" s="20">
        <f>IFERROR(INDEX($H$14:$H$113,MATCH($E77&amp;"#6",$X$14:$X$113,0)),"")</f>
        <v/>
      </c>
      <c r="AE77" s="20">
        <f>IFERROR(INDEX($H$14:$H$113,MATCH($E77&amp;"#7",$X$14:$X$113,0)),"")</f>
        <v/>
      </c>
      <c r="AF77" s="20">
        <f>IFERROR(INDEX($H$14:$H$113,MATCH($E77&amp;"#8",$X$14:$X$113,0)),"")</f>
        <v/>
      </c>
      <c r="AG77" s="20">
        <f>IFERROR(INDEX($H$14:$H$113,MATCH($E77&amp;"#9",$X$14:$X$113,0)),"")</f>
        <v/>
      </c>
      <c r="AH77" s="20">
        <f>IFERROR(INDEX($H$14:$H$113,MATCH($E77&amp;"#10",$X$14:$X$113,0)),"")</f>
        <v/>
      </c>
      <c r="AJ77" s="21">
        <f>$C77</f>
        <v/>
      </c>
      <c r="AK77" s="22">
        <f>IF(AND($H77&lt;&gt;"",$Y77&lt;&gt;"",$H77&lt;&gt;$Y77,IFERROR(VLOOKUP($H77,areaCercaPuntiClassificaSquadra,3,FALSE),-1)=IFERROR(VLOOKUP($Y77,areaCercaPuntiClassificaSquadra,3,FALSE),-2)),SUMIFS(Dati!$B$2:$B$451,Dati!$A$2:$A$451,$H77,Dati!$H$2:$H$451,$Y77)+SUMIFS(Dati!$I$2:$I$451,Dati!$H$2:$H$451,$H77,Dati!$A$2:$A$451,$Y77),"-")</f>
        <v/>
      </c>
      <c r="AL77" s="22">
        <f>IF(AND($H77&lt;&gt;"",$Z77&lt;&gt;"",$H77&lt;&gt;$Z77,IFERROR(VLOOKUP($H77,areaCercaPuntiClassificaSquadra,3,FALSE),-1)=IFERROR(VLOOKUP($Z77,areaCercaPuntiClassificaSquadra,3,FALSE),-2)),SUMIFS(Dati!$B$2:$B$451,Dati!$A$2:$A$451,$H77,Dati!$H$2:$H$451,$Z77)+SUMIFS(Dati!$I$2:$I$451,Dati!$H$2:$H$451,$H77,Dati!$A$2:$A$451,$Z77),"-")</f>
        <v/>
      </c>
      <c r="AM77" s="22">
        <f>IF(AND($H77&lt;&gt;"",$AA77&lt;&gt;"",$H77&lt;&gt;$AA77,IFERROR(VLOOKUP($H77,areaCercaPuntiClassificaSquadra,3,FALSE),-1)=IFERROR(VLOOKUP($AA77,areaCercaPuntiClassificaSquadra,3,FALSE),-2)),SUMIFS(Dati!$B$2:$B$451,Dati!$A$2:$A$451,$H77,Dati!$H$2:$H$451,$AA77)+SUMIFS(Dati!$I$2:$I$451,Dati!$H$2:$H$451,$H77,Dati!$A$2:$A$451,$AA77),"-")</f>
        <v/>
      </c>
      <c r="AN77" s="22">
        <f>IF(AND($H77&lt;&gt;"",$AB77&lt;&gt;"",$H77&lt;&gt;$AB77,IFERROR(VLOOKUP($H77,areaCercaPuntiClassificaSquadra,3,FALSE),-1)=IFERROR(VLOOKUP($AB77,areaCercaPuntiClassificaSquadra,3,FALSE),-2)),SUMIFS(Dati!$B$2:$B$451,Dati!$A$2:$A$451,$H77,Dati!$H$2:$H$451,$AB77)+SUMIFS(Dati!$I$2:$I$451,Dati!$H$2:$H$451,$H77,Dati!$A$2:$A$451,$AB77),"-")</f>
        <v/>
      </c>
      <c r="AO77" s="22">
        <f>IF(AND($H77&lt;&gt;"",$AC77&lt;&gt;"",$H77&lt;&gt;$AC77,IFERROR(VLOOKUP($H77,areaCercaPuntiClassificaSquadra,3,FALSE),-1)=IFERROR(VLOOKUP($AC77,areaCercaPuntiClassificaSquadra,3,FALSE),-2)),SUMIFS(Dati!$B$2:$B$451,Dati!$A$2:$A$451,$H77,Dati!$H$2:$H$451,$AC77)+SUMIFS(Dati!$I$2:$I$451,Dati!$H$2:$H$451,$H77,Dati!$A$2:$A$451,$AC77),"-")</f>
        <v/>
      </c>
      <c r="AP77" s="22">
        <f>IF(AND($H77&lt;&gt;"",$AD77&lt;&gt;"",$H77&lt;&gt;$AD77,IFERROR(VLOOKUP($H77,areaCercaPuntiClassificaSquadra,3,FALSE),-1)=IFERROR(VLOOKUP($AD77,areaCercaPuntiClassificaSquadra,3,FALSE),-2)),SUMIFS(Dati!$B$2:$B$451,Dati!$A$2:$A$451,$H77,Dati!$H$2:$H$451,$AD77)+SUMIFS(Dati!$I$2:$I$451,Dati!$H$2:$H$451,$H77,Dati!$A$2:$A$451,$AD77),"-")</f>
        <v/>
      </c>
      <c r="AQ77" s="22">
        <f>IF(AND($H77&lt;&gt;"",$AE77&lt;&gt;"",$H77&lt;&gt;$AE77,IFERROR(VLOOKUP($H77,areaCercaPuntiClassificaSquadra,3,FALSE),-1)=IFERROR(VLOOKUP($AE77,areaCercaPuntiClassificaSquadra,3,FALSE),-2)),SUMIFS(Dati!$B$2:$B$451,Dati!$A$2:$A$451,$H77,Dati!$H$2:$H$451,$AE77)+SUMIFS(Dati!$I$2:$I$451,Dati!$H$2:$H$451,$H77,Dati!$A$2:$A$451,$AE77),"-")</f>
        <v/>
      </c>
      <c r="AR77" s="22">
        <f>IF(AND($H77&lt;&gt;"",$AF77&lt;&gt;"",$H77&lt;&gt;$AF77,IFERROR(VLOOKUP($H77,areaCercaPuntiClassificaSquadra,3,FALSE),-1)=IFERROR(VLOOKUP($AF77,areaCercaPuntiClassificaSquadra,3,FALSE),-2)),SUMIFS(Dati!$B$2:$B$451,Dati!$A$2:$A$451,$H77,Dati!$H$2:$H$451,$AF77)+SUMIFS(Dati!$I$2:$I$451,Dati!$H$2:$H$451,$H77,Dati!$A$2:$A$451,$AF77),"-")</f>
        <v/>
      </c>
      <c r="AS77" s="22">
        <f>IF(AND($H77&lt;&gt;"",$AG77&lt;&gt;"",$H77&lt;&gt;$AG77,IFERROR(VLOOKUP($H77,areaCercaPuntiClassificaSquadra,3,FALSE),-1)=IFERROR(VLOOKUP($AG77,areaCercaPuntiClassificaSquadra,3,FALSE),-2)),SUMIFS(Dati!$B$2:$B$451,Dati!$A$2:$A$451,$H77,Dati!$H$2:$H$451,$AG77)+SUMIFS(Dati!$I$2:$I$451,Dati!$H$2:$H$451,$H77,Dati!$A$2:$A$451,$AG77),"-")</f>
        <v/>
      </c>
      <c r="AT77" s="22">
        <f>IF(AND($H77&lt;&gt;"",$AH77&lt;&gt;"",$H77&lt;&gt;$AH77,IFERROR(VLOOKUP($H77,areaCercaPuntiClassificaSquadra,3,FALSE),-1)=IFERROR(VLOOKUP($AH77,areaCercaPuntiClassificaSquadra,3,FALSE),-2)),SUMIFS(Dati!$B$2:$B$451,Dati!$A$2:$A$451,$H77,Dati!$H$2:$H$451,$AH77)+SUMIFS(Dati!$I$2:$I$451,Dati!$H$2:$H$451,$H77,Dati!$A$2:$A$451,$AH77),"-")</f>
        <v/>
      </c>
      <c r="AV77" s="21">
        <f>$C77</f>
        <v/>
      </c>
      <c r="AW77" s="22">
        <f>IF(AND($H77&lt;&gt;"",$Y77&lt;&gt;"",$H77&lt;&gt;$Y77,IFERROR(VLOOKUP($H77,areaCercaPuntiClassificaSquadra,3,FALSE),-1)=IFERROR(VLOOKUP($Y77,areaCercaPuntiClassificaSquadra,3,FALSE),-2)),SUMIFS(Dati!$D$2:$D$451,Dati!$A$2:$A$451,$H77,Dati!$H$2:$H$451,$Y77)+SUMIFS(Dati!$K$2:$K$451,Dati!$H$2:$H$451,$H77,Dati!$A$2:$A$451,$Y77)+SUMIFS(Dati!$C$2:$C$451,Dati!$A$2:$A$451,$H77,Dati!$H$2:$H$451,$Y77)+SUMIFS(Dati!$J$2:$J$451,Dati!$H$2:$H$451,$H77,Dati!$A$2:$A$451,$Y77),"-")</f>
        <v/>
      </c>
      <c r="AX77" s="22">
        <f>IF(AND($H77&lt;&gt;"",$Z77&lt;&gt;"",$H77&lt;&gt;$Z77,IFERROR(VLOOKUP($H77,areaCercaPuntiClassificaSquadra,3,FALSE),-1)=IFERROR(VLOOKUP($Z77,areaCercaPuntiClassificaSquadra,3,FALSE),-2)),SUMIFS(Dati!$D$2:$D$451,Dati!$A$2:$A$451,$H77,Dati!$H$2:$H$451,$Z77)+SUMIFS(Dati!$K$2:$K$451,Dati!$H$2:$H$451,$H77,Dati!$A$2:$A$451,$Z77)+SUMIFS(Dati!$C$2:$C$451,Dati!$A$2:$A$451,$H77,Dati!$H$2:$H$451,$Z77)+SUMIFS(Dati!$J$2:$J$451,Dati!$H$2:$H$451,$H77,Dati!$A$2:$A$451,$Z77),"-")</f>
        <v/>
      </c>
      <c r="AY77" s="22">
        <f>IF(AND($H77&lt;&gt;"",$AA77&lt;&gt;"",$H77&lt;&gt;$AA77,IFERROR(VLOOKUP($H77,areaCercaPuntiClassificaSquadra,3,FALSE),-1)=IFERROR(VLOOKUP($AA77,areaCercaPuntiClassificaSquadra,3,FALSE),-2)),SUMIFS(Dati!$D$2:$D$451,Dati!$A$2:$A$451,$H77,Dati!$H$2:$H$451,$AA77)+SUMIFS(Dati!$K$2:$K$451,Dati!$H$2:$H$451,$H77,Dati!$A$2:$A$451,$AA77)+SUMIFS(Dati!$C$2:$C$451,Dati!$A$2:$A$451,$H77,Dati!$H$2:$H$451,$AA77)+SUMIFS(Dati!$J$2:$J$451,Dati!$H$2:$H$451,$H77,Dati!$A$2:$A$451,$AA77),"-")</f>
        <v/>
      </c>
      <c r="AZ77" s="22">
        <f>IF(AND($H77&lt;&gt;"",$AB77&lt;&gt;"",$H77&lt;&gt;$AB77,IFERROR(VLOOKUP($H77,areaCercaPuntiClassificaSquadra,3,FALSE),-1)=IFERROR(VLOOKUP($AB77,areaCercaPuntiClassificaSquadra,3,FALSE),-2)),SUMIFS(Dati!$D$2:$D$451,Dati!$A$2:$A$451,$H77,Dati!$H$2:$H$451,$AB77)+SUMIFS(Dati!$K$2:$K$451,Dati!$H$2:$H$451,$H77,Dati!$A$2:$A$451,$AB77)+SUMIFS(Dati!$C$2:$C$451,Dati!$A$2:$A$451,$H77,Dati!$H$2:$H$451,$AB77)+SUMIFS(Dati!$J$2:$J$451,Dati!$H$2:$H$451,$H77,Dati!$A$2:$A$451,$AB77),"-")</f>
        <v/>
      </c>
      <c r="BA77" s="22">
        <f>IF(AND($H77&lt;&gt;"",$AC77&lt;&gt;"",$H77&lt;&gt;$AC77,IFERROR(VLOOKUP($H77,areaCercaPuntiClassificaSquadra,3,FALSE),-1)=IFERROR(VLOOKUP($AC77,areaCercaPuntiClassificaSquadra,3,FALSE),-2)),SUMIFS(Dati!$D$2:$D$451,Dati!$A$2:$A$451,$H77,Dati!$H$2:$H$451,$AC77)+SUMIFS(Dati!$K$2:$K$451,Dati!$H$2:$H$451,$H77,Dati!$A$2:$A$451,$AC77)+SUMIFS(Dati!$C$2:$C$451,Dati!$A$2:$A$451,$H77,Dati!$H$2:$H$451,$AC77)+SUMIFS(Dati!$J$2:$J$451,Dati!$H$2:$H$451,$H77,Dati!$A$2:$A$451,$AC77),"-")</f>
        <v/>
      </c>
      <c r="BB77" s="22">
        <f>IF(AND($H77&lt;&gt;"",$AD77&lt;&gt;"",$H77&lt;&gt;$AD77,IFERROR(VLOOKUP($H77,areaCercaPuntiClassificaSquadra,3,FALSE),-1)=IFERROR(VLOOKUP($AD77,areaCercaPuntiClassificaSquadra,3,FALSE),-2)),SUMIFS(Dati!$D$2:$D$451,Dati!$A$2:$A$451,$H77,Dati!$H$2:$H$451,$AD77)+SUMIFS(Dati!$K$2:$K$451,Dati!$H$2:$H$451,$H77,Dati!$A$2:$A$451,$AD77)+SUMIFS(Dati!$C$2:$C$451,Dati!$A$2:$A$451,$H77,Dati!$H$2:$H$451,$AD77)+SUMIFS(Dati!$J$2:$J$451,Dati!$H$2:$H$451,$H77,Dati!$A$2:$A$451,$AD77),"-")</f>
        <v/>
      </c>
      <c r="BC77" s="22">
        <f>IF(AND($H77&lt;&gt;"",$AE77&lt;&gt;"",$H77&lt;&gt;$AE77,IFERROR(VLOOKUP($H77,areaCercaPuntiClassificaSquadra,3,FALSE),-1)=IFERROR(VLOOKUP($AE77,areaCercaPuntiClassificaSquadra,3,FALSE),-2)),SUMIFS(Dati!$D$2:$D$451,Dati!$A$2:$A$451,$H77,Dati!$H$2:$H$451,$AE77)+SUMIFS(Dati!$K$2:$K$451,Dati!$H$2:$H$451,$H77,Dati!$A$2:$A$451,$AE77)+SUMIFS(Dati!$C$2:$C$451,Dati!$A$2:$A$451,$H77,Dati!$H$2:$H$451,$AE77)+SUMIFS(Dati!$J$2:$J$451,Dati!$H$2:$H$451,$H77,Dati!$A$2:$A$451,$AE77),"-")</f>
        <v/>
      </c>
      <c r="BD77" s="22">
        <f>IF(AND($H77&lt;&gt;"",$AF77&lt;&gt;"",$H77&lt;&gt;$AF77,IFERROR(VLOOKUP($H77,areaCercaPuntiClassificaSquadra,3,FALSE),-1)=IFERROR(VLOOKUP($AF77,areaCercaPuntiClassificaSquadra,3,FALSE),-2)),SUMIFS(Dati!$D$2:$D$451,Dati!$A$2:$A$451,$H77,Dati!$H$2:$H$451,$AF77)+SUMIFS(Dati!$K$2:$K$451,Dati!$H$2:$H$451,$H77,Dati!$A$2:$A$451,$AF77)+SUMIFS(Dati!$C$2:$C$451,Dati!$A$2:$A$451,$H77,Dati!$H$2:$H$451,$AF77)+SUMIFS(Dati!$J$2:$J$451,Dati!$H$2:$H$451,$H77,Dati!$A$2:$A$451,$AF77),"-")</f>
        <v/>
      </c>
      <c r="BE77" s="22">
        <f>IF(AND($H77&lt;&gt;"",$AG77&lt;&gt;"",$H77&lt;&gt;$AG77,IFERROR(VLOOKUP($H77,areaCercaPuntiClassificaSquadra,3,FALSE),-1)=IFERROR(VLOOKUP($AG77,areaCercaPuntiClassificaSquadra,3,FALSE),-2)),SUMIFS(Dati!$D$2:$D$451,Dati!$A$2:$A$451,$H77,Dati!$H$2:$H$451,$AG77)+SUMIFS(Dati!$K$2:$K$451,Dati!$H$2:$H$451,$H77,Dati!$A$2:$A$451,$AG77)+SUMIFS(Dati!$C$2:$C$451,Dati!$A$2:$A$451,$H77,Dati!$H$2:$H$451,$AG77)+SUMIFS(Dati!$J$2:$J$451,Dati!$H$2:$H$451,$H77,Dati!$A$2:$A$451,$AG77),"-")</f>
        <v/>
      </c>
      <c r="BF77" s="22">
        <f>IF(AND($H77&lt;&gt;"",$AH77&lt;&gt;"",$H77&lt;&gt;$AH77,IFERROR(VLOOKUP($H77,areaCercaPuntiClassificaSquadra,3,FALSE),-1)=IFERROR(VLOOKUP($AH77,areaCercaPuntiClassificaSquadra,3,FALSE),-2)),SUMIFS(Dati!$D$2:$D$451,Dati!$A$2:$A$451,$H77,Dati!$H$2:$H$451,$AH77)+SUMIFS(Dati!$K$2:$K$451,Dati!$H$2:$H$451,$H77,Dati!$A$2:$A$451,$AH77)+SUMIFS(Dati!$C$2:$C$451,Dati!$A$2:$A$451,$H77,Dati!$H$2:$H$451,$AH77)+SUMIFS(Dati!$J$2:$J$451,Dati!$H$2:$H$451,$H77,Dati!$A$2:$A$451,$AH77),"-")</f>
        <v/>
      </c>
      <c r="BH77" s="21">
        <f>$C77</f>
        <v/>
      </c>
      <c r="BI77" s="22">
        <f>IF(AND($H77&lt;&gt;"",$Y77&lt;&gt;"",$H77&lt;&gt;$Y77,IFERROR(VLOOKUP($H77,areaCercaPuntiClassificaSquadra,3,FALSE),-1)=IFERROR(VLOOKUP($Y77,areaCercaPuntiClassificaSquadra,3,FALSE),-2)),SUMIFS(Dati!$E$2:$E$451,Dati!$A$2:$A$451,$H77,Dati!$H$2:$H$451,$Y77)+SUMIFS(Dati!$L$2:$L$451,Dati!$H$2:$H$451,$H77,Dati!$A$2:$A$451,$Y77),"-")</f>
        <v/>
      </c>
      <c r="BJ77" s="22">
        <f>IF(AND($H77&lt;&gt;"",$Z77&lt;&gt;"",$H77&lt;&gt;$Z77,IFERROR(VLOOKUP($H77,areaCercaPuntiClassificaSquadra,3,FALSE),-1)=IFERROR(VLOOKUP($Z77,areaCercaPuntiClassificaSquadra,3,FALSE),-2)),SUMIFS(Dati!$E$2:$E$451,Dati!$A$2:$A$451,$H77,Dati!$H$2:$H$451,$Z77)+SUMIFS(Dati!$L$2:$L$451,Dati!$H$2:$H$451,$H77,Dati!$A$2:$A$451,$Z77),"-")</f>
        <v/>
      </c>
      <c r="BK77" s="22">
        <f>IF(AND($H77&lt;&gt;"",$AA77&lt;&gt;"",$H77&lt;&gt;$AA77,IFERROR(VLOOKUP($H77,areaCercaPuntiClassificaSquadra,3,FALSE),-1)=IFERROR(VLOOKUP($AA77,areaCercaPuntiClassificaSquadra,3,FALSE),-2)),SUMIFS(Dati!$E$2:$E$451,Dati!$A$2:$A$451,$H77,Dati!$H$2:$H$451,$AA77)+SUMIFS(Dati!$L$2:$L$451,Dati!$H$2:$H$451,$H77,Dati!$A$2:$A$451,$AA77),"-")</f>
        <v/>
      </c>
      <c r="BL77" s="22">
        <f>IF(AND($H77&lt;&gt;"",$AB77&lt;&gt;"",$H77&lt;&gt;$AB77,IFERROR(VLOOKUP($H77,areaCercaPuntiClassificaSquadra,3,FALSE),-1)=IFERROR(VLOOKUP($AB77,areaCercaPuntiClassificaSquadra,3,FALSE),-2)),SUMIFS(Dati!$E$2:$E$451,Dati!$A$2:$A$451,$H77,Dati!$H$2:$H$451,$AB77)+SUMIFS(Dati!$L$2:$L$451,Dati!$H$2:$H$451,$H77,Dati!$A$2:$A$451,$AB77),"-")</f>
        <v/>
      </c>
      <c r="BM77" s="22">
        <f>IF(AND($H77&lt;&gt;"",$AC77&lt;&gt;"",$H77&lt;&gt;$AC77,IFERROR(VLOOKUP($H77,areaCercaPuntiClassificaSquadra,3,FALSE),-1)=IFERROR(VLOOKUP($AC77,areaCercaPuntiClassificaSquadra,3,FALSE),-2)),SUMIFS(Dati!$E$2:$E$451,Dati!$A$2:$A$451,$H77,Dati!$H$2:$H$451,$AC77)+SUMIFS(Dati!$L$2:$L$451,Dati!$H$2:$H$451,$H77,Dati!$A$2:$A$451,$AC77),"-")</f>
        <v/>
      </c>
      <c r="BN77" s="22">
        <f>IF(AND($H77&lt;&gt;"",$AD77&lt;&gt;"",$H77&lt;&gt;$AD77,IFERROR(VLOOKUP($H77,areaCercaPuntiClassificaSquadra,3,FALSE),-1)=IFERROR(VLOOKUP($AD77,areaCercaPuntiClassificaSquadra,3,FALSE),-2)),SUMIFS(Dati!$E$2:$E$451,Dati!$A$2:$A$451,$H77,Dati!$H$2:$H$451,$AD77)+SUMIFS(Dati!$L$2:$L$451,Dati!$H$2:$H$451,$H77,Dati!$A$2:$A$451,$AD77),"-")</f>
        <v/>
      </c>
      <c r="BO77" s="22">
        <f>IF(AND($H77&lt;&gt;"",$AE77&lt;&gt;"",$H77&lt;&gt;$AE77,IFERROR(VLOOKUP($H77,areaCercaPuntiClassificaSquadra,3,FALSE),-1)=IFERROR(VLOOKUP($AE77,areaCercaPuntiClassificaSquadra,3,FALSE),-2)),SUMIFS(Dati!$E$2:$E$451,Dati!$A$2:$A$451,$H77,Dati!$H$2:$H$451,$AE77)+SUMIFS(Dati!$L$2:$L$451,Dati!$H$2:$H$451,$H77,Dati!$A$2:$A$451,$AE77),"-")</f>
        <v/>
      </c>
      <c r="BP77" s="22">
        <f>IF(AND($H77&lt;&gt;"",$AF77&lt;&gt;"",$H77&lt;&gt;$AF77,IFERROR(VLOOKUP($H77,areaCercaPuntiClassificaSquadra,3,FALSE),-1)=IFERROR(VLOOKUP($AF77,areaCercaPuntiClassificaSquadra,3,FALSE),-2)),SUMIFS(Dati!$E$2:$E$451,Dati!$A$2:$A$451,$H77,Dati!$H$2:$H$451,$AF77)+SUMIFS(Dati!$L$2:$L$451,Dati!$H$2:$H$451,$H77,Dati!$A$2:$A$451,$AF77),"-")</f>
        <v/>
      </c>
      <c r="BQ77" s="22">
        <f>IF(AND($H77&lt;&gt;"",$AG77&lt;&gt;"",$H77&lt;&gt;$AG77,IFERROR(VLOOKUP($H77,areaCercaPuntiClassificaSquadra,3,FALSE),-1)=IFERROR(VLOOKUP($AG77,areaCercaPuntiClassificaSquadra,3,FALSE),-2)),SUMIFS(Dati!$E$2:$E$451,Dati!$A$2:$A$451,$H77,Dati!$H$2:$H$451,$AG77)+SUMIFS(Dati!$L$2:$L$451,Dati!$H$2:$H$451,$H77,Dati!$A$2:$A$451,$AG77),"-")</f>
        <v/>
      </c>
      <c r="BR77" s="22">
        <f>IF(AND($H77&lt;&gt;"",$AH77&lt;&gt;"",$H77&lt;&gt;$AH77,IFERROR(VLOOKUP($H77,areaCercaPuntiClassificaSquadra,3,FALSE),-1)=IFERROR(VLOOKUP($AH77,areaCercaPuntiClassificaSquadra,3,FALSE),-2)),SUMIFS(Dati!$E$2:$E$451,Dati!$A$2:$A$451,$H77,Dati!$H$2:$H$451,$AH77)+SUMIFS(Dati!$L$2:$L$451,Dati!$H$2:$H$451,$H77,Dati!$A$2:$A$451,$AH77),"-")</f>
        <v/>
      </c>
      <c r="BT77" s="21">
        <f>$C77</f>
        <v/>
      </c>
      <c r="BU77" s="22">
        <f>IF(AND($H77&lt;&gt;"",$Y77&lt;&gt;"",$H77&lt;&gt;$Y77,IFERROR(VLOOKUP($H77,areaCercaPuntiClassificaSquadra,3,FALSE),-1)=IFERROR(VLOOKUP($Y77,areaCercaPuntiClassificaSquadra,3,FALSE),-2)),SUMIFS(Dati!$F$2:$F$451,Dati!$A$2:$A$451,$H77,Dati!$H$2:$H$451,$Y77)+SUMIFS(Dati!$M$2:$M$451,Dati!$H$2:$H$451,$H77,Dati!$A$2:$A$451,$Y77),"-")</f>
        <v/>
      </c>
      <c r="BV77" s="22">
        <f>IF(AND($H77&lt;&gt;"",$Z77&lt;&gt;"",$H77&lt;&gt;$Z77,IFERROR(VLOOKUP($H77,areaCercaPuntiClassificaSquadra,3,FALSE),-1)=IFERROR(VLOOKUP($Z77,areaCercaPuntiClassificaSquadra,3,FALSE),-2)),SUMIFS(Dati!$F$2:$F$451,Dati!$A$2:$A$451,$H77,Dati!$H$2:$H$451,$Z77)+SUMIFS(Dati!$M$2:$M$451,Dati!$H$2:$H$451,$H77,Dati!$A$2:$A$451,$Z77),"-")</f>
        <v/>
      </c>
      <c r="BW77" s="22">
        <f>IF(AND($H77&lt;&gt;"",$AA77&lt;&gt;"",$H77&lt;&gt;$AA77,IFERROR(VLOOKUP($H77,areaCercaPuntiClassificaSquadra,3,FALSE),-1)=IFERROR(VLOOKUP($AA77,areaCercaPuntiClassificaSquadra,3,FALSE),-2)),SUMIFS(Dati!$F$2:$F$451,Dati!$A$2:$A$451,$H77,Dati!$H$2:$H$451,$AA77)+SUMIFS(Dati!$M$2:$M$451,Dati!$H$2:$H$451,$H77,Dati!$A$2:$A$451,$AA77),"-")</f>
        <v/>
      </c>
      <c r="BX77" s="22">
        <f>IF(AND($H77&lt;&gt;"",$AB77&lt;&gt;"",$H77&lt;&gt;$AB77,IFERROR(VLOOKUP($H77,areaCercaPuntiClassificaSquadra,3,FALSE),-1)=IFERROR(VLOOKUP($AB77,areaCercaPuntiClassificaSquadra,3,FALSE),-2)),SUMIFS(Dati!$F$2:$F$451,Dati!$A$2:$A$451,$H77,Dati!$H$2:$H$451,$AB77)+SUMIFS(Dati!$M$2:$M$451,Dati!$H$2:$H$451,$H77,Dati!$A$2:$A$451,$AB77),"-")</f>
        <v/>
      </c>
      <c r="BY77" s="22">
        <f>IF(AND($H77&lt;&gt;"",$AC77&lt;&gt;"",$H77&lt;&gt;$AC77,IFERROR(VLOOKUP($H77,areaCercaPuntiClassificaSquadra,3,FALSE),-1)=IFERROR(VLOOKUP($AC77,areaCercaPuntiClassificaSquadra,3,FALSE),-2)),SUMIFS(Dati!$F$2:$F$451,Dati!$A$2:$A$451,$H77,Dati!$H$2:$H$451,$AC77)+SUMIFS(Dati!$M$2:$M$451,Dati!$H$2:$H$451,$H77,Dati!$A$2:$A$451,$AC77),"-")</f>
        <v/>
      </c>
      <c r="BZ77" s="22">
        <f>IF(AND($H77&lt;&gt;"",$AD77&lt;&gt;"",$H77&lt;&gt;$AD77,IFERROR(VLOOKUP($H77,areaCercaPuntiClassificaSquadra,3,FALSE),-1)=IFERROR(VLOOKUP($AD77,areaCercaPuntiClassificaSquadra,3,FALSE),-2)),SUMIFS(Dati!$F$2:$F$451,Dati!$A$2:$A$451,$H77,Dati!$H$2:$H$451,$AD77)+SUMIFS(Dati!$M$2:$M$451,Dati!$H$2:$H$451,$H77,Dati!$A$2:$A$451,$AD77),"-")</f>
        <v/>
      </c>
      <c r="CA77" s="22">
        <f>IF(AND($H77&lt;&gt;"",$AE77&lt;&gt;"",$H77&lt;&gt;$AE77,IFERROR(VLOOKUP($H77,areaCercaPuntiClassificaSquadra,3,FALSE),-1)=IFERROR(VLOOKUP($AE77,areaCercaPuntiClassificaSquadra,3,FALSE),-2)),SUMIFS(Dati!$F$2:$F$451,Dati!$A$2:$A$451,$H77,Dati!$H$2:$H$451,$AE77)+SUMIFS(Dati!$M$2:$M$451,Dati!$H$2:$H$451,$H77,Dati!$A$2:$A$451,$AE77),"-")</f>
        <v/>
      </c>
      <c r="CB77" s="22">
        <f>IF(AND($H77&lt;&gt;"",$AF77&lt;&gt;"",$H77&lt;&gt;$AF77,IFERROR(VLOOKUP($H77,areaCercaPuntiClassificaSquadra,3,FALSE),-1)=IFERROR(VLOOKUP($AF77,areaCercaPuntiClassificaSquadra,3,FALSE),-2)),SUMIFS(Dati!$F$2:$F$451,Dati!$A$2:$A$451,$H77,Dati!$H$2:$H$451,$AF77)+SUMIFS(Dati!$M$2:$M$451,Dati!$H$2:$H$451,$H77,Dati!$A$2:$A$451,$AF77),"-")</f>
        <v/>
      </c>
      <c r="CC77" s="22">
        <f>IF(AND($H77&lt;&gt;"",$AG77&lt;&gt;"",$H77&lt;&gt;$AG77,IFERROR(VLOOKUP($H77,areaCercaPuntiClassificaSquadra,3,FALSE),-1)=IFERROR(VLOOKUP($AG77,areaCercaPuntiClassificaSquadra,3,FALSE),-2)),SUMIFS(Dati!$F$2:$F$451,Dati!$A$2:$A$451,$H77,Dati!$H$2:$H$451,$AG77)+SUMIFS(Dati!$M$2:$M$451,Dati!$H$2:$H$451,$H77,Dati!$A$2:$A$451,$AG77),"-")</f>
        <v/>
      </c>
      <c r="CD77" s="22">
        <f>IF(AND($H77&lt;&gt;"",$AH77&lt;&gt;"",$H77&lt;&gt;$AH77,IFERROR(VLOOKUP($H77,areaCercaPuntiClassificaSquadra,3,FALSE),-1)=IFERROR(VLOOKUP($AH77,areaCercaPuntiClassificaSquadra,3,FALSE),-2)),SUMIFS(Dati!$F$2:$F$451,Dati!$A$2:$A$451,$H77,Dati!$H$2:$H$451,$AH77)+SUMIFS(Dati!$M$2:$M$451,Dati!$H$2:$H$451,$H77,Dati!$A$2:$A$451,$AH77),"-")</f>
        <v/>
      </c>
      <c r="CF77" s="22">
        <f>IF($C77="","",SUM(AK77:AT77))</f>
        <v/>
      </c>
    </row>
    <row r="78">
      <c r="B78" s="12" t="inlineStr">
        <is>
          <t>G05</t>
        </is>
      </c>
      <c r="C78" s="13" t="n"/>
      <c r="D78" s="14" t="n"/>
      <c r="E78" s="33" t="inlineStr">
        <is>
          <t>G</t>
        </is>
      </c>
      <c r="G78" s="34">
        <f>IF($C78="","",$E78&amp;(COUNTIFS(I$14:I$113,"&gt;"&amp;I78,E$14:E$113,"="&amp;E78,C$14:C$113,"&lt;&gt;")+COUNTIFS(I$14:I$113,"="&amp;I78,H$14:H$113,"&lt;="&amp;H78,E$14:E$113,"="&amp;E78,C$14:C$113,"&lt;&gt;")))</f>
        <v/>
      </c>
      <c r="H78" s="17">
        <f>IF($C78="","",IFERROR(LEFT($C78,FIND("-",$C78)-1),$C78))</f>
        <v/>
      </c>
      <c r="I78" s="12">
        <f>TEXT(1000000000+J78,"|0000000000|")&amp;TEXT(SUM(AK78:AT78),"0000000000|")&amp;IF(SUM(BU78:CD78)=0,"0000000000|",TEXT(ROUND(SUM(BI78:BR78)/SUM(BU78:CD78),4)*100000,"0000000000|"))&amp;IF(P78=0,"0000000000|",TEXT(ROUND(O78/P78,4)*100000,"0000000000|"))</f>
        <v/>
      </c>
      <c r="J78" s="34">
        <f>L78*constPuntiVittoria+M78*constPuntiSconfitta+N78*constPuntiForfait+IF(D78="",0,D78)</f>
        <v/>
      </c>
      <c r="K78" s="12">
        <f>SUM(L78:N78)</f>
        <v/>
      </c>
      <c r="L78" s="12">
        <f>IF($H78="",0,SUMIF(Dati!$A$2:$A$451,$H78,Dati!$B$2:$B$451)+SUMIF(Dati!$H$2:$H$451,$H78,Dati!$I$2:$I$451))</f>
        <v/>
      </c>
      <c r="M78" s="12">
        <f>IF($H78="",0,SUMIF(Dati!$A$2:$A$451,$H78,Dati!$D$2:$D$451)+SUMIF(Dati!$H$2:$H$451,$H78,Dati!$K$2:$K$451))</f>
        <v/>
      </c>
      <c r="N78" s="12">
        <f>IF($H78="",0,SUMIF(Dati!$A$2:$A$451,$H78,Dati!$C$2:$C$451)+SUMIF(Dati!$H$2:$H$451,$H78,Dati!$J$2:$J$451))</f>
        <v/>
      </c>
      <c r="O78" s="12">
        <f>IF($H78="",0,SUMIF(Dati!$A$2:$A$451,$H78,Dati!$E$2:$E$451)+SUMIF(Dati!$H$2:$H$451,$H78,Dati!$L$2:$L$451))</f>
        <v/>
      </c>
      <c r="P78" s="12">
        <f>IF($H78="",0,SUMIF(Dati!$A$2:$A$451,$H78,Dati!$F$2:$F$451)+SUMIF(Dati!$H$2:$H$451,$H78,Dati!$M$2:$M$451))</f>
        <v/>
      </c>
      <c r="Q78" s="12">
        <f>IF($H78="",0,SUMIF(Dati!$A$2:$A$451,$H78,Dati!$G$2:$G$451)+SUMIF(Dati!$H$2:$H$451,$H78,Dati!$N$2:$N$451))</f>
        <v/>
      </c>
      <c r="R78" s="12">
        <f>IF(K78=0,0,ROUND(O78/K78,2))</f>
        <v/>
      </c>
      <c r="S78" s="12">
        <f>IF(K78=0,0,ROUND(P78/K78,2))</f>
        <v/>
      </c>
      <c r="T78" s="12">
        <f>IF(K78=0,0,ROUND(Q78/K78,2))</f>
        <v/>
      </c>
      <c r="U78" s="12">
        <f>IF(COUNTIFS($E$14:$E$113,$E78,$J$14:$J$113,$J78,$C$14:$C$113,"&lt;&gt;")&lt;=1,"-",SUM(AK78:AT78)&amp;"-"&amp;SUM(AW78:BF78))</f>
        <v/>
      </c>
      <c r="V78" s="18">
        <f>IF(COUNTIFS($E$14:$E$113,$E78,$J$14:$J$113,$J78,$C$14:$C$113,"&lt;&gt;",$CF$14:$CF$113,$CF78)&lt;=1,"-",IF(SUM(BU78:CD78)=0,0,ROUND(SUM(BI78:BR78)/SUM(BU78:CD78),3)))</f>
        <v/>
      </c>
      <c r="W78" s="18">
        <f>IF(COUNTIFS($E$14:$E$113,$E78,$J$14:$J$113,$J78,$C$14:$C$113,"&lt;&gt;",$CF$14:$CF$113,$CF78,$V$14:$V$113,$V78)&lt;=1,"-",IF(P78=0,0,ROUND(O78/P78,3)))</f>
        <v/>
      </c>
      <c r="X78" s="19">
        <f>IF($C78="","",$E78&amp;"#"&amp;COUNTIFS($E$14:$E78,$E78,$C$14:$C78,"&lt;&gt;"))</f>
        <v/>
      </c>
      <c r="Y78" s="20">
        <f>IFERROR(INDEX($H$14:$H$113,MATCH($E78&amp;"#1",$X$14:$X$113,0)),"")</f>
        <v/>
      </c>
      <c r="Z78" s="20">
        <f>IFERROR(INDEX($H$14:$H$113,MATCH($E78&amp;"#2",$X$14:$X$113,0)),"")</f>
        <v/>
      </c>
      <c r="AA78" s="20">
        <f>IFERROR(INDEX($H$14:$H$113,MATCH($E78&amp;"#3",$X$14:$X$113,0)),"")</f>
        <v/>
      </c>
      <c r="AB78" s="20">
        <f>IFERROR(INDEX($H$14:$H$113,MATCH($E78&amp;"#4",$X$14:$X$113,0)),"")</f>
        <v/>
      </c>
      <c r="AC78" s="20">
        <f>IFERROR(INDEX($H$14:$H$113,MATCH($E78&amp;"#5",$X$14:$X$113,0)),"")</f>
        <v/>
      </c>
      <c r="AD78" s="20">
        <f>IFERROR(INDEX($H$14:$H$113,MATCH($E78&amp;"#6",$X$14:$X$113,0)),"")</f>
        <v/>
      </c>
      <c r="AE78" s="20">
        <f>IFERROR(INDEX($H$14:$H$113,MATCH($E78&amp;"#7",$X$14:$X$113,0)),"")</f>
        <v/>
      </c>
      <c r="AF78" s="20">
        <f>IFERROR(INDEX($H$14:$H$113,MATCH($E78&amp;"#8",$X$14:$X$113,0)),"")</f>
        <v/>
      </c>
      <c r="AG78" s="20">
        <f>IFERROR(INDEX($H$14:$H$113,MATCH($E78&amp;"#9",$X$14:$X$113,0)),"")</f>
        <v/>
      </c>
      <c r="AH78" s="20">
        <f>IFERROR(INDEX($H$14:$H$113,MATCH($E78&amp;"#10",$X$14:$X$113,0)),"")</f>
        <v/>
      </c>
      <c r="AJ78" s="21">
        <f>$C78</f>
        <v/>
      </c>
      <c r="AK78" s="22">
        <f>IF(AND($H78&lt;&gt;"",$Y78&lt;&gt;"",$H78&lt;&gt;$Y78,IFERROR(VLOOKUP($H78,areaCercaPuntiClassificaSquadra,3,FALSE),-1)=IFERROR(VLOOKUP($Y78,areaCercaPuntiClassificaSquadra,3,FALSE),-2)),SUMIFS(Dati!$B$2:$B$451,Dati!$A$2:$A$451,$H78,Dati!$H$2:$H$451,$Y78)+SUMIFS(Dati!$I$2:$I$451,Dati!$H$2:$H$451,$H78,Dati!$A$2:$A$451,$Y78),"-")</f>
        <v/>
      </c>
      <c r="AL78" s="22">
        <f>IF(AND($H78&lt;&gt;"",$Z78&lt;&gt;"",$H78&lt;&gt;$Z78,IFERROR(VLOOKUP($H78,areaCercaPuntiClassificaSquadra,3,FALSE),-1)=IFERROR(VLOOKUP($Z78,areaCercaPuntiClassificaSquadra,3,FALSE),-2)),SUMIFS(Dati!$B$2:$B$451,Dati!$A$2:$A$451,$H78,Dati!$H$2:$H$451,$Z78)+SUMIFS(Dati!$I$2:$I$451,Dati!$H$2:$H$451,$H78,Dati!$A$2:$A$451,$Z78),"-")</f>
        <v/>
      </c>
      <c r="AM78" s="22">
        <f>IF(AND($H78&lt;&gt;"",$AA78&lt;&gt;"",$H78&lt;&gt;$AA78,IFERROR(VLOOKUP($H78,areaCercaPuntiClassificaSquadra,3,FALSE),-1)=IFERROR(VLOOKUP($AA78,areaCercaPuntiClassificaSquadra,3,FALSE),-2)),SUMIFS(Dati!$B$2:$B$451,Dati!$A$2:$A$451,$H78,Dati!$H$2:$H$451,$AA78)+SUMIFS(Dati!$I$2:$I$451,Dati!$H$2:$H$451,$H78,Dati!$A$2:$A$451,$AA78),"-")</f>
        <v/>
      </c>
      <c r="AN78" s="22">
        <f>IF(AND($H78&lt;&gt;"",$AB78&lt;&gt;"",$H78&lt;&gt;$AB78,IFERROR(VLOOKUP($H78,areaCercaPuntiClassificaSquadra,3,FALSE),-1)=IFERROR(VLOOKUP($AB78,areaCercaPuntiClassificaSquadra,3,FALSE),-2)),SUMIFS(Dati!$B$2:$B$451,Dati!$A$2:$A$451,$H78,Dati!$H$2:$H$451,$AB78)+SUMIFS(Dati!$I$2:$I$451,Dati!$H$2:$H$451,$H78,Dati!$A$2:$A$451,$AB78),"-")</f>
        <v/>
      </c>
      <c r="AO78" s="22">
        <f>IF(AND($H78&lt;&gt;"",$AC78&lt;&gt;"",$H78&lt;&gt;$AC78,IFERROR(VLOOKUP($H78,areaCercaPuntiClassificaSquadra,3,FALSE),-1)=IFERROR(VLOOKUP($AC78,areaCercaPuntiClassificaSquadra,3,FALSE),-2)),SUMIFS(Dati!$B$2:$B$451,Dati!$A$2:$A$451,$H78,Dati!$H$2:$H$451,$AC78)+SUMIFS(Dati!$I$2:$I$451,Dati!$H$2:$H$451,$H78,Dati!$A$2:$A$451,$AC78),"-")</f>
        <v/>
      </c>
      <c r="AP78" s="22">
        <f>IF(AND($H78&lt;&gt;"",$AD78&lt;&gt;"",$H78&lt;&gt;$AD78,IFERROR(VLOOKUP($H78,areaCercaPuntiClassificaSquadra,3,FALSE),-1)=IFERROR(VLOOKUP($AD78,areaCercaPuntiClassificaSquadra,3,FALSE),-2)),SUMIFS(Dati!$B$2:$B$451,Dati!$A$2:$A$451,$H78,Dati!$H$2:$H$451,$AD78)+SUMIFS(Dati!$I$2:$I$451,Dati!$H$2:$H$451,$H78,Dati!$A$2:$A$451,$AD78),"-")</f>
        <v/>
      </c>
      <c r="AQ78" s="22">
        <f>IF(AND($H78&lt;&gt;"",$AE78&lt;&gt;"",$H78&lt;&gt;$AE78,IFERROR(VLOOKUP($H78,areaCercaPuntiClassificaSquadra,3,FALSE),-1)=IFERROR(VLOOKUP($AE78,areaCercaPuntiClassificaSquadra,3,FALSE),-2)),SUMIFS(Dati!$B$2:$B$451,Dati!$A$2:$A$451,$H78,Dati!$H$2:$H$451,$AE78)+SUMIFS(Dati!$I$2:$I$451,Dati!$H$2:$H$451,$H78,Dati!$A$2:$A$451,$AE78),"-")</f>
        <v/>
      </c>
      <c r="AR78" s="22">
        <f>IF(AND($H78&lt;&gt;"",$AF78&lt;&gt;"",$H78&lt;&gt;$AF78,IFERROR(VLOOKUP($H78,areaCercaPuntiClassificaSquadra,3,FALSE),-1)=IFERROR(VLOOKUP($AF78,areaCercaPuntiClassificaSquadra,3,FALSE),-2)),SUMIFS(Dati!$B$2:$B$451,Dati!$A$2:$A$451,$H78,Dati!$H$2:$H$451,$AF78)+SUMIFS(Dati!$I$2:$I$451,Dati!$H$2:$H$451,$H78,Dati!$A$2:$A$451,$AF78),"-")</f>
        <v/>
      </c>
      <c r="AS78" s="22">
        <f>IF(AND($H78&lt;&gt;"",$AG78&lt;&gt;"",$H78&lt;&gt;$AG78,IFERROR(VLOOKUP($H78,areaCercaPuntiClassificaSquadra,3,FALSE),-1)=IFERROR(VLOOKUP($AG78,areaCercaPuntiClassificaSquadra,3,FALSE),-2)),SUMIFS(Dati!$B$2:$B$451,Dati!$A$2:$A$451,$H78,Dati!$H$2:$H$451,$AG78)+SUMIFS(Dati!$I$2:$I$451,Dati!$H$2:$H$451,$H78,Dati!$A$2:$A$451,$AG78),"-")</f>
        <v/>
      </c>
      <c r="AT78" s="22">
        <f>IF(AND($H78&lt;&gt;"",$AH78&lt;&gt;"",$H78&lt;&gt;$AH78,IFERROR(VLOOKUP($H78,areaCercaPuntiClassificaSquadra,3,FALSE),-1)=IFERROR(VLOOKUP($AH78,areaCercaPuntiClassificaSquadra,3,FALSE),-2)),SUMIFS(Dati!$B$2:$B$451,Dati!$A$2:$A$451,$H78,Dati!$H$2:$H$451,$AH78)+SUMIFS(Dati!$I$2:$I$451,Dati!$H$2:$H$451,$H78,Dati!$A$2:$A$451,$AH78),"-")</f>
        <v/>
      </c>
      <c r="AV78" s="21">
        <f>$C78</f>
        <v/>
      </c>
      <c r="AW78" s="22">
        <f>IF(AND($H78&lt;&gt;"",$Y78&lt;&gt;"",$H78&lt;&gt;$Y78,IFERROR(VLOOKUP($H78,areaCercaPuntiClassificaSquadra,3,FALSE),-1)=IFERROR(VLOOKUP($Y78,areaCercaPuntiClassificaSquadra,3,FALSE),-2)),SUMIFS(Dati!$D$2:$D$451,Dati!$A$2:$A$451,$H78,Dati!$H$2:$H$451,$Y78)+SUMIFS(Dati!$K$2:$K$451,Dati!$H$2:$H$451,$H78,Dati!$A$2:$A$451,$Y78)+SUMIFS(Dati!$C$2:$C$451,Dati!$A$2:$A$451,$H78,Dati!$H$2:$H$451,$Y78)+SUMIFS(Dati!$J$2:$J$451,Dati!$H$2:$H$451,$H78,Dati!$A$2:$A$451,$Y78),"-")</f>
        <v/>
      </c>
      <c r="AX78" s="22">
        <f>IF(AND($H78&lt;&gt;"",$Z78&lt;&gt;"",$H78&lt;&gt;$Z78,IFERROR(VLOOKUP($H78,areaCercaPuntiClassificaSquadra,3,FALSE),-1)=IFERROR(VLOOKUP($Z78,areaCercaPuntiClassificaSquadra,3,FALSE),-2)),SUMIFS(Dati!$D$2:$D$451,Dati!$A$2:$A$451,$H78,Dati!$H$2:$H$451,$Z78)+SUMIFS(Dati!$K$2:$K$451,Dati!$H$2:$H$451,$H78,Dati!$A$2:$A$451,$Z78)+SUMIFS(Dati!$C$2:$C$451,Dati!$A$2:$A$451,$H78,Dati!$H$2:$H$451,$Z78)+SUMIFS(Dati!$J$2:$J$451,Dati!$H$2:$H$451,$H78,Dati!$A$2:$A$451,$Z78),"-")</f>
        <v/>
      </c>
      <c r="AY78" s="22">
        <f>IF(AND($H78&lt;&gt;"",$AA78&lt;&gt;"",$H78&lt;&gt;$AA78,IFERROR(VLOOKUP($H78,areaCercaPuntiClassificaSquadra,3,FALSE),-1)=IFERROR(VLOOKUP($AA78,areaCercaPuntiClassificaSquadra,3,FALSE),-2)),SUMIFS(Dati!$D$2:$D$451,Dati!$A$2:$A$451,$H78,Dati!$H$2:$H$451,$AA78)+SUMIFS(Dati!$K$2:$K$451,Dati!$H$2:$H$451,$H78,Dati!$A$2:$A$451,$AA78)+SUMIFS(Dati!$C$2:$C$451,Dati!$A$2:$A$451,$H78,Dati!$H$2:$H$451,$AA78)+SUMIFS(Dati!$J$2:$J$451,Dati!$H$2:$H$451,$H78,Dati!$A$2:$A$451,$AA78),"-")</f>
        <v/>
      </c>
      <c r="AZ78" s="22">
        <f>IF(AND($H78&lt;&gt;"",$AB78&lt;&gt;"",$H78&lt;&gt;$AB78,IFERROR(VLOOKUP($H78,areaCercaPuntiClassificaSquadra,3,FALSE),-1)=IFERROR(VLOOKUP($AB78,areaCercaPuntiClassificaSquadra,3,FALSE),-2)),SUMIFS(Dati!$D$2:$D$451,Dati!$A$2:$A$451,$H78,Dati!$H$2:$H$451,$AB78)+SUMIFS(Dati!$K$2:$K$451,Dati!$H$2:$H$451,$H78,Dati!$A$2:$A$451,$AB78)+SUMIFS(Dati!$C$2:$C$451,Dati!$A$2:$A$451,$H78,Dati!$H$2:$H$451,$AB78)+SUMIFS(Dati!$J$2:$J$451,Dati!$H$2:$H$451,$H78,Dati!$A$2:$A$451,$AB78),"-")</f>
        <v/>
      </c>
      <c r="BA78" s="22">
        <f>IF(AND($H78&lt;&gt;"",$AC78&lt;&gt;"",$H78&lt;&gt;$AC78,IFERROR(VLOOKUP($H78,areaCercaPuntiClassificaSquadra,3,FALSE),-1)=IFERROR(VLOOKUP($AC78,areaCercaPuntiClassificaSquadra,3,FALSE),-2)),SUMIFS(Dati!$D$2:$D$451,Dati!$A$2:$A$451,$H78,Dati!$H$2:$H$451,$AC78)+SUMIFS(Dati!$K$2:$K$451,Dati!$H$2:$H$451,$H78,Dati!$A$2:$A$451,$AC78)+SUMIFS(Dati!$C$2:$C$451,Dati!$A$2:$A$451,$H78,Dati!$H$2:$H$451,$AC78)+SUMIFS(Dati!$J$2:$J$451,Dati!$H$2:$H$451,$H78,Dati!$A$2:$A$451,$AC78),"-")</f>
        <v/>
      </c>
      <c r="BB78" s="22">
        <f>IF(AND($H78&lt;&gt;"",$AD78&lt;&gt;"",$H78&lt;&gt;$AD78,IFERROR(VLOOKUP($H78,areaCercaPuntiClassificaSquadra,3,FALSE),-1)=IFERROR(VLOOKUP($AD78,areaCercaPuntiClassificaSquadra,3,FALSE),-2)),SUMIFS(Dati!$D$2:$D$451,Dati!$A$2:$A$451,$H78,Dati!$H$2:$H$451,$AD78)+SUMIFS(Dati!$K$2:$K$451,Dati!$H$2:$H$451,$H78,Dati!$A$2:$A$451,$AD78)+SUMIFS(Dati!$C$2:$C$451,Dati!$A$2:$A$451,$H78,Dati!$H$2:$H$451,$AD78)+SUMIFS(Dati!$J$2:$J$451,Dati!$H$2:$H$451,$H78,Dati!$A$2:$A$451,$AD78),"-")</f>
        <v/>
      </c>
      <c r="BC78" s="22">
        <f>IF(AND($H78&lt;&gt;"",$AE78&lt;&gt;"",$H78&lt;&gt;$AE78,IFERROR(VLOOKUP($H78,areaCercaPuntiClassificaSquadra,3,FALSE),-1)=IFERROR(VLOOKUP($AE78,areaCercaPuntiClassificaSquadra,3,FALSE),-2)),SUMIFS(Dati!$D$2:$D$451,Dati!$A$2:$A$451,$H78,Dati!$H$2:$H$451,$AE78)+SUMIFS(Dati!$K$2:$K$451,Dati!$H$2:$H$451,$H78,Dati!$A$2:$A$451,$AE78)+SUMIFS(Dati!$C$2:$C$451,Dati!$A$2:$A$451,$H78,Dati!$H$2:$H$451,$AE78)+SUMIFS(Dati!$J$2:$J$451,Dati!$H$2:$H$451,$H78,Dati!$A$2:$A$451,$AE78),"-")</f>
        <v/>
      </c>
      <c r="BD78" s="22">
        <f>IF(AND($H78&lt;&gt;"",$AF78&lt;&gt;"",$H78&lt;&gt;$AF78,IFERROR(VLOOKUP($H78,areaCercaPuntiClassificaSquadra,3,FALSE),-1)=IFERROR(VLOOKUP($AF78,areaCercaPuntiClassificaSquadra,3,FALSE),-2)),SUMIFS(Dati!$D$2:$D$451,Dati!$A$2:$A$451,$H78,Dati!$H$2:$H$451,$AF78)+SUMIFS(Dati!$K$2:$K$451,Dati!$H$2:$H$451,$H78,Dati!$A$2:$A$451,$AF78)+SUMIFS(Dati!$C$2:$C$451,Dati!$A$2:$A$451,$H78,Dati!$H$2:$H$451,$AF78)+SUMIFS(Dati!$J$2:$J$451,Dati!$H$2:$H$451,$H78,Dati!$A$2:$A$451,$AF78),"-")</f>
        <v/>
      </c>
      <c r="BE78" s="22">
        <f>IF(AND($H78&lt;&gt;"",$AG78&lt;&gt;"",$H78&lt;&gt;$AG78,IFERROR(VLOOKUP($H78,areaCercaPuntiClassificaSquadra,3,FALSE),-1)=IFERROR(VLOOKUP($AG78,areaCercaPuntiClassificaSquadra,3,FALSE),-2)),SUMIFS(Dati!$D$2:$D$451,Dati!$A$2:$A$451,$H78,Dati!$H$2:$H$451,$AG78)+SUMIFS(Dati!$K$2:$K$451,Dati!$H$2:$H$451,$H78,Dati!$A$2:$A$451,$AG78)+SUMIFS(Dati!$C$2:$C$451,Dati!$A$2:$A$451,$H78,Dati!$H$2:$H$451,$AG78)+SUMIFS(Dati!$J$2:$J$451,Dati!$H$2:$H$451,$H78,Dati!$A$2:$A$451,$AG78),"-")</f>
        <v/>
      </c>
      <c r="BF78" s="22">
        <f>IF(AND($H78&lt;&gt;"",$AH78&lt;&gt;"",$H78&lt;&gt;$AH78,IFERROR(VLOOKUP($H78,areaCercaPuntiClassificaSquadra,3,FALSE),-1)=IFERROR(VLOOKUP($AH78,areaCercaPuntiClassificaSquadra,3,FALSE),-2)),SUMIFS(Dati!$D$2:$D$451,Dati!$A$2:$A$451,$H78,Dati!$H$2:$H$451,$AH78)+SUMIFS(Dati!$K$2:$K$451,Dati!$H$2:$H$451,$H78,Dati!$A$2:$A$451,$AH78)+SUMIFS(Dati!$C$2:$C$451,Dati!$A$2:$A$451,$H78,Dati!$H$2:$H$451,$AH78)+SUMIFS(Dati!$J$2:$J$451,Dati!$H$2:$H$451,$H78,Dati!$A$2:$A$451,$AH78),"-")</f>
        <v/>
      </c>
      <c r="BH78" s="21">
        <f>$C78</f>
        <v/>
      </c>
      <c r="BI78" s="22">
        <f>IF(AND($H78&lt;&gt;"",$Y78&lt;&gt;"",$H78&lt;&gt;$Y78,IFERROR(VLOOKUP($H78,areaCercaPuntiClassificaSquadra,3,FALSE),-1)=IFERROR(VLOOKUP($Y78,areaCercaPuntiClassificaSquadra,3,FALSE),-2)),SUMIFS(Dati!$E$2:$E$451,Dati!$A$2:$A$451,$H78,Dati!$H$2:$H$451,$Y78)+SUMIFS(Dati!$L$2:$L$451,Dati!$H$2:$H$451,$H78,Dati!$A$2:$A$451,$Y78),"-")</f>
        <v/>
      </c>
      <c r="BJ78" s="22">
        <f>IF(AND($H78&lt;&gt;"",$Z78&lt;&gt;"",$H78&lt;&gt;$Z78,IFERROR(VLOOKUP($H78,areaCercaPuntiClassificaSquadra,3,FALSE),-1)=IFERROR(VLOOKUP($Z78,areaCercaPuntiClassificaSquadra,3,FALSE),-2)),SUMIFS(Dati!$E$2:$E$451,Dati!$A$2:$A$451,$H78,Dati!$H$2:$H$451,$Z78)+SUMIFS(Dati!$L$2:$L$451,Dati!$H$2:$H$451,$H78,Dati!$A$2:$A$451,$Z78),"-")</f>
        <v/>
      </c>
      <c r="BK78" s="22">
        <f>IF(AND($H78&lt;&gt;"",$AA78&lt;&gt;"",$H78&lt;&gt;$AA78,IFERROR(VLOOKUP($H78,areaCercaPuntiClassificaSquadra,3,FALSE),-1)=IFERROR(VLOOKUP($AA78,areaCercaPuntiClassificaSquadra,3,FALSE),-2)),SUMIFS(Dati!$E$2:$E$451,Dati!$A$2:$A$451,$H78,Dati!$H$2:$H$451,$AA78)+SUMIFS(Dati!$L$2:$L$451,Dati!$H$2:$H$451,$H78,Dati!$A$2:$A$451,$AA78),"-")</f>
        <v/>
      </c>
      <c r="BL78" s="22">
        <f>IF(AND($H78&lt;&gt;"",$AB78&lt;&gt;"",$H78&lt;&gt;$AB78,IFERROR(VLOOKUP($H78,areaCercaPuntiClassificaSquadra,3,FALSE),-1)=IFERROR(VLOOKUP($AB78,areaCercaPuntiClassificaSquadra,3,FALSE),-2)),SUMIFS(Dati!$E$2:$E$451,Dati!$A$2:$A$451,$H78,Dati!$H$2:$H$451,$AB78)+SUMIFS(Dati!$L$2:$L$451,Dati!$H$2:$H$451,$H78,Dati!$A$2:$A$451,$AB78),"-")</f>
        <v/>
      </c>
      <c r="BM78" s="22">
        <f>IF(AND($H78&lt;&gt;"",$AC78&lt;&gt;"",$H78&lt;&gt;$AC78,IFERROR(VLOOKUP($H78,areaCercaPuntiClassificaSquadra,3,FALSE),-1)=IFERROR(VLOOKUP($AC78,areaCercaPuntiClassificaSquadra,3,FALSE),-2)),SUMIFS(Dati!$E$2:$E$451,Dati!$A$2:$A$451,$H78,Dati!$H$2:$H$451,$AC78)+SUMIFS(Dati!$L$2:$L$451,Dati!$H$2:$H$451,$H78,Dati!$A$2:$A$451,$AC78),"-")</f>
        <v/>
      </c>
      <c r="BN78" s="22">
        <f>IF(AND($H78&lt;&gt;"",$AD78&lt;&gt;"",$H78&lt;&gt;$AD78,IFERROR(VLOOKUP($H78,areaCercaPuntiClassificaSquadra,3,FALSE),-1)=IFERROR(VLOOKUP($AD78,areaCercaPuntiClassificaSquadra,3,FALSE),-2)),SUMIFS(Dati!$E$2:$E$451,Dati!$A$2:$A$451,$H78,Dati!$H$2:$H$451,$AD78)+SUMIFS(Dati!$L$2:$L$451,Dati!$H$2:$H$451,$H78,Dati!$A$2:$A$451,$AD78),"-")</f>
        <v/>
      </c>
      <c r="BO78" s="22">
        <f>IF(AND($H78&lt;&gt;"",$AE78&lt;&gt;"",$H78&lt;&gt;$AE78,IFERROR(VLOOKUP($H78,areaCercaPuntiClassificaSquadra,3,FALSE),-1)=IFERROR(VLOOKUP($AE78,areaCercaPuntiClassificaSquadra,3,FALSE),-2)),SUMIFS(Dati!$E$2:$E$451,Dati!$A$2:$A$451,$H78,Dati!$H$2:$H$451,$AE78)+SUMIFS(Dati!$L$2:$L$451,Dati!$H$2:$H$451,$H78,Dati!$A$2:$A$451,$AE78),"-")</f>
        <v/>
      </c>
      <c r="BP78" s="22">
        <f>IF(AND($H78&lt;&gt;"",$AF78&lt;&gt;"",$H78&lt;&gt;$AF78,IFERROR(VLOOKUP($H78,areaCercaPuntiClassificaSquadra,3,FALSE),-1)=IFERROR(VLOOKUP($AF78,areaCercaPuntiClassificaSquadra,3,FALSE),-2)),SUMIFS(Dati!$E$2:$E$451,Dati!$A$2:$A$451,$H78,Dati!$H$2:$H$451,$AF78)+SUMIFS(Dati!$L$2:$L$451,Dati!$H$2:$H$451,$H78,Dati!$A$2:$A$451,$AF78),"-")</f>
        <v/>
      </c>
      <c r="BQ78" s="22">
        <f>IF(AND($H78&lt;&gt;"",$AG78&lt;&gt;"",$H78&lt;&gt;$AG78,IFERROR(VLOOKUP($H78,areaCercaPuntiClassificaSquadra,3,FALSE),-1)=IFERROR(VLOOKUP($AG78,areaCercaPuntiClassificaSquadra,3,FALSE),-2)),SUMIFS(Dati!$E$2:$E$451,Dati!$A$2:$A$451,$H78,Dati!$H$2:$H$451,$AG78)+SUMIFS(Dati!$L$2:$L$451,Dati!$H$2:$H$451,$H78,Dati!$A$2:$A$451,$AG78),"-")</f>
        <v/>
      </c>
      <c r="BR78" s="22">
        <f>IF(AND($H78&lt;&gt;"",$AH78&lt;&gt;"",$H78&lt;&gt;$AH78,IFERROR(VLOOKUP($H78,areaCercaPuntiClassificaSquadra,3,FALSE),-1)=IFERROR(VLOOKUP($AH78,areaCercaPuntiClassificaSquadra,3,FALSE),-2)),SUMIFS(Dati!$E$2:$E$451,Dati!$A$2:$A$451,$H78,Dati!$H$2:$H$451,$AH78)+SUMIFS(Dati!$L$2:$L$451,Dati!$H$2:$H$451,$H78,Dati!$A$2:$A$451,$AH78),"-")</f>
        <v/>
      </c>
      <c r="BT78" s="21">
        <f>$C78</f>
        <v/>
      </c>
      <c r="BU78" s="22">
        <f>IF(AND($H78&lt;&gt;"",$Y78&lt;&gt;"",$H78&lt;&gt;$Y78,IFERROR(VLOOKUP($H78,areaCercaPuntiClassificaSquadra,3,FALSE),-1)=IFERROR(VLOOKUP($Y78,areaCercaPuntiClassificaSquadra,3,FALSE),-2)),SUMIFS(Dati!$F$2:$F$451,Dati!$A$2:$A$451,$H78,Dati!$H$2:$H$451,$Y78)+SUMIFS(Dati!$M$2:$M$451,Dati!$H$2:$H$451,$H78,Dati!$A$2:$A$451,$Y78),"-")</f>
        <v/>
      </c>
      <c r="BV78" s="22">
        <f>IF(AND($H78&lt;&gt;"",$Z78&lt;&gt;"",$H78&lt;&gt;$Z78,IFERROR(VLOOKUP($H78,areaCercaPuntiClassificaSquadra,3,FALSE),-1)=IFERROR(VLOOKUP($Z78,areaCercaPuntiClassificaSquadra,3,FALSE),-2)),SUMIFS(Dati!$F$2:$F$451,Dati!$A$2:$A$451,$H78,Dati!$H$2:$H$451,$Z78)+SUMIFS(Dati!$M$2:$M$451,Dati!$H$2:$H$451,$H78,Dati!$A$2:$A$451,$Z78),"-")</f>
        <v/>
      </c>
      <c r="BW78" s="22">
        <f>IF(AND($H78&lt;&gt;"",$AA78&lt;&gt;"",$H78&lt;&gt;$AA78,IFERROR(VLOOKUP($H78,areaCercaPuntiClassificaSquadra,3,FALSE),-1)=IFERROR(VLOOKUP($AA78,areaCercaPuntiClassificaSquadra,3,FALSE),-2)),SUMIFS(Dati!$F$2:$F$451,Dati!$A$2:$A$451,$H78,Dati!$H$2:$H$451,$AA78)+SUMIFS(Dati!$M$2:$M$451,Dati!$H$2:$H$451,$H78,Dati!$A$2:$A$451,$AA78),"-")</f>
        <v/>
      </c>
      <c r="BX78" s="22">
        <f>IF(AND($H78&lt;&gt;"",$AB78&lt;&gt;"",$H78&lt;&gt;$AB78,IFERROR(VLOOKUP($H78,areaCercaPuntiClassificaSquadra,3,FALSE),-1)=IFERROR(VLOOKUP($AB78,areaCercaPuntiClassificaSquadra,3,FALSE),-2)),SUMIFS(Dati!$F$2:$F$451,Dati!$A$2:$A$451,$H78,Dati!$H$2:$H$451,$AB78)+SUMIFS(Dati!$M$2:$M$451,Dati!$H$2:$H$451,$H78,Dati!$A$2:$A$451,$AB78),"-")</f>
        <v/>
      </c>
      <c r="BY78" s="22">
        <f>IF(AND($H78&lt;&gt;"",$AC78&lt;&gt;"",$H78&lt;&gt;$AC78,IFERROR(VLOOKUP($H78,areaCercaPuntiClassificaSquadra,3,FALSE),-1)=IFERROR(VLOOKUP($AC78,areaCercaPuntiClassificaSquadra,3,FALSE),-2)),SUMIFS(Dati!$F$2:$F$451,Dati!$A$2:$A$451,$H78,Dati!$H$2:$H$451,$AC78)+SUMIFS(Dati!$M$2:$M$451,Dati!$H$2:$H$451,$H78,Dati!$A$2:$A$451,$AC78),"-")</f>
        <v/>
      </c>
      <c r="BZ78" s="22">
        <f>IF(AND($H78&lt;&gt;"",$AD78&lt;&gt;"",$H78&lt;&gt;$AD78,IFERROR(VLOOKUP($H78,areaCercaPuntiClassificaSquadra,3,FALSE),-1)=IFERROR(VLOOKUP($AD78,areaCercaPuntiClassificaSquadra,3,FALSE),-2)),SUMIFS(Dati!$F$2:$F$451,Dati!$A$2:$A$451,$H78,Dati!$H$2:$H$451,$AD78)+SUMIFS(Dati!$M$2:$M$451,Dati!$H$2:$H$451,$H78,Dati!$A$2:$A$451,$AD78),"-")</f>
        <v/>
      </c>
      <c r="CA78" s="22">
        <f>IF(AND($H78&lt;&gt;"",$AE78&lt;&gt;"",$H78&lt;&gt;$AE78,IFERROR(VLOOKUP($H78,areaCercaPuntiClassificaSquadra,3,FALSE),-1)=IFERROR(VLOOKUP($AE78,areaCercaPuntiClassificaSquadra,3,FALSE),-2)),SUMIFS(Dati!$F$2:$F$451,Dati!$A$2:$A$451,$H78,Dati!$H$2:$H$451,$AE78)+SUMIFS(Dati!$M$2:$M$451,Dati!$H$2:$H$451,$H78,Dati!$A$2:$A$451,$AE78),"-")</f>
        <v/>
      </c>
      <c r="CB78" s="22">
        <f>IF(AND($H78&lt;&gt;"",$AF78&lt;&gt;"",$H78&lt;&gt;$AF78,IFERROR(VLOOKUP($H78,areaCercaPuntiClassificaSquadra,3,FALSE),-1)=IFERROR(VLOOKUP($AF78,areaCercaPuntiClassificaSquadra,3,FALSE),-2)),SUMIFS(Dati!$F$2:$F$451,Dati!$A$2:$A$451,$H78,Dati!$H$2:$H$451,$AF78)+SUMIFS(Dati!$M$2:$M$451,Dati!$H$2:$H$451,$H78,Dati!$A$2:$A$451,$AF78),"-")</f>
        <v/>
      </c>
      <c r="CC78" s="22">
        <f>IF(AND($H78&lt;&gt;"",$AG78&lt;&gt;"",$H78&lt;&gt;$AG78,IFERROR(VLOOKUP($H78,areaCercaPuntiClassificaSquadra,3,FALSE),-1)=IFERROR(VLOOKUP($AG78,areaCercaPuntiClassificaSquadra,3,FALSE),-2)),SUMIFS(Dati!$F$2:$F$451,Dati!$A$2:$A$451,$H78,Dati!$H$2:$H$451,$AG78)+SUMIFS(Dati!$M$2:$M$451,Dati!$H$2:$H$451,$H78,Dati!$A$2:$A$451,$AG78),"-")</f>
        <v/>
      </c>
      <c r="CD78" s="22">
        <f>IF(AND($H78&lt;&gt;"",$AH78&lt;&gt;"",$H78&lt;&gt;$AH78,IFERROR(VLOOKUP($H78,areaCercaPuntiClassificaSquadra,3,FALSE),-1)=IFERROR(VLOOKUP($AH78,areaCercaPuntiClassificaSquadra,3,FALSE),-2)),SUMIFS(Dati!$F$2:$F$451,Dati!$A$2:$A$451,$H78,Dati!$H$2:$H$451,$AH78)+SUMIFS(Dati!$M$2:$M$451,Dati!$H$2:$H$451,$H78,Dati!$A$2:$A$451,$AH78),"-")</f>
        <v/>
      </c>
      <c r="CF78" s="22">
        <f>IF($C78="","",SUM(AK78:AT78))</f>
        <v/>
      </c>
    </row>
    <row r="79">
      <c r="B79" s="12" t="inlineStr">
        <is>
          <t>G06</t>
        </is>
      </c>
      <c r="C79" s="13" t="n"/>
      <c r="D79" s="14" t="n"/>
      <c r="E79" s="33" t="inlineStr">
        <is>
          <t>G</t>
        </is>
      </c>
      <c r="G79" s="34">
        <f>IF($C79="","",$E79&amp;(COUNTIFS(I$14:I$113,"&gt;"&amp;I79,E$14:E$113,"="&amp;E79,C$14:C$113,"&lt;&gt;")+COUNTIFS(I$14:I$113,"="&amp;I79,H$14:H$113,"&lt;="&amp;H79,E$14:E$113,"="&amp;E79,C$14:C$113,"&lt;&gt;")))</f>
        <v/>
      </c>
      <c r="H79" s="17">
        <f>IF($C79="","",IFERROR(LEFT($C79,FIND("-",$C79)-1),$C79))</f>
        <v/>
      </c>
      <c r="I79" s="12">
        <f>TEXT(1000000000+J79,"|0000000000|")&amp;TEXT(SUM(AK79:AT79),"0000000000|")&amp;IF(SUM(BU79:CD79)=0,"0000000000|",TEXT(ROUND(SUM(BI79:BR79)/SUM(BU79:CD79),4)*100000,"0000000000|"))&amp;IF(P79=0,"0000000000|",TEXT(ROUND(O79/P79,4)*100000,"0000000000|"))</f>
        <v/>
      </c>
      <c r="J79" s="34">
        <f>L79*constPuntiVittoria+M79*constPuntiSconfitta+N79*constPuntiForfait+IF(D79="",0,D79)</f>
        <v/>
      </c>
      <c r="K79" s="12">
        <f>SUM(L79:N79)</f>
        <v/>
      </c>
      <c r="L79" s="12">
        <f>IF($H79="",0,SUMIF(Dati!$A$2:$A$451,$H79,Dati!$B$2:$B$451)+SUMIF(Dati!$H$2:$H$451,$H79,Dati!$I$2:$I$451))</f>
        <v/>
      </c>
      <c r="M79" s="12">
        <f>IF($H79="",0,SUMIF(Dati!$A$2:$A$451,$H79,Dati!$D$2:$D$451)+SUMIF(Dati!$H$2:$H$451,$H79,Dati!$K$2:$K$451))</f>
        <v/>
      </c>
      <c r="N79" s="12">
        <f>IF($H79="",0,SUMIF(Dati!$A$2:$A$451,$H79,Dati!$C$2:$C$451)+SUMIF(Dati!$H$2:$H$451,$H79,Dati!$J$2:$J$451))</f>
        <v/>
      </c>
      <c r="O79" s="12">
        <f>IF($H79="",0,SUMIF(Dati!$A$2:$A$451,$H79,Dati!$E$2:$E$451)+SUMIF(Dati!$H$2:$H$451,$H79,Dati!$L$2:$L$451))</f>
        <v/>
      </c>
      <c r="P79" s="12">
        <f>IF($H79="",0,SUMIF(Dati!$A$2:$A$451,$H79,Dati!$F$2:$F$451)+SUMIF(Dati!$H$2:$H$451,$H79,Dati!$M$2:$M$451))</f>
        <v/>
      </c>
      <c r="Q79" s="12">
        <f>IF($H79="",0,SUMIF(Dati!$A$2:$A$451,$H79,Dati!$G$2:$G$451)+SUMIF(Dati!$H$2:$H$451,$H79,Dati!$N$2:$N$451))</f>
        <v/>
      </c>
      <c r="R79" s="12">
        <f>IF(K79=0,0,ROUND(O79/K79,2))</f>
        <v/>
      </c>
      <c r="S79" s="12">
        <f>IF(K79=0,0,ROUND(P79/K79,2))</f>
        <v/>
      </c>
      <c r="T79" s="12">
        <f>IF(K79=0,0,ROUND(Q79/K79,2))</f>
        <v/>
      </c>
      <c r="U79" s="12">
        <f>IF(COUNTIFS($E$14:$E$113,$E79,$J$14:$J$113,$J79,$C$14:$C$113,"&lt;&gt;")&lt;=1,"-",SUM(AK79:AT79)&amp;"-"&amp;SUM(AW79:BF79))</f>
        <v/>
      </c>
      <c r="V79" s="18">
        <f>IF(COUNTIFS($E$14:$E$113,$E79,$J$14:$J$113,$J79,$C$14:$C$113,"&lt;&gt;",$CF$14:$CF$113,$CF79)&lt;=1,"-",IF(SUM(BU79:CD79)=0,0,ROUND(SUM(BI79:BR79)/SUM(BU79:CD79),3)))</f>
        <v/>
      </c>
      <c r="W79" s="18">
        <f>IF(COUNTIFS($E$14:$E$113,$E79,$J$14:$J$113,$J79,$C$14:$C$113,"&lt;&gt;",$CF$14:$CF$113,$CF79,$V$14:$V$113,$V79)&lt;=1,"-",IF(P79=0,0,ROUND(O79/P79,3)))</f>
        <v/>
      </c>
      <c r="X79" s="19">
        <f>IF($C79="","",$E79&amp;"#"&amp;COUNTIFS($E$14:$E79,$E79,$C$14:$C79,"&lt;&gt;"))</f>
        <v/>
      </c>
      <c r="Y79" s="20">
        <f>IFERROR(INDEX($H$14:$H$113,MATCH($E79&amp;"#1",$X$14:$X$113,0)),"")</f>
        <v/>
      </c>
      <c r="Z79" s="20">
        <f>IFERROR(INDEX($H$14:$H$113,MATCH($E79&amp;"#2",$X$14:$X$113,0)),"")</f>
        <v/>
      </c>
      <c r="AA79" s="20">
        <f>IFERROR(INDEX($H$14:$H$113,MATCH($E79&amp;"#3",$X$14:$X$113,0)),"")</f>
        <v/>
      </c>
      <c r="AB79" s="20">
        <f>IFERROR(INDEX($H$14:$H$113,MATCH($E79&amp;"#4",$X$14:$X$113,0)),"")</f>
        <v/>
      </c>
      <c r="AC79" s="20">
        <f>IFERROR(INDEX($H$14:$H$113,MATCH($E79&amp;"#5",$X$14:$X$113,0)),"")</f>
        <v/>
      </c>
      <c r="AD79" s="20">
        <f>IFERROR(INDEX($H$14:$H$113,MATCH($E79&amp;"#6",$X$14:$X$113,0)),"")</f>
        <v/>
      </c>
      <c r="AE79" s="20">
        <f>IFERROR(INDEX($H$14:$H$113,MATCH($E79&amp;"#7",$X$14:$X$113,0)),"")</f>
        <v/>
      </c>
      <c r="AF79" s="20">
        <f>IFERROR(INDEX($H$14:$H$113,MATCH($E79&amp;"#8",$X$14:$X$113,0)),"")</f>
        <v/>
      </c>
      <c r="AG79" s="20">
        <f>IFERROR(INDEX($H$14:$H$113,MATCH($E79&amp;"#9",$X$14:$X$113,0)),"")</f>
        <v/>
      </c>
      <c r="AH79" s="20">
        <f>IFERROR(INDEX($H$14:$H$113,MATCH($E79&amp;"#10",$X$14:$X$113,0)),"")</f>
        <v/>
      </c>
      <c r="AJ79" s="21">
        <f>$C79</f>
        <v/>
      </c>
      <c r="AK79" s="22">
        <f>IF(AND($H79&lt;&gt;"",$Y79&lt;&gt;"",$H79&lt;&gt;$Y79,IFERROR(VLOOKUP($H79,areaCercaPuntiClassificaSquadra,3,FALSE),-1)=IFERROR(VLOOKUP($Y79,areaCercaPuntiClassificaSquadra,3,FALSE),-2)),SUMIFS(Dati!$B$2:$B$451,Dati!$A$2:$A$451,$H79,Dati!$H$2:$H$451,$Y79)+SUMIFS(Dati!$I$2:$I$451,Dati!$H$2:$H$451,$H79,Dati!$A$2:$A$451,$Y79),"-")</f>
        <v/>
      </c>
      <c r="AL79" s="22">
        <f>IF(AND($H79&lt;&gt;"",$Z79&lt;&gt;"",$H79&lt;&gt;$Z79,IFERROR(VLOOKUP($H79,areaCercaPuntiClassificaSquadra,3,FALSE),-1)=IFERROR(VLOOKUP($Z79,areaCercaPuntiClassificaSquadra,3,FALSE),-2)),SUMIFS(Dati!$B$2:$B$451,Dati!$A$2:$A$451,$H79,Dati!$H$2:$H$451,$Z79)+SUMIFS(Dati!$I$2:$I$451,Dati!$H$2:$H$451,$H79,Dati!$A$2:$A$451,$Z79),"-")</f>
        <v/>
      </c>
      <c r="AM79" s="22">
        <f>IF(AND($H79&lt;&gt;"",$AA79&lt;&gt;"",$H79&lt;&gt;$AA79,IFERROR(VLOOKUP($H79,areaCercaPuntiClassificaSquadra,3,FALSE),-1)=IFERROR(VLOOKUP($AA79,areaCercaPuntiClassificaSquadra,3,FALSE),-2)),SUMIFS(Dati!$B$2:$B$451,Dati!$A$2:$A$451,$H79,Dati!$H$2:$H$451,$AA79)+SUMIFS(Dati!$I$2:$I$451,Dati!$H$2:$H$451,$H79,Dati!$A$2:$A$451,$AA79),"-")</f>
        <v/>
      </c>
      <c r="AN79" s="22">
        <f>IF(AND($H79&lt;&gt;"",$AB79&lt;&gt;"",$H79&lt;&gt;$AB79,IFERROR(VLOOKUP($H79,areaCercaPuntiClassificaSquadra,3,FALSE),-1)=IFERROR(VLOOKUP($AB79,areaCercaPuntiClassificaSquadra,3,FALSE),-2)),SUMIFS(Dati!$B$2:$B$451,Dati!$A$2:$A$451,$H79,Dati!$H$2:$H$451,$AB79)+SUMIFS(Dati!$I$2:$I$451,Dati!$H$2:$H$451,$H79,Dati!$A$2:$A$451,$AB79),"-")</f>
        <v/>
      </c>
      <c r="AO79" s="22">
        <f>IF(AND($H79&lt;&gt;"",$AC79&lt;&gt;"",$H79&lt;&gt;$AC79,IFERROR(VLOOKUP($H79,areaCercaPuntiClassificaSquadra,3,FALSE),-1)=IFERROR(VLOOKUP($AC79,areaCercaPuntiClassificaSquadra,3,FALSE),-2)),SUMIFS(Dati!$B$2:$B$451,Dati!$A$2:$A$451,$H79,Dati!$H$2:$H$451,$AC79)+SUMIFS(Dati!$I$2:$I$451,Dati!$H$2:$H$451,$H79,Dati!$A$2:$A$451,$AC79),"-")</f>
        <v/>
      </c>
      <c r="AP79" s="22">
        <f>IF(AND($H79&lt;&gt;"",$AD79&lt;&gt;"",$H79&lt;&gt;$AD79,IFERROR(VLOOKUP($H79,areaCercaPuntiClassificaSquadra,3,FALSE),-1)=IFERROR(VLOOKUP($AD79,areaCercaPuntiClassificaSquadra,3,FALSE),-2)),SUMIFS(Dati!$B$2:$B$451,Dati!$A$2:$A$451,$H79,Dati!$H$2:$H$451,$AD79)+SUMIFS(Dati!$I$2:$I$451,Dati!$H$2:$H$451,$H79,Dati!$A$2:$A$451,$AD79),"-")</f>
        <v/>
      </c>
      <c r="AQ79" s="22">
        <f>IF(AND($H79&lt;&gt;"",$AE79&lt;&gt;"",$H79&lt;&gt;$AE79,IFERROR(VLOOKUP($H79,areaCercaPuntiClassificaSquadra,3,FALSE),-1)=IFERROR(VLOOKUP($AE79,areaCercaPuntiClassificaSquadra,3,FALSE),-2)),SUMIFS(Dati!$B$2:$B$451,Dati!$A$2:$A$451,$H79,Dati!$H$2:$H$451,$AE79)+SUMIFS(Dati!$I$2:$I$451,Dati!$H$2:$H$451,$H79,Dati!$A$2:$A$451,$AE79),"-")</f>
        <v/>
      </c>
      <c r="AR79" s="22">
        <f>IF(AND($H79&lt;&gt;"",$AF79&lt;&gt;"",$H79&lt;&gt;$AF79,IFERROR(VLOOKUP($H79,areaCercaPuntiClassificaSquadra,3,FALSE),-1)=IFERROR(VLOOKUP($AF79,areaCercaPuntiClassificaSquadra,3,FALSE),-2)),SUMIFS(Dati!$B$2:$B$451,Dati!$A$2:$A$451,$H79,Dati!$H$2:$H$451,$AF79)+SUMIFS(Dati!$I$2:$I$451,Dati!$H$2:$H$451,$H79,Dati!$A$2:$A$451,$AF79),"-")</f>
        <v/>
      </c>
      <c r="AS79" s="22">
        <f>IF(AND($H79&lt;&gt;"",$AG79&lt;&gt;"",$H79&lt;&gt;$AG79,IFERROR(VLOOKUP($H79,areaCercaPuntiClassificaSquadra,3,FALSE),-1)=IFERROR(VLOOKUP($AG79,areaCercaPuntiClassificaSquadra,3,FALSE),-2)),SUMIFS(Dati!$B$2:$B$451,Dati!$A$2:$A$451,$H79,Dati!$H$2:$H$451,$AG79)+SUMIFS(Dati!$I$2:$I$451,Dati!$H$2:$H$451,$H79,Dati!$A$2:$A$451,$AG79),"-")</f>
        <v/>
      </c>
      <c r="AT79" s="22">
        <f>IF(AND($H79&lt;&gt;"",$AH79&lt;&gt;"",$H79&lt;&gt;$AH79,IFERROR(VLOOKUP($H79,areaCercaPuntiClassificaSquadra,3,FALSE),-1)=IFERROR(VLOOKUP($AH79,areaCercaPuntiClassificaSquadra,3,FALSE),-2)),SUMIFS(Dati!$B$2:$B$451,Dati!$A$2:$A$451,$H79,Dati!$H$2:$H$451,$AH79)+SUMIFS(Dati!$I$2:$I$451,Dati!$H$2:$H$451,$H79,Dati!$A$2:$A$451,$AH79),"-")</f>
        <v/>
      </c>
      <c r="AV79" s="21">
        <f>$C79</f>
        <v/>
      </c>
      <c r="AW79" s="22">
        <f>IF(AND($H79&lt;&gt;"",$Y79&lt;&gt;"",$H79&lt;&gt;$Y79,IFERROR(VLOOKUP($H79,areaCercaPuntiClassificaSquadra,3,FALSE),-1)=IFERROR(VLOOKUP($Y79,areaCercaPuntiClassificaSquadra,3,FALSE),-2)),SUMIFS(Dati!$D$2:$D$451,Dati!$A$2:$A$451,$H79,Dati!$H$2:$H$451,$Y79)+SUMIFS(Dati!$K$2:$K$451,Dati!$H$2:$H$451,$H79,Dati!$A$2:$A$451,$Y79)+SUMIFS(Dati!$C$2:$C$451,Dati!$A$2:$A$451,$H79,Dati!$H$2:$H$451,$Y79)+SUMIFS(Dati!$J$2:$J$451,Dati!$H$2:$H$451,$H79,Dati!$A$2:$A$451,$Y79),"-")</f>
        <v/>
      </c>
      <c r="AX79" s="22">
        <f>IF(AND($H79&lt;&gt;"",$Z79&lt;&gt;"",$H79&lt;&gt;$Z79,IFERROR(VLOOKUP($H79,areaCercaPuntiClassificaSquadra,3,FALSE),-1)=IFERROR(VLOOKUP($Z79,areaCercaPuntiClassificaSquadra,3,FALSE),-2)),SUMIFS(Dati!$D$2:$D$451,Dati!$A$2:$A$451,$H79,Dati!$H$2:$H$451,$Z79)+SUMIFS(Dati!$K$2:$K$451,Dati!$H$2:$H$451,$H79,Dati!$A$2:$A$451,$Z79)+SUMIFS(Dati!$C$2:$C$451,Dati!$A$2:$A$451,$H79,Dati!$H$2:$H$451,$Z79)+SUMIFS(Dati!$J$2:$J$451,Dati!$H$2:$H$451,$H79,Dati!$A$2:$A$451,$Z79),"-")</f>
        <v/>
      </c>
      <c r="AY79" s="22">
        <f>IF(AND($H79&lt;&gt;"",$AA79&lt;&gt;"",$H79&lt;&gt;$AA79,IFERROR(VLOOKUP($H79,areaCercaPuntiClassificaSquadra,3,FALSE),-1)=IFERROR(VLOOKUP($AA79,areaCercaPuntiClassificaSquadra,3,FALSE),-2)),SUMIFS(Dati!$D$2:$D$451,Dati!$A$2:$A$451,$H79,Dati!$H$2:$H$451,$AA79)+SUMIFS(Dati!$K$2:$K$451,Dati!$H$2:$H$451,$H79,Dati!$A$2:$A$451,$AA79)+SUMIFS(Dati!$C$2:$C$451,Dati!$A$2:$A$451,$H79,Dati!$H$2:$H$451,$AA79)+SUMIFS(Dati!$J$2:$J$451,Dati!$H$2:$H$451,$H79,Dati!$A$2:$A$451,$AA79),"-")</f>
        <v/>
      </c>
      <c r="AZ79" s="22">
        <f>IF(AND($H79&lt;&gt;"",$AB79&lt;&gt;"",$H79&lt;&gt;$AB79,IFERROR(VLOOKUP($H79,areaCercaPuntiClassificaSquadra,3,FALSE),-1)=IFERROR(VLOOKUP($AB79,areaCercaPuntiClassificaSquadra,3,FALSE),-2)),SUMIFS(Dati!$D$2:$D$451,Dati!$A$2:$A$451,$H79,Dati!$H$2:$H$451,$AB79)+SUMIFS(Dati!$K$2:$K$451,Dati!$H$2:$H$451,$H79,Dati!$A$2:$A$451,$AB79)+SUMIFS(Dati!$C$2:$C$451,Dati!$A$2:$A$451,$H79,Dati!$H$2:$H$451,$AB79)+SUMIFS(Dati!$J$2:$J$451,Dati!$H$2:$H$451,$H79,Dati!$A$2:$A$451,$AB79),"-")</f>
        <v/>
      </c>
      <c r="BA79" s="22">
        <f>IF(AND($H79&lt;&gt;"",$AC79&lt;&gt;"",$H79&lt;&gt;$AC79,IFERROR(VLOOKUP($H79,areaCercaPuntiClassificaSquadra,3,FALSE),-1)=IFERROR(VLOOKUP($AC79,areaCercaPuntiClassificaSquadra,3,FALSE),-2)),SUMIFS(Dati!$D$2:$D$451,Dati!$A$2:$A$451,$H79,Dati!$H$2:$H$451,$AC79)+SUMIFS(Dati!$K$2:$K$451,Dati!$H$2:$H$451,$H79,Dati!$A$2:$A$451,$AC79)+SUMIFS(Dati!$C$2:$C$451,Dati!$A$2:$A$451,$H79,Dati!$H$2:$H$451,$AC79)+SUMIFS(Dati!$J$2:$J$451,Dati!$H$2:$H$451,$H79,Dati!$A$2:$A$451,$AC79),"-")</f>
        <v/>
      </c>
      <c r="BB79" s="22">
        <f>IF(AND($H79&lt;&gt;"",$AD79&lt;&gt;"",$H79&lt;&gt;$AD79,IFERROR(VLOOKUP($H79,areaCercaPuntiClassificaSquadra,3,FALSE),-1)=IFERROR(VLOOKUP($AD79,areaCercaPuntiClassificaSquadra,3,FALSE),-2)),SUMIFS(Dati!$D$2:$D$451,Dati!$A$2:$A$451,$H79,Dati!$H$2:$H$451,$AD79)+SUMIFS(Dati!$K$2:$K$451,Dati!$H$2:$H$451,$H79,Dati!$A$2:$A$451,$AD79)+SUMIFS(Dati!$C$2:$C$451,Dati!$A$2:$A$451,$H79,Dati!$H$2:$H$451,$AD79)+SUMIFS(Dati!$J$2:$J$451,Dati!$H$2:$H$451,$H79,Dati!$A$2:$A$451,$AD79),"-")</f>
        <v/>
      </c>
      <c r="BC79" s="22">
        <f>IF(AND($H79&lt;&gt;"",$AE79&lt;&gt;"",$H79&lt;&gt;$AE79,IFERROR(VLOOKUP($H79,areaCercaPuntiClassificaSquadra,3,FALSE),-1)=IFERROR(VLOOKUP($AE79,areaCercaPuntiClassificaSquadra,3,FALSE),-2)),SUMIFS(Dati!$D$2:$D$451,Dati!$A$2:$A$451,$H79,Dati!$H$2:$H$451,$AE79)+SUMIFS(Dati!$K$2:$K$451,Dati!$H$2:$H$451,$H79,Dati!$A$2:$A$451,$AE79)+SUMIFS(Dati!$C$2:$C$451,Dati!$A$2:$A$451,$H79,Dati!$H$2:$H$451,$AE79)+SUMIFS(Dati!$J$2:$J$451,Dati!$H$2:$H$451,$H79,Dati!$A$2:$A$451,$AE79),"-")</f>
        <v/>
      </c>
      <c r="BD79" s="22">
        <f>IF(AND($H79&lt;&gt;"",$AF79&lt;&gt;"",$H79&lt;&gt;$AF79,IFERROR(VLOOKUP($H79,areaCercaPuntiClassificaSquadra,3,FALSE),-1)=IFERROR(VLOOKUP($AF79,areaCercaPuntiClassificaSquadra,3,FALSE),-2)),SUMIFS(Dati!$D$2:$D$451,Dati!$A$2:$A$451,$H79,Dati!$H$2:$H$451,$AF79)+SUMIFS(Dati!$K$2:$K$451,Dati!$H$2:$H$451,$H79,Dati!$A$2:$A$451,$AF79)+SUMIFS(Dati!$C$2:$C$451,Dati!$A$2:$A$451,$H79,Dati!$H$2:$H$451,$AF79)+SUMIFS(Dati!$J$2:$J$451,Dati!$H$2:$H$451,$H79,Dati!$A$2:$A$451,$AF79),"-")</f>
        <v/>
      </c>
      <c r="BE79" s="22">
        <f>IF(AND($H79&lt;&gt;"",$AG79&lt;&gt;"",$H79&lt;&gt;$AG79,IFERROR(VLOOKUP($H79,areaCercaPuntiClassificaSquadra,3,FALSE),-1)=IFERROR(VLOOKUP($AG79,areaCercaPuntiClassificaSquadra,3,FALSE),-2)),SUMIFS(Dati!$D$2:$D$451,Dati!$A$2:$A$451,$H79,Dati!$H$2:$H$451,$AG79)+SUMIFS(Dati!$K$2:$K$451,Dati!$H$2:$H$451,$H79,Dati!$A$2:$A$451,$AG79)+SUMIFS(Dati!$C$2:$C$451,Dati!$A$2:$A$451,$H79,Dati!$H$2:$H$451,$AG79)+SUMIFS(Dati!$J$2:$J$451,Dati!$H$2:$H$451,$H79,Dati!$A$2:$A$451,$AG79),"-")</f>
        <v/>
      </c>
      <c r="BF79" s="22">
        <f>IF(AND($H79&lt;&gt;"",$AH79&lt;&gt;"",$H79&lt;&gt;$AH79,IFERROR(VLOOKUP($H79,areaCercaPuntiClassificaSquadra,3,FALSE),-1)=IFERROR(VLOOKUP($AH79,areaCercaPuntiClassificaSquadra,3,FALSE),-2)),SUMIFS(Dati!$D$2:$D$451,Dati!$A$2:$A$451,$H79,Dati!$H$2:$H$451,$AH79)+SUMIFS(Dati!$K$2:$K$451,Dati!$H$2:$H$451,$H79,Dati!$A$2:$A$451,$AH79)+SUMIFS(Dati!$C$2:$C$451,Dati!$A$2:$A$451,$H79,Dati!$H$2:$H$451,$AH79)+SUMIFS(Dati!$J$2:$J$451,Dati!$H$2:$H$451,$H79,Dati!$A$2:$A$451,$AH79),"-")</f>
        <v/>
      </c>
      <c r="BH79" s="21">
        <f>$C79</f>
        <v/>
      </c>
      <c r="BI79" s="22">
        <f>IF(AND($H79&lt;&gt;"",$Y79&lt;&gt;"",$H79&lt;&gt;$Y79,IFERROR(VLOOKUP($H79,areaCercaPuntiClassificaSquadra,3,FALSE),-1)=IFERROR(VLOOKUP($Y79,areaCercaPuntiClassificaSquadra,3,FALSE),-2)),SUMIFS(Dati!$E$2:$E$451,Dati!$A$2:$A$451,$H79,Dati!$H$2:$H$451,$Y79)+SUMIFS(Dati!$L$2:$L$451,Dati!$H$2:$H$451,$H79,Dati!$A$2:$A$451,$Y79),"-")</f>
        <v/>
      </c>
      <c r="BJ79" s="22">
        <f>IF(AND($H79&lt;&gt;"",$Z79&lt;&gt;"",$H79&lt;&gt;$Z79,IFERROR(VLOOKUP($H79,areaCercaPuntiClassificaSquadra,3,FALSE),-1)=IFERROR(VLOOKUP($Z79,areaCercaPuntiClassificaSquadra,3,FALSE),-2)),SUMIFS(Dati!$E$2:$E$451,Dati!$A$2:$A$451,$H79,Dati!$H$2:$H$451,$Z79)+SUMIFS(Dati!$L$2:$L$451,Dati!$H$2:$H$451,$H79,Dati!$A$2:$A$451,$Z79),"-")</f>
        <v/>
      </c>
      <c r="BK79" s="22">
        <f>IF(AND($H79&lt;&gt;"",$AA79&lt;&gt;"",$H79&lt;&gt;$AA79,IFERROR(VLOOKUP($H79,areaCercaPuntiClassificaSquadra,3,FALSE),-1)=IFERROR(VLOOKUP($AA79,areaCercaPuntiClassificaSquadra,3,FALSE),-2)),SUMIFS(Dati!$E$2:$E$451,Dati!$A$2:$A$451,$H79,Dati!$H$2:$H$451,$AA79)+SUMIFS(Dati!$L$2:$L$451,Dati!$H$2:$H$451,$H79,Dati!$A$2:$A$451,$AA79),"-")</f>
        <v/>
      </c>
      <c r="BL79" s="22">
        <f>IF(AND($H79&lt;&gt;"",$AB79&lt;&gt;"",$H79&lt;&gt;$AB79,IFERROR(VLOOKUP($H79,areaCercaPuntiClassificaSquadra,3,FALSE),-1)=IFERROR(VLOOKUP($AB79,areaCercaPuntiClassificaSquadra,3,FALSE),-2)),SUMIFS(Dati!$E$2:$E$451,Dati!$A$2:$A$451,$H79,Dati!$H$2:$H$451,$AB79)+SUMIFS(Dati!$L$2:$L$451,Dati!$H$2:$H$451,$H79,Dati!$A$2:$A$451,$AB79),"-")</f>
        <v/>
      </c>
      <c r="BM79" s="22">
        <f>IF(AND($H79&lt;&gt;"",$AC79&lt;&gt;"",$H79&lt;&gt;$AC79,IFERROR(VLOOKUP($H79,areaCercaPuntiClassificaSquadra,3,FALSE),-1)=IFERROR(VLOOKUP($AC79,areaCercaPuntiClassificaSquadra,3,FALSE),-2)),SUMIFS(Dati!$E$2:$E$451,Dati!$A$2:$A$451,$H79,Dati!$H$2:$H$451,$AC79)+SUMIFS(Dati!$L$2:$L$451,Dati!$H$2:$H$451,$H79,Dati!$A$2:$A$451,$AC79),"-")</f>
        <v/>
      </c>
      <c r="BN79" s="22">
        <f>IF(AND($H79&lt;&gt;"",$AD79&lt;&gt;"",$H79&lt;&gt;$AD79,IFERROR(VLOOKUP($H79,areaCercaPuntiClassificaSquadra,3,FALSE),-1)=IFERROR(VLOOKUP($AD79,areaCercaPuntiClassificaSquadra,3,FALSE),-2)),SUMIFS(Dati!$E$2:$E$451,Dati!$A$2:$A$451,$H79,Dati!$H$2:$H$451,$AD79)+SUMIFS(Dati!$L$2:$L$451,Dati!$H$2:$H$451,$H79,Dati!$A$2:$A$451,$AD79),"-")</f>
        <v/>
      </c>
      <c r="BO79" s="22">
        <f>IF(AND($H79&lt;&gt;"",$AE79&lt;&gt;"",$H79&lt;&gt;$AE79,IFERROR(VLOOKUP($H79,areaCercaPuntiClassificaSquadra,3,FALSE),-1)=IFERROR(VLOOKUP($AE79,areaCercaPuntiClassificaSquadra,3,FALSE),-2)),SUMIFS(Dati!$E$2:$E$451,Dati!$A$2:$A$451,$H79,Dati!$H$2:$H$451,$AE79)+SUMIFS(Dati!$L$2:$L$451,Dati!$H$2:$H$451,$H79,Dati!$A$2:$A$451,$AE79),"-")</f>
        <v/>
      </c>
      <c r="BP79" s="22">
        <f>IF(AND($H79&lt;&gt;"",$AF79&lt;&gt;"",$H79&lt;&gt;$AF79,IFERROR(VLOOKUP($H79,areaCercaPuntiClassificaSquadra,3,FALSE),-1)=IFERROR(VLOOKUP($AF79,areaCercaPuntiClassificaSquadra,3,FALSE),-2)),SUMIFS(Dati!$E$2:$E$451,Dati!$A$2:$A$451,$H79,Dati!$H$2:$H$451,$AF79)+SUMIFS(Dati!$L$2:$L$451,Dati!$H$2:$H$451,$H79,Dati!$A$2:$A$451,$AF79),"-")</f>
        <v/>
      </c>
      <c r="BQ79" s="22">
        <f>IF(AND($H79&lt;&gt;"",$AG79&lt;&gt;"",$H79&lt;&gt;$AG79,IFERROR(VLOOKUP($H79,areaCercaPuntiClassificaSquadra,3,FALSE),-1)=IFERROR(VLOOKUP($AG79,areaCercaPuntiClassificaSquadra,3,FALSE),-2)),SUMIFS(Dati!$E$2:$E$451,Dati!$A$2:$A$451,$H79,Dati!$H$2:$H$451,$AG79)+SUMIFS(Dati!$L$2:$L$451,Dati!$H$2:$H$451,$H79,Dati!$A$2:$A$451,$AG79),"-")</f>
        <v/>
      </c>
      <c r="BR79" s="22">
        <f>IF(AND($H79&lt;&gt;"",$AH79&lt;&gt;"",$H79&lt;&gt;$AH79,IFERROR(VLOOKUP($H79,areaCercaPuntiClassificaSquadra,3,FALSE),-1)=IFERROR(VLOOKUP($AH79,areaCercaPuntiClassificaSquadra,3,FALSE),-2)),SUMIFS(Dati!$E$2:$E$451,Dati!$A$2:$A$451,$H79,Dati!$H$2:$H$451,$AH79)+SUMIFS(Dati!$L$2:$L$451,Dati!$H$2:$H$451,$H79,Dati!$A$2:$A$451,$AH79),"-")</f>
        <v/>
      </c>
      <c r="BT79" s="21">
        <f>$C79</f>
        <v/>
      </c>
      <c r="BU79" s="22">
        <f>IF(AND($H79&lt;&gt;"",$Y79&lt;&gt;"",$H79&lt;&gt;$Y79,IFERROR(VLOOKUP($H79,areaCercaPuntiClassificaSquadra,3,FALSE),-1)=IFERROR(VLOOKUP($Y79,areaCercaPuntiClassificaSquadra,3,FALSE),-2)),SUMIFS(Dati!$F$2:$F$451,Dati!$A$2:$A$451,$H79,Dati!$H$2:$H$451,$Y79)+SUMIFS(Dati!$M$2:$M$451,Dati!$H$2:$H$451,$H79,Dati!$A$2:$A$451,$Y79),"-")</f>
        <v/>
      </c>
      <c r="BV79" s="22">
        <f>IF(AND($H79&lt;&gt;"",$Z79&lt;&gt;"",$H79&lt;&gt;$Z79,IFERROR(VLOOKUP($H79,areaCercaPuntiClassificaSquadra,3,FALSE),-1)=IFERROR(VLOOKUP($Z79,areaCercaPuntiClassificaSquadra,3,FALSE),-2)),SUMIFS(Dati!$F$2:$F$451,Dati!$A$2:$A$451,$H79,Dati!$H$2:$H$451,$Z79)+SUMIFS(Dati!$M$2:$M$451,Dati!$H$2:$H$451,$H79,Dati!$A$2:$A$451,$Z79),"-")</f>
        <v/>
      </c>
      <c r="BW79" s="22">
        <f>IF(AND($H79&lt;&gt;"",$AA79&lt;&gt;"",$H79&lt;&gt;$AA79,IFERROR(VLOOKUP($H79,areaCercaPuntiClassificaSquadra,3,FALSE),-1)=IFERROR(VLOOKUP($AA79,areaCercaPuntiClassificaSquadra,3,FALSE),-2)),SUMIFS(Dati!$F$2:$F$451,Dati!$A$2:$A$451,$H79,Dati!$H$2:$H$451,$AA79)+SUMIFS(Dati!$M$2:$M$451,Dati!$H$2:$H$451,$H79,Dati!$A$2:$A$451,$AA79),"-")</f>
        <v/>
      </c>
      <c r="BX79" s="22">
        <f>IF(AND($H79&lt;&gt;"",$AB79&lt;&gt;"",$H79&lt;&gt;$AB79,IFERROR(VLOOKUP($H79,areaCercaPuntiClassificaSquadra,3,FALSE),-1)=IFERROR(VLOOKUP($AB79,areaCercaPuntiClassificaSquadra,3,FALSE),-2)),SUMIFS(Dati!$F$2:$F$451,Dati!$A$2:$A$451,$H79,Dati!$H$2:$H$451,$AB79)+SUMIFS(Dati!$M$2:$M$451,Dati!$H$2:$H$451,$H79,Dati!$A$2:$A$451,$AB79),"-")</f>
        <v/>
      </c>
      <c r="BY79" s="22">
        <f>IF(AND($H79&lt;&gt;"",$AC79&lt;&gt;"",$H79&lt;&gt;$AC79,IFERROR(VLOOKUP($H79,areaCercaPuntiClassificaSquadra,3,FALSE),-1)=IFERROR(VLOOKUP($AC79,areaCercaPuntiClassificaSquadra,3,FALSE),-2)),SUMIFS(Dati!$F$2:$F$451,Dati!$A$2:$A$451,$H79,Dati!$H$2:$H$451,$AC79)+SUMIFS(Dati!$M$2:$M$451,Dati!$H$2:$H$451,$H79,Dati!$A$2:$A$451,$AC79),"-")</f>
        <v/>
      </c>
      <c r="BZ79" s="22">
        <f>IF(AND($H79&lt;&gt;"",$AD79&lt;&gt;"",$H79&lt;&gt;$AD79,IFERROR(VLOOKUP($H79,areaCercaPuntiClassificaSquadra,3,FALSE),-1)=IFERROR(VLOOKUP($AD79,areaCercaPuntiClassificaSquadra,3,FALSE),-2)),SUMIFS(Dati!$F$2:$F$451,Dati!$A$2:$A$451,$H79,Dati!$H$2:$H$451,$AD79)+SUMIFS(Dati!$M$2:$M$451,Dati!$H$2:$H$451,$H79,Dati!$A$2:$A$451,$AD79),"-")</f>
        <v/>
      </c>
      <c r="CA79" s="22">
        <f>IF(AND($H79&lt;&gt;"",$AE79&lt;&gt;"",$H79&lt;&gt;$AE79,IFERROR(VLOOKUP($H79,areaCercaPuntiClassificaSquadra,3,FALSE),-1)=IFERROR(VLOOKUP($AE79,areaCercaPuntiClassificaSquadra,3,FALSE),-2)),SUMIFS(Dati!$F$2:$F$451,Dati!$A$2:$A$451,$H79,Dati!$H$2:$H$451,$AE79)+SUMIFS(Dati!$M$2:$M$451,Dati!$H$2:$H$451,$H79,Dati!$A$2:$A$451,$AE79),"-")</f>
        <v/>
      </c>
      <c r="CB79" s="22">
        <f>IF(AND($H79&lt;&gt;"",$AF79&lt;&gt;"",$H79&lt;&gt;$AF79,IFERROR(VLOOKUP($H79,areaCercaPuntiClassificaSquadra,3,FALSE),-1)=IFERROR(VLOOKUP($AF79,areaCercaPuntiClassificaSquadra,3,FALSE),-2)),SUMIFS(Dati!$F$2:$F$451,Dati!$A$2:$A$451,$H79,Dati!$H$2:$H$451,$AF79)+SUMIFS(Dati!$M$2:$M$451,Dati!$H$2:$H$451,$H79,Dati!$A$2:$A$451,$AF79),"-")</f>
        <v/>
      </c>
      <c r="CC79" s="22">
        <f>IF(AND($H79&lt;&gt;"",$AG79&lt;&gt;"",$H79&lt;&gt;$AG79,IFERROR(VLOOKUP($H79,areaCercaPuntiClassificaSquadra,3,FALSE),-1)=IFERROR(VLOOKUP($AG79,areaCercaPuntiClassificaSquadra,3,FALSE),-2)),SUMIFS(Dati!$F$2:$F$451,Dati!$A$2:$A$451,$H79,Dati!$H$2:$H$451,$AG79)+SUMIFS(Dati!$M$2:$M$451,Dati!$H$2:$H$451,$H79,Dati!$A$2:$A$451,$AG79),"-")</f>
        <v/>
      </c>
      <c r="CD79" s="22">
        <f>IF(AND($H79&lt;&gt;"",$AH79&lt;&gt;"",$H79&lt;&gt;$AH79,IFERROR(VLOOKUP($H79,areaCercaPuntiClassificaSquadra,3,FALSE),-1)=IFERROR(VLOOKUP($AH79,areaCercaPuntiClassificaSquadra,3,FALSE),-2)),SUMIFS(Dati!$F$2:$F$451,Dati!$A$2:$A$451,$H79,Dati!$H$2:$H$451,$AH79)+SUMIFS(Dati!$M$2:$M$451,Dati!$H$2:$H$451,$H79,Dati!$A$2:$A$451,$AH79),"-")</f>
        <v/>
      </c>
      <c r="CF79" s="22">
        <f>IF($C79="","",SUM(AK79:AT79))</f>
        <v/>
      </c>
    </row>
    <row r="80">
      <c r="B80" s="12" t="inlineStr">
        <is>
          <t>G07</t>
        </is>
      </c>
      <c r="C80" s="13" t="n"/>
      <c r="D80" s="14" t="n"/>
      <c r="E80" s="33" t="inlineStr">
        <is>
          <t>G</t>
        </is>
      </c>
      <c r="G80" s="34">
        <f>IF($C80="","",$E80&amp;(COUNTIFS(I$14:I$113,"&gt;"&amp;I80,E$14:E$113,"="&amp;E80,C$14:C$113,"&lt;&gt;")+COUNTIFS(I$14:I$113,"="&amp;I80,H$14:H$113,"&lt;="&amp;H80,E$14:E$113,"="&amp;E80,C$14:C$113,"&lt;&gt;")))</f>
        <v/>
      </c>
      <c r="H80" s="17">
        <f>IF($C80="","",IFERROR(LEFT($C80,FIND("-",$C80)-1),$C80))</f>
        <v/>
      </c>
      <c r="I80" s="12">
        <f>TEXT(1000000000+J80,"|0000000000|")&amp;TEXT(SUM(AK80:AT80),"0000000000|")&amp;IF(SUM(BU80:CD80)=0,"0000000000|",TEXT(ROUND(SUM(BI80:BR80)/SUM(BU80:CD80),4)*100000,"0000000000|"))&amp;IF(P80=0,"0000000000|",TEXT(ROUND(O80/P80,4)*100000,"0000000000|"))</f>
        <v/>
      </c>
      <c r="J80" s="34">
        <f>L80*constPuntiVittoria+M80*constPuntiSconfitta+N80*constPuntiForfait+IF(D80="",0,D80)</f>
        <v/>
      </c>
      <c r="K80" s="12">
        <f>SUM(L80:N80)</f>
        <v/>
      </c>
      <c r="L80" s="12">
        <f>IF($H80="",0,SUMIF(Dati!$A$2:$A$451,$H80,Dati!$B$2:$B$451)+SUMIF(Dati!$H$2:$H$451,$H80,Dati!$I$2:$I$451))</f>
        <v/>
      </c>
      <c r="M80" s="12">
        <f>IF($H80="",0,SUMIF(Dati!$A$2:$A$451,$H80,Dati!$D$2:$D$451)+SUMIF(Dati!$H$2:$H$451,$H80,Dati!$K$2:$K$451))</f>
        <v/>
      </c>
      <c r="N80" s="12">
        <f>IF($H80="",0,SUMIF(Dati!$A$2:$A$451,$H80,Dati!$C$2:$C$451)+SUMIF(Dati!$H$2:$H$451,$H80,Dati!$J$2:$J$451))</f>
        <v/>
      </c>
      <c r="O80" s="12">
        <f>IF($H80="",0,SUMIF(Dati!$A$2:$A$451,$H80,Dati!$E$2:$E$451)+SUMIF(Dati!$H$2:$H$451,$H80,Dati!$L$2:$L$451))</f>
        <v/>
      </c>
      <c r="P80" s="12">
        <f>IF($H80="",0,SUMIF(Dati!$A$2:$A$451,$H80,Dati!$F$2:$F$451)+SUMIF(Dati!$H$2:$H$451,$H80,Dati!$M$2:$M$451))</f>
        <v/>
      </c>
      <c r="Q80" s="12">
        <f>IF($H80="",0,SUMIF(Dati!$A$2:$A$451,$H80,Dati!$G$2:$G$451)+SUMIF(Dati!$H$2:$H$451,$H80,Dati!$N$2:$N$451))</f>
        <v/>
      </c>
      <c r="R80" s="12">
        <f>IF(K80=0,0,ROUND(O80/K80,2))</f>
        <v/>
      </c>
      <c r="S80" s="12">
        <f>IF(K80=0,0,ROUND(P80/K80,2))</f>
        <v/>
      </c>
      <c r="T80" s="12">
        <f>IF(K80=0,0,ROUND(Q80/K80,2))</f>
        <v/>
      </c>
      <c r="U80" s="12">
        <f>IF(COUNTIFS($E$14:$E$113,$E80,$J$14:$J$113,$J80,$C$14:$C$113,"&lt;&gt;")&lt;=1,"-",SUM(AK80:AT80)&amp;"-"&amp;SUM(AW80:BF80))</f>
        <v/>
      </c>
      <c r="V80" s="18">
        <f>IF(COUNTIFS($E$14:$E$113,$E80,$J$14:$J$113,$J80,$C$14:$C$113,"&lt;&gt;",$CF$14:$CF$113,$CF80)&lt;=1,"-",IF(SUM(BU80:CD80)=0,0,ROUND(SUM(BI80:BR80)/SUM(BU80:CD80),3)))</f>
        <v/>
      </c>
      <c r="W80" s="18">
        <f>IF(COUNTIFS($E$14:$E$113,$E80,$J$14:$J$113,$J80,$C$14:$C$113,"&lt;&gt;",$CF$14:$CF$113,$CF80,$V$14:$V$113,$V80)&lt;=1,"-",IF(P80=0,0,ROUND(O80/P80,3)))</f>
        <v/>
      </c>
      <c r="X80" s="19">
        <f>IF($C80="","",$E80&amp;"#"&amp;COUNTIFS($E$14:$E80,$E80,$C$14:$C80,"&lt;&gt;"))</f>
        <v/>
      </c>
      <c r="Y80" s="20">
        <f>IFERROR(INDEX($H$14:$H$113,MATCH($E80&amp;"#1",$X$14:$X$113,0)),"")</f>
        <v/>
      </c>
      <c r="Z80" s="20">
        <f>IFERROR(INDEX($H$14:$H$113,MATCH($E80&amp;"#2",$X$14:$X$113,0)),"")</f>
        <v/>
      </c>
      <c r="AA80" s="20">
        <f>IFERROR(INDEX($H$14:$H$113,MATCH($E80&amp;"#3",$X$14:$X$113,0)),"")</f>
        <v/>
      </c>
      <c r="AB80" s="20">
        <f>IFERROR(INDEX($H$14:$H$113,MATCH($E80&amp;"#4",$X$14:$X$113,0)),"")</f>
        <v/>
      </c>
      <c r="AC80" s="20">
        <f>IFERROR(INDEX($H$14:$H$113,MATCH($E80&amp;"#5",$X$14:$X$113,0)),"")</f>
        <v/>
      </c>
      <c r="AD80" s="20">
        <f>IFERROR(INDEX($H$14:$H$113,MATCH($E80&amp;"#6",$X$14:$X$113,0)),"")</f>
        <v/>
      </c>
      <c r="AE80" s="20">
        <f>IFERROR(INDEX($H$14:$H$113,MATCH($E80&amp;"#7",$X$14:$X$113,0)),"")</f>
        <v/>
      </c>
      <c r="AF80" s="20">
        <f>IFERROR(INDEX($H$14:$H$113,MATCH($E80&amp;"#8",$X$14:$X$113,0)),"")</f>
        <v/>
      </c>
      <c r="AG80" s="20">
        <f>IFERROR(INDEX($H$14:$H$113,MATCH($E80&amp;"#9",$X$14:$X$113,0)),"")</f>
        <v/>
      </c>
      <c r="AH80" s="20">
        <f>IFERROR(INDEX($H$14:$H$113,MATCH($E80&amp;"#10",$X$14:$X$113,0)),"")</f>
        <v/>
      </c>
      <c r="AJ80" s="21">
        <f>$C80</f>
        <v/>
      </c>
      <c r="AK80" s="22">
        <f>IF(AND($H80&lt;&gt;"",$Y80&lt;&gt;"",$H80&lt;&gt;$Y80,IFERROR(VLOOKUP($H80,areaCercaPuntiClassificaSquadra,3,FALSE),-1)=IFERROR(VLOOKUP($Y80,areaCercaPuntiClassificaSquadra,3,FALSE),-2)),SUMIFS(Dati!$B$2:$B$451,Dati!$A$2:$A$451,$H80,Dati!$H$2:$H$451,$Y80)+SUMIFS(Dati!$I$2:$I$451,Dati!$H$2:$H$451,$H80,Dati!$A$2:$A$451,$Y80),"-")</f>
        <v/>
      </c>
      <c r="AL80" s="22">
        <f>IF(AND($H80&lt;&gt;"",$Z80&lt;&gt;"",$H80&lt;&gt;$Z80,IFERROR(VLOOKUP($H80,areaCercaPuntiClassificaSquadra,3,FALSE),-1)=IFERROR(VLOOKUP($Z80,areaCercaPuntiClassificaSquadra,3,FALSE),-2)),SUMIFS(Dati!$B$2:$B$451,Dati!$A$2:$A$451,$H80,Dati!$H$2:$H$451,$Z80)+SUMIFS(Dati!$I$2:$I$451,Dati!$H$2:$H$451,$H80,Dati!$A$2:$A$451,$Z80),"-")</f>
        <v/>
      </c>
      <c r="AM80" s="22">
        <f>IF(AND($H80&lt;&gt;"",$AA80&lt;&gt;"",$H80&lt;&gt;$AA80,IFERROR(VLOOKUP($H80,areaCercaPuntiClassificaSquadra,3,FALSE),-1)=IFERROR(VLOOKUP($AA80,areaCercaPuntiClassificaSquadra,3,FALSE),-2)),SUMIFS(Dati!$B$2:$B$451,Dati!$A$2:$A$451,$H80,Dati!$H$2:$H$451,$AA80)+SUMIFS(Dati!$I$2:$I$451,Dati!$H$2:$H$451,$H80,Dati!$A$2:$A$451,$AA80),"-")</f>
        <v/>
      </c>
      <c r="AN80" s="22">
        <f>IF(AND($H80&lt;&gt;"",$AB80&lt;&gt;"",$H80&lt;&gt;$AB80,IFERROR(VLOOKUP($H80,areaCercaPuntiClassificaSquadra,3,FALSE),-1)=IFERROR(VLOOKUP($AB80,areaCercaPuntiClassificaSquadra,3,FALSE),-2)),SUMIFS(Dati!$B$2:$B$451,Dati!$A$2:$A$451,$H80,Dati!$H$2:$H$451,$AB80)+SUMIFS(Dati!$I$2:$I$451,Dati!$H$2:$H$451,$H80,Dati!$A$2:$A$451,$AB80),"-")</f>
        <v/>
      </c>
      <c r="AO80" s="22">
        <f>IF(AND($H80&lt;&gt;"",$AC80&lt;&gt;"",$H80&lt;&gt;$AC80,IFERROR(VLOOKUP($H80,areaCercaPuntiClassificaSquadra,3,FALSE),-1)=IFERROR(VLOOKUP($AC80,areaCercaPuntiClassificaSquadra,3,FALSE),-2)),SUMIFS(Dati!$B$2:$B$451,Dati!$A$2:$A$451,$H80,Dati!$H$2:$H$451,$AC80)+SUMIFS(Dati!$I$2:$I$451,Dati!$H$2:$H$451,$H80,Dati!$A$2:$A$451,$AC80),"-")</f>
        <v/>
      </c>
      <c r="AP80" s="22">
        <f>IF(AND($H80&lt;&gt;"",$AD80&lt;&gt;"",$H80&lt;&gt;$AD80,IFERROR(VLOOKUP($H80,areaCercaPuntiClassificaSquadra,3,FALSE),-1)=IFERROR(VLOOKUP($AD80,areaCercaPuntiClassificaSquadra,3,FALSE),-2)),SUMIFS(Dati!$B$2:$B$451,Dati!$A$2:$A$451,$H80,Dati!$H$2:$H$451,$AD80)+SUMIFS(Dati!$I$2:$I$451,Dati!$H$2:$H$451,$H80,Dati!$A$2:$A$451,$AD80),"-")</f>
        <v/>
      </c>
      <c r="AQ80" s="22">
        <f>IF(AND($H80&lt;&gt;"",$AE80&lt;&gt;"",$H80&lt;&gt;$AE80,IFERROR(VLOOKUP($H80,areaCercaPuntiClassificaSquadra,3,FALSE),-1)=IFERROR(VLOOKUP($AE80,areaCercaPuntiClassificaSquadra,3,FALSE),-2)),SUMIFS(Dati!$B$2:$B$451,Dati!$A$2:$A$451,$H80,Dati!$H$2:$H$451,$AE80)+SUMIFS(Dati!$I$2:$I$451,Dati!$H$2:$H$451,$H80,Dati!$A$2:$A$451,$AE80),"-")</f>
        <v/>
      </c>
      <c r="AR80" s="22">
        <f>IF(AND($H80&lt;&gt;"",$AF80&lt;&gt;"",$H80&lt;&gt;$AF80,IFERROR(VLOOKUP($H80,areaCercaPuntiClassificaSquadra,3,FALSE),-1)=IFERROR(VLOOKUP($AF80,areaCercaPuntiClassificaSquadra,3,FALSE),-2)),SUMIFS(Dati!$B$2:$B$451,Dati!$A$2:$A$451,$H80,Dati!$H$2:$H$451,$AF80)+SUMIFS(Dati!$I$2:$I$451,Dati!$H$2:$H$451,$H80,Dati!$A$2:$A$451,$AF80),"-")</f>
        <v/>
      </c>
      <c r="AS80" s="22">
        <f>IF(AND($H80&lt;&gt;"",$AG80&lt;&gt;"",$H80&lt;&gt;$AG80,IFERROR(VLOOKUP($H80,areaCercaPuntiClassificaSquadra,3,FALSE),-1)=IFERROR(VLOOKUP($AG80,areaCercaPuntiClassificaSquadra,3,FALSE),-2)),SUMIFS(Dati!$B$2:$B$451,Dati!$A$2:$A$451,$H80,Dati!$H$2:$H$451,$AG80)+SUMIFS(Dati!$I$2:$I$451,Dati!$H$2:$H$451,$H80,Dati!$A$2:$A$451,$AG80),"-")</f>
        <v/>
      </c>
      <c r="AT80" s="22">
        <f>IF(AND($H80&lt;&gt;"",$AH80&lt;&gt;"",$H80&lt;&gt;$AH80,IFERROR(VLOOKUP($H80,areaCercaPuntiClassificaSquadra,3,FALSE),-1)=IFERROR(VLOOKUP($AH80,areaCercaPuntiClassificaSquadra,3,FALSE),-2)),SUMIFS(Dati!$B$2:$B$451,Dati!$A$2:$A$451,$H80,Dati!$H$2:$H$451,$AH80)+SUMIFS(Dati!$I$2:$I$451,Dati!$H$2:$H$451,$H80,Dati!$A$2:$A$451,$AH80),"-")</f>
        <v/>
      </c>
      <c r="AV80" s="21">
        <f>$C80</f>
        <v/>
      </c>
      <c r="AW80" s="22">
        <f>IF(AND($H80&lt;&gt;"",$Y80&lt;&gt;"",$H80&lt;&gt;$Y80,IFERROR(VLOOKUP($H80,areaCercaPuntiClassificaSquadra,3,FALSE),-1)=IFERROR(VLOOKUP($Y80,areaCercaPuntiClassificaSquadra,3,FALSE),-2)),SUMIFS(Dati!$D$2:$D$451,Dati!$A$2:$A$451,$H80,Dati!$H$2:$H$451,$Y80)+SUMIFS(Dati!$K$2:$K$451,Dati!$H$2:$H$451,$H80,Dati!$A$2:$A$451,$Y80)+SUMIFS(Dati!$C$2:$C$451,Dati!$A$2:$A$451,$H80,Dati!$H$2:$H$451,$Y80)+SUMIFS(Dati!$J$2:$J$451,Dati!$H$2:$H$451,$H80,Dati!$A$2:$A$451,$Y80),"-")</f>
        <v/>
      </c>
      <c r="AX80" s="22">
        <f>IF(AND($H80&lt;&gt;"",$Z80&lt;&gt;"",$H80&lt;&gt;$Z80,IFERROR(VLOOKUP($H80,areaCercaPuntiClassificaSquadra,3,FALSE),-1)=IFERROR(VLOOKUP($Z80,areaCercaPuntiClassificaSquadra,3,FALSE),-2)),SUMIFS(Dati!$D$2:$D$451,Dati!$A$2:$A$451,$H80,Dati!$H$2:$H$451,$Z80)+SUMIFS(Dati!$K$2:$K$451,Dati!$H$2:$H$451,$H80,Dati!$A$2:$A$451,$Z80)+SUMIFS(Dati!$C$2:$C$451,Dati!$A$2:$A$451,$H80,Dati!$H$2:$H$451,$Z80)+SUMIFS(Dati!$J$2:$J$451,Dati!$H$2:$H$451,$H80,Dati!$A$2:$A$451,$Z80),"-")</f>
        <v/>
      </c>
      <c r="AY80" s="22">
        <f>IF(AND($H80&lt;&gt;"",$AA80&lt;&gt;"",$H80&lt;&gt;$AA80,IFERROR(VLOOKUP($H80,areaCercaPuntiClassificaSquadra,3,FALSE),-1)=IFERROR(VLOOKUP($AA80,areaCercaPuntiClassificaSquadra,3,FALSE),-2)),SUMIFS(Dati!$D$2:$D$451,Dati!$A$2:$A$451,$H80,Dati!$H$2:$H$451,$AA80)+SUMIFS(Dati!$K$2:$K$451,Dati!$H$2:$H$451,$H80,Dati!$A$2:$A$451,$AA80)+SUMIFS(Dati!$C$2:$C$451,Dati!$A$2:$A$451,$H80,Dati!$H$2:$H$451,$AA80)+SUMIFS(Dati!$J$2:$J$451,Dati!$H$2:$H$451,$H80,Dati!$A$2:$A$451,$AA80),"-")</f>
        <v/>
      </c>
      <c r="AZ80" s="22">
        <f>IF(AND($H80&lt;&gt;"",$AB80&lt;&gt;"",$H80&lt;&gt;$AB80,IFERROR(VLOOKUP($H80,areaCercaPuntiClassificaSquadra,3,FALSE),-1)=IFERROR(VLOOKUP($AB80,areaCercaPuntiClassificaSquadra,3,FALSE),-2)),SUMIFS(Dati!$D$2:$D$451,Dati!$A$2:$A$451,$H80,Dati!$H$2:$H$451,$AB80)+SUMIFS(Dati!$K$2:$K$451,Dati!$H$2:$H$451,$H80,Dati!$A$2:$A$451,$AB80)+SUMIFS(Dati!$C$2:$C$451,Dati!$A$2:$A$451,$H80,Dati!$H$2:$H$451,$AB80)+SUMIFS(Dati!$J$2:$J$451,Dati!$H$2:$H$451,$H80,Dati!$A$2:$A$451,$AB80),"-")</f>
        <v/>
      </c>
      <c r="BA80" s="22">
        <f>IF(AND($H80&lt;&gt;"",$AC80&lt;&gt;"",$H80&lt;&gt;$AC80,IFERROR(VLOOKUP($H80,areaCercaPuntiClassificaSquadra,3,FALSE),-1)=IFERROR(VLOOKUP($AC80,areaCercaPuntiClassificaSquadra,3,FALSE),-2)),SUMIFS(Dati!$D$2:$D$451,Dati!$A$2:$A$451,$H80,Dati!$H$2:$H$451,$AC80)+SUMIFS(Dati!$K$2:$K$451,Dati!$H$2:$H$451,$H80,Dati!$A$2:$A$451,$AC80)+SUMIFS(Dati!$C$2:$C$451,Dati!$A$2:$A$451,$H80,Dati!$H$2:$H$451,$AC80)+SUMIFS(Dati!$J$2:$J$451,Dati!$H$2:$H$451,$H80,Dati!$A$2:$A$451,$AC80),"-")</f>
        <v/>
      </c>
      <c r="BB80" s="22">
        <f>IF(AND($H80&lt;&gt;"",$AD80&lt;&gt;"",$H80&lt;&gt;$AD80,IFERROR(VLOOKUP($H80,areaCercaPuntiClassificaSquadra,3,FALSE),-1)=IFERROR(VLOOKUP($AD80,areaCercaPuntiClassificaSquadra,3,FALSE),-2)),SUMIFS(Dati!$D$2:$D$451,Dati!$A$2:$A$451,$H80,Dati!$H$2:$H$451,$AD80)+SUMIFS(Dati!$K$2:$K$451,Dati!$H$2:$H$451,$H80,Dati!$A$2:$A$451,$AD80)+SUMIFS(Dati!$C$2:$C$451,Dati!$A$2:$A$451,$H80,Dati!$H$2:$H$451,$AD80)+SUMIFS(Dati!$J$2:$J$451,Dati!$H$2:$H$451,$H80,Dati!$A$2:$A$451,$AD80),"-")</f>
        <v/>
      </c>
      <c r="BC80" s="22">
        <f>IF(AND($H80&lt;&gt;"",$AE80&lt;&gt;"",$H80&lt;&gt;$AE80,IFERROR(VLOOKUP($H80,areaCercaPuntiClassificaSquadra,3,FALSE),-1)=IFERROR(VLOOKUP($AE80,areaCercaPuntiClassificaSquadra,3,FALSE),-2)),SUMIFS(Dati!$D$2:$D$451,Dati!$A$2:$A$451,$H80,Dati!$H$2:$H$451,$AE80)+SUMIFS(Dati!$K$2:$K$451,Dati!$H$2:$H$451,$H80,Dati!$A$2:$A$451,$AE80)+SUMIFS(Dati!$C$2:$C$451,Dati!$A$2:$A$451,$H80,Dati!$H$2:$H$451,$AE80)+SUMIFS(Dati!$J$2:$J$451,Dati!$H$2:$H$451,$H80,Dati!$A$2:$A$451,$AE80),"-")</f>
        <v/>
      </c>
      <c r="BD80" s="22">
        <f>IF(AND($H80&lt;&gt;"",$AF80&lt;&gt;"",$H80&lt;&gt;$AF80,IFERROR(VLOOKUP($H80,areaCercaPuntiClassificaSquadra,3,FALSE),-1)=IFERROR(VLOOKUP($AF80,areaCercaPuntiClassificaSquadra,3,FALSE),-2)),SUMIFS(Dati!$D$2:$D$451,Dati!$A$2:$A$451,$H80,Dati!$H$2:$H$451,$AF80)+SUMIFS(Dati!$K$2:$K$451,Dati!$H$2:$H$451,$H80,Dati!$A$2:$A$451,$AF80)+SUMIFS(Dati!$C$2:$C$451,Dati!$A$2:$A$451,$H80,Dati!$H$2:$H$451,$AF80)+SUMIFS(Dati!$J$2:$J$451,Dati!$H$2:$H$451,$H80,Dati!$A$2:$A$451,$AF80),"-")</f>
        <v/>
      </c>
      <c r="BE80" s="22">
        <f>IF(AND($H80&lt;&gt;"",$AG80&lt;&gt;"",$H80&lt;&gt;$AG80,IFERROR(VLOOKUP($H80,areaCercaPuntiClassificaSquadra,3,FALSE),-1)=IFERROR(VLOOKUP($AG80,areaCercaPuntiClassificaSquadra,3,FALSE),-2)),SUMIFS(Dati!$D$2:$D$451,Dati!$A$2:$A$451,$H80,Dati!$H$2:$H$451,$AG80)+SUMIFS(Dati!$K$2:$K$451,Dati!$H$2:$H$451,$H80,Dati!$A$2:$A$451,$AG80)+SUMIFS(Dati!$C$2:$C$451,Dati!$A$2:$A$451,$H80,Dati!$H$2:$H$451,$AG80)+SUMIFS(Dati!$J$2:$J$451,Dati!$H$2:$H$451,$H80,Dati!$A$2:$A$451,$AG80),"-")</f>
        <v/>
      </c>
      <c r="BF80" s="22">
        <f>IF(AND($H80&lt;&gt;"",$AH80&lt;&gt;"",$H80&lt;&gt;$AH80,IFERROR(VLOOKUP($H80,areaCercaPuntiClassificaSquadra,3,FALSE),-1)=IFERROR(VLOOKUP($AH80,areaCercaPuntiClassificaSquadra,3,FALSE),-2)),SUMIFS(Dati!$D$2:$D$451,Dati!$A$2:$A$451,$H80,Dati!$H$2:$H$451,$AH80)+SUMIFS(Dati!$K$2:$K$451,Dati!$H$2:$H$451,$H80,Dati!$A$2:$A$451,$AH80)+SUMIFS(Dati!$C$2:$C$451,Dati!$A$2:$A$451,$H80,Dati!$H$2:$H$451,$AH80)+SUMIFS(Dati!$J$2:$J$451,Dati!$H$2:$H$451,$H80,Dati!$A$2:$A$451,$AH80),"-")</f>
        <v/>
      </c>
      <c r="BH80" s="21">
        <f>$C80</f>
        <v/>
      </c>
      <c r="BI80" s="22">
        <f>IF(AND($H80&lt;&gt;"",$Y80&lt;&gt;"",$H80&lt;&gt;$Y80,IFERROR(VLOOKUP($H80,areaCercaPuntiClassificaSquadra,3,FALSE),-1)=IFERROR(VLOOKUP($Y80,areaCercaPuntiClassificaSquadra,3,FALSE),-2)),SUMIFS(Dati!$E$2:$E$451,Dati!$A$2:$A$451,$H80,Dati!$H$2:$H$451,$Y80)+SUMIFS(Dati!$L$2:$L$451,Dati!$H$2:$H$451,$H80,Dati!$A$2:$A$451,$Y80),"-")</f>
        <v/>
      </c>
      <c r="BJ80" s="22">
        <f>IF(AND($H80&lt;&gt;"",$Z80&lt;&gt;"",$H80&lt;&gt;$Z80,IFERROR(VLOOKUP($H80,areaCercaPuntiClassificaSquadra,3,FALSE),-1)=IFERROR(VLOOKUP($Z80,areaCercaPuntiClassificaSquadra,3,FALSE),-2)),SUMIFS(Dati!$E$2:$E$451,Dati!$A$2:$A$451,$H80,Dati!$H$2:$H$451,$Z80)+SUMIFS(Dati!$L$2:$L$451,Dati!$H$2:$H$451,$H80,Dati!$A$2:$A$451,$Z80),"-")</f>
        <v/>
      </c>
      <c r="BK80" s="22">
        <f>IF(AND($H80&lt;&gt;"",$AA80&lt;&gt;"",$H80&lt;&gt;$AA80,IFERROR(VLOOKUP($H80,areaCercaPuntiClassificaSquadra,3,FALSE),-1)=IFERROR(VLOOKUP($AA80,areaCercaPuntiClassificaSquadra,3,FALSE),-2)),SUMIFS(Dati!$E$2:$E$451,Dati!$A$2:$A$451,$H80,Dati!$H$2:$H$451,$AA80)+SUMIFS(Dati!$L$2:$L$451,Dati!$H$2:$H$451,$H80,Dati!$A$2:$A$451,$AA80),"-")</f>
        <v/>
      </c>
      <c r="BL80" s="22">
        <f>IF(AND($H80&lt;&gt;"",$AB80&lt;&gt;"",$H80&lt;&gt;$AB80,IFERROR(VLOOKUP($H80,areaCercaPuntiClassificaSquadra,3,FALSE),-1)=IFERROR(VLOOKUP($AB80,areaCercaPuntiClassificaSquadra,3,FALSE),-2)),SUMIFS(Dati!$E$2:$E$451,Dati!$A$2:$A$451,$H80,Dati!$H$2:$H$451,$AB80)+SUMIFS(Dati!$L$2:$L$451,Dati!$H$2:$H$451,$H80,Dati!$A$2:$A$451,$AB80),"-")</f>
        <v/>
      </c>
      <c r="BM80" s="22">
        <f>IF(AND($H80&lt;&gt;"",$AC80&lt;&gt;"",$H80&lt;&gt;$AC80,IFERROR(VLOOKUP($H80,areaCercaPuntiClassificaSquadra,3,FALSE),-1)=IFERROR(VLOOKUP($AC80,areaCercaPuntiClassificaSquadra,3,FALSE),-2)),SUMIFS(Dati!$E$2:$E$451,Dati!$A$2:$A$451,$H80,Dati!$H$2:$H$451,$AC80)+SUMIFS(Dati!$L$2:$L$451,Dati!$H$2:$H$451,$H80,Dati!$A$2:$A$451,$AC80),"-")</f>
        <v/>
      </c>
      <c r="BN80" s="22">
        <f>IF(AND($H80&lt;&gt;"",$AD80&lt;&gt;"",$H80&lt;&gt;$AD80,IFERROR(VLOOKUP($H80,areaCercaPuntiClassificaSquadra,3,FALSE),-1)=IFERROR(VLOOKUP($AD80,areaCercaPuntiClassificaSquadra,3,FALSE),-2)),SUMIFS(Dati!$E$2:$E$451,Dati!$A$2:$A$451,$H80,Dati!$H$2:$H$451,$AD80)+SUMIFS(Dati!$L$2:$L$451,Dati!$H$2:$H$451,$H80,Dati!$A$2:$A$451,$AD80),"-")</f>
        <v/>
      </c>
      <c r="BO80" s="22">
        <f>IF(AND($H80&lt;&gt;"",$AE80&lt;&gt;"",$H80&lt;&gt;$AE80,IFERROR(VLOOKUP($H80,areaCercaPuntiClassificaSquadra,3,FALSE),-1)=IFERROR(VLOOKUP($AE80,areaCercaPuntiClassificaSquadra,3,FALSE),-2)),SUMIFS(Dati!$E$2:$E$451,Dati!$A$2:$A$451,$H80,Dati!$H$2:$H$451,$AE80)+SUMIFS(Dati!$L$2:$L$451,Dati!$H$2:$H$451,$H80,Dati!$A$2:$A$451,$AE80),"-")</f>
        <v/>
      </c>
      <c r="BP80" s="22">
        <f>IF(AND($H80&lt;&gt;"",$AF80&lt;&gt;"",$H80&lt;&gt;$AF80,IFERROR(VLOOKUP($H80,areaCercaPuntiClassificaSquadra,3,FALSE),-1)=IFERROR(VLOOKUP($AF80,areaCercaPuntiClassificaSquadra,3,FALSE),-2)),SUMIFS(Dati!$E$2:$E$451,Dati!$A$2:$A$451,$H80,Dati!$H$2:$H$451,$AF80)+SUMIFS(Dati!$L$2:$L$451,Dati!$H$2:$H$451,$H80,Dati!$A$2:$A$451,$AF80),"-")</f>
        <v/>
      </c>
      <c r="BQ80" s="22">
        <f>IF(AND($H80&lt;&gt;"",$AG80&lt;&gt;"",$H80&lt;&gt;$AG80,IFERROR(VLOOKUP($H80,areaCercaPuntiClassificaSquadra,3,FALSE),-1)=IFERROR(VLOOKUP($AG80,areaCercaPuntiClassificaSquadra,3,FALSE),-2)),SUMIFS(Dati!$E$2:$E$451,Dati!$A$2:$A$451,$H80,Dati!$H$2:$H$451,$AG80)+SUMIFS(Dati!$L$2:$L$451,Dati!$H$2:$H$451,$H80,Dati!$A$2:$A$451,$AG80),"-")</f>
        <v/>
      </c>
      <c r="BR80" s="22">
        <f>IF(AND($H80&lt;&gt;"",$AH80&lt;&gt;"",$H80&lt;&gt;$AH80,IFERROR(VLOOKUP($H80,areaCercaPuntiClassificaSquadra,3,FALSE),-1)=IFERROR(VLOOKUP($AH80,areaCercaPuntiClassificaSquadra,3,FALSE),-2)),SUMIFS(Dati!$E$2:$E$451,Dati!$A$2:$A$451,$H80,Dati!$H$2:$H$451,$AH80)+SUMIFS(Dati!$L$2:$L$451,Dati!$H$2:$H$451,$H80,Dati!$A$2:$A$451,$AH80),"-")</f>
        <v/>
      </c>
      <c r="BT80" s="21">
        <f>$C80</f>
        <v/>
      </c>
      <c r="BU80" s="22">
        <f>IF(AND($H80&lt;&gt;"",$Y80&lt;&gt;"",$H80&lt;&gt;$Y80,IFERROR(VLOOKUP($H80,areaCercaPuntiClassificaSquadra,3,FALSE),-1)=IFERROR(VLOOKUP($Y80,areaCercaPuntiClassificaSquadra,3,FALSE),-2)),SUMIFS(Dati!$F$2:$F$451,Dati!$A$2:$A$451,$H80,Dati!$H$2:$H$451,$Y80)+SUMIFS(Dati!$M$2:$M$451,Dati!$H$2:$H$451,$H80,Dati!$A$2:$A$451,$Y80),"-")</f>
        <v/>
      </c>
      <c r="BV80" s="22">
        <f>IF(AND($H80&lt;&gt;"",$Z80&lt;&gt;"",$H80&lt;&gt;$Z80,IFERROR(VLOOKUP($H80,areaCercaPuntiClassificaSquadra,3,FALSE),-1)=IFERROR(VLOOKUP($Z80,areaCercaPuntiClassificaSquadra,3,FALSE),-2)),SUMIFS(Dati!$F$2:$F$451,Dati!$A$2:$A$451,$H80,Dati!$H$2:$H$451,$Z80)+SUMIFS(Dati!$M$2:$M$451,Dati!$H$2:$H$451,$H80,Dati!$A$2:$A$451,$Z80),"-")</f>
        <v/>
      </c>
      <c r="BW80" s="22">
        <f>IF(AND($H80&lt;&gt;"",$AA80&lt;&gt;"",$H80&lt;&gt;$AA80,IFERROR(VLOOKUP($H80,areaCercaPuntiClassificaSquadra,3,FALSE),-1)=IFERROR(VLOOKUP($AA80,areaCercaPuntiClassificaSquadra,3,FALSE),-2)),SUMIFS(Dati!$F$2:$F$451,Dati!$A$2:$A$451,$H80,Dati!$H$2:$H$451,$AA80)+SUMIFS(Dati!$M$2:$M$451,Dati!$H$2:$H$451,$H80,Dati!$A$2:$A$451,$AA80),"-")</f>
        <v/>
      </c>
      <c r="BX80" s="22">
        <f>IF(AND($H80&lt;&gt;"",$AB80&lt;&gt;"",$H80&lt;&gt;$AB80,IFERROR(VLOOKUP($H80,areaCercaPuntiClassificaSquadra,3,FALSE),-1)=IFERROR(VLOOKUP($AB80,areaCercaPuntiClassificaSquadra,3,FALSE),-2)),SUMIFS(Dati!$F$2:$F$451,Dati!$A$2:$A$451,$H80,Dati!$H$2:$H$451,$AB80)+SUMIFS(Dati!$M$2:$M$451,Dati!$H$2:$H$451,$H80,Dati!$A$2:$A$451,$AB80),"-")</f>
        <v/>
      </c>
      <c r="BY80" s="22">
        <f>IF(AND($H80&lt;&gt;"",$AC80&lt;&gt;"",$H80&lt;&gt;$AC80,IFERROR(VLOOKUP($H80,areaCercaPuntiClassificaSquadra,3,FALSE),-1)=IFERROR(VLOOKUP($AC80,areaCercaPuntiClassificaSquadra,3,FALSE),-2)),SUMIFS(Dati!$F$2:$F$451,Dati!$A$2:$A$451,$H80,Dati!$H$2:$H$451,$AC80)+SUMIFS(Dati!$M$2:$M$451,Dati!$H$2:$H$451,$H80,Dati!$A$2:$A$451,$AC80),"-")</f>
        <v/>
      </c>
      <c r="BZ80" s="22">
        <f>IF(AND($H80&lt;&gt;"",$AD80&lt;&gt;"",$H80&lt;&gt;$AD80,IFERROR(VLOOKUP($H80,areaCercaPuntiClassificaSquadra,3,FALSE),-1)=IFERROR(VLOOKUP($AD80,areaCercaPuntiClassificaSquadra,3,FALSE),-2)),SUMIFS(Dati!$F$2:$F$451,Dati!$A$2:$A$451,$H80,Dati!$H$2:$H$451,$AD80)+SUMIFS(Dati!$M$2:$M$451,Dati!$H$2:$H$451,$H80,Dati!$A$2:$A$451,$AD80),"-")</f>
        <v/>
      </c>
      <c r="CA80" s="22">
        <f>IF(AND($H80&lt;&gt;"",$AE80&lt;&gt;"",$H80&lt;&gt;$AE80,IFERROR(VLOOKUP($H80,areaCercaPuntiClassificaSquadra,3,FALSE),-1)=IFERROR(VLOOKUP($AE80,areaCercaPuntiClassificaSquadra,3,FALSE),-2)),SUMIFS(Dati!$F$2:$F$451,Dati!$A$2:$A$451,$H80,Dati!$H$2:$H$451,$AE80)+SUMIFS(Dati!$M$2:$M$451,Dati!$H$2:$H$451,$H80,Dati!$A$2:$A$451,$AE80),"-")</f>
        <v/>
      </c>
      <c r="CB80" s="22">
        <f>IF(AND($H80&lt;&gt;"",$AF80&lt;&gt;"",$H80&lt;&gt;$AF80,IFERROR(VLOOKUP($H80,areaCercaPuntiClassificaSquadra,3,FALSE),-1)=IFERROR(VLOOKUP($AF80,areaCercaPuntiClassificaSquadra,3,FALSE),-2)),SUMIFS(Dati!$F$2:$F$451,Dati!$A$2:$A$451,$H80,Dati!$H$2:$H$451,$AF80)+SUMIFS(Dati!$M$2:$M$451,Dati!$H$2:$H$451,$H80,Dati!$A$2:$A$451,$AF80),"-")</f>
        <v/>
      </c>
      <c r="CC80" s="22">
        <f>IF(AND($H80&lt;&gt;"",$AG80&lt;&gt;"",$H80&lt;&gt;$AG80,IFERROR(VLOOKUP($H80,areaCercaPuntiClassificaSquadra,3,FALSE),-1)=IFERROR(VLOOKUP($AG80,areaCercaPuntiClassificaSquadra,3,FALSE),-2)),SUMIFS(Dati!$F$2:$F$451,Dati!$A$2:$A$451,$H80,Dati!$H$2:$H$451,$AG80)+SUMIFS(Dati!$M$2:$M$451,Dati!$H$2:$H$451,$H80,Dati!$A$2:$A$451,$AG80),"-")</f>
        <v/>
      </c>
      <c r="CD80" s="22">
        <f>IF(AND($H80&lt;&gt;"",$AH80&lt;&gt;"",$H80&lt;&gt;$AH80,IFERROR(VLOOKUP($H80,areaCercaPuntiClassificaSquadra,3,FALSE),-1)=IFERROR(VLOOKUP($AH80,areaCercaPuntiClassificaSquadra,3,FALSE),-2)),SUMIFS(Dati!$F$2:$F$451,Dati!$A$2:$A$451,$H80,Dati!$H$2:$H$451,$AH80)+SUMIFS(Dati!$M$2:$M$451,Dati!$H$2:$H$451,$H80,Dati!$A$2:$A$451,$AH80),"-")</f>
        <v/>
      </c>
      <c r="CF80" s="22">
        <f>IF($C80="","",SUM(AK80:AT80))</f>
        <v/>
      </c>
    </row>
    <row r="81">
      <c r="B81" s="12" t="inlineStr">
        <is>
          <t>G08</t>
        </is>
      </c>
      <c r="C81" s="13" t="n"/>
      <c r="D81" s="14" t="n"/>
      <c r="E81" s="33" t="inlineStr">
        <is>
          <t>G</t>
        </is>
      </c>
      <c r="G81" s="34">
        <f>IF($C81="","",$E81&amp;(COUNTIFS(I$14:I$113,"&gt;"&amp;I81,E$14:E$113,"="&amp;E81,C$14:C$113,"&lt;&gt;")+COUNTIFS(I$14:I$113,"="&amp;I81,H$14:H$113,"&lt;="&amp;H81,E$14:E$113,"="&amp;E81,C$14:C$113,"&lt;&gt;")))</f>
        <v/>
      </c>
      <c r="H81" s="17">
        <f>IF($C81="","",IFERROR(LEFT($C81,FIND("-",$C81)-1),$C81))</f>
        <v/>
      </c>
      <c r="I81" s="12">
        <f>TEXT(1000000000+J81,"|0000000000|")&amp;TEXT(SUM(AK81:AT81),"0000000000|")&amp;IF(SUM(BU81:CD81)=0,"0000000000|",TEXT(ROUND(SUM(BI81:BR81)/SUM(BU81:CD81),4)*100000,"0000000000|"))&amp;IF(P81=0,"0000000000|",TEXT(ROUND(O81/P81,4)*100000,"0000000000|"))</f>
        <v/>
      </c>
      <c r="J81" s="34">
        <f>L81*constPuntiVittoria+M81*constPuntiSconfitta+N81*constPuntiForfait+IF(D81="",0,D81)</f>
        <v/>
      </c>
      <c r="K81" s="12">
        <f>SUM(L81:N81)</f>
        <v/>
      </c>
      <c r="L81" s="12">
        <f>IF($H81="",0,SUMIF(Dati!$A$2:$A$451,$H81,Dati!$B$2:$B$451)+SUMIF(Dati!$H$2:$H$451,$H81,Dati!$I$2:$I$451))</f>
        <v/>
      </c>
      <c r="M81" s="12">
        <f>IF($H81="",0,SUMIF(Dati!$A$2:$A$451,$H81,Dati!$D$2:$D$451)+SUMIF(Dati!$H$2:$H$451,$H81,Dati!$K$2:$K$451))</f>
        <v/>
      </c>
      <c r="N81" s="12">
        <f>IF($H81="",0,SUMIF(Dati!$A$2:$A$451,$H81,Dati!$C$2:$C$451)+SUMIF(Dati!$H$2:$H$451,$H81,Dati!$J$2:$J$451))</f>
        <v/>
      </c>
      <c r="O81" s="12">
        <f>IF($H81="",0,SUMIF(Dati!$A$2:$A$451,$H81,Dati!$E$2:$E$451)+SUMIF(Dati!$H$2:$H$451,$H81,Dati!$L$2:$L$451))</f>
        <v/>
      </c>
      <c r="P81" s="12">
        <f>IF($H81="",0,SUMIF(Dati!$A$2:$A$451,$H81,Dati!$F$2:$F$451)+SUMIF(Dati!$H$2:$H$451,$H81,Dati!$M$2:$M$451))</f>
        <v/>
      </c>
      <c r="Q81" s="12">
        <f>IF($H81="",0,SUMIF(Dati!$A$2:$A$451,$H81,Dati!$G$2:$G$451)+SUMIF(Dati!$H$2:$H$451,$H81,Dati!$N$2:$N$451))</f>
        <v/>
      </c>
      <c r="R81" s="12">
        <f>IF(K81=0,0,ROUND(O81/K81,2))</f>
        <v/>
      </c>
      <c r="S81" s="12">
        <f>IF(K81=0,0,ROUND(P81/K81,2))</f>
        <v/>
      </c>
      <c r="T81" s="12">
        <f>IF(K81=0,0,ROUND(Q81/K81,2))</f>
        <v/>
      </c>
      <c r="U81" s="12">
        <f>IF(COUNTIFS($E$14:$E$113,$E81,$J$14:$J$113,$J81,$C$14:$C$113,"&lt;&gt;")&lt;=1,"-",SUM(AK81:AT81)&amp;"-"&amp;SUM(AW81:BF81))</f>
        <v/>
      </c>
      <c r="V81" s="18">
        <f>IF(COUNTIFS($E$14:$E$113,$E81,$J$14:$J$113,$J81,$C$14:$C$113,"&lt;&gt;",$CF$14:$CF$113,$CF81)&lt;=1,"-",IF(SUM(BU81:CD81)=0,0,ROUND(SUM(BI81:BR81)/SUM(BU81:CD81),3)))</f>
        <v/>
      </c>
      <c r="W81" s="18">
        <f>IF(COUNTIFS($E$14:$E$113,$E81,$J$14:$J$113,$J81,$C$14:$C$113,"&lt;&gt;",$CF$14:$CF$113,$CF81,$V$14:$V$113,$V81)&lt;=1,"-",IF(P81=0,0,ROUND(O81/P81,3)))</f>
        <v/>
      </c>
      <c r="X81" s="19">
        <f>IF($C81="","",$E81&amp;"#"&amp;COUNTIFS($E$14:$E81,$E81,$C$14:$C81,"&lt;&gt;"))</f>
        <v/>
      </c>
      <c r="Y81" s="20">
        <f>IFERROR(INDEX($H$14:$H$113,MATCH($E81&amp;"#1",$X$14:$X$113,0)),"")</f>
        <v/>
      </c>
      <c r="Z81" s="20">
        <f>IFERROR(INDEX($H$14:$H$113,MATCH($E81&amp;"#2",$X$14:$X$113,0)),"")</f>
        <v/>
      </c>
      <c r="AA81" s="20">
        <f>IFERROR(INDEX($H$14:$H$113,MATCH($E81&amp;"#3",$X$14:$X$113,0)),"")</f>
        <v/>
      </c>
      <c r="AB81" s="20">
        <f>IFERROR(INDEX($H$14:$H$113,MATCH($E81&amp;"#4",$X$14:$X$113,0)),"")</f>
        <v/>
      </c>
      <c r="AC81" s="20">
        <f>IFERROR(INDEX($H$14:$H$113,MATCH($E81&amp;"#5",$X$14:$X$113,0)),"")</f>
        <v/>
      </c>
      <c r="AD81" s="20">
        <f>IFERROR(INDEX($H$14:$H$113,MATCH($E81&amp;"#6",$X$14:$X$113,0)),"")</f>
        <v/>
      </c>
      <c r="AE81" s="20">
        <f>IFERROR(INDEX($H$14:$H$113,MATCH($E81&amp;"#7",$X$14:$X$113,0)),"")</f>
        <v/>
      </c>
      <c r="AF81" s="20">
        <f>IFERROR(INDEX($H$14:$H$113,MATCH($E81&amp;"#8",$X$14:$X$113,0)),"")</f>
        <v/>
      </c>
      <c r="AG81" s="20">
        <f>IFERROR(INDEX($H$14:$H$113,MATCH($E81&amp;"#9",$X$14:$X$113,0)),"")</f>
        <v/>
      </c>
      <c r="AH81" s="20">
        <f>IFERROR(INDEX($H$14:$H$113,MATCH($E81&amp;"#10",$X$14:$X$113,0)),"")</f>
        <v/>
      </c>
      <c r="AJ81" s="21">
        <f>$C81</f>
        <v/>
      </c>
      <c r="AK81" s="22">
        <f>IF(AND($H81&lt;&gt;"",$Y81&lt;&gt;"",$H81&lt;&gt;$Y81,IFERROR(VLOOKUP($H81,areaCercaPuntiClassificaSquadra,3,FALSE),-1)=IFERROR(VLOOKUP($Y81,areaCercaPuntiClassificaSquadra,3,FALSE),-2)),SUMIFS(Dati!$B$2:$B$451,Dati!$A$2:$A$451,$H81,Dati!$H$2:$H$451,$Y81)+SUMIFS(Dati!$I$2:$I$451,Dati!$H$2:$H$451,$H81,Dati!$A$2:$A$451,$Y81),"-")</f>
        <v/>
      </c>
      <c r="AL81" s="22">
        <f>IF(AND($H81&lt;&gt;"",$Z81&lt;&gt;"",$H81&lt;&gt;$Z81,IFERROR(VLOOKUP($H81,areaCercaPuntiClassificaSquadra,3,FALSE),-1)=IFERROR(VLOOKUP($Z81,areaCercaPuntiClassificaSquadra,3,FALSE),-2)),SUMIFS(Dati!$B$2:$B$451,Dati!$A$2:$A$451,$H81,Dati!$H$2:$H$451,$Z81)+SUMIFS(Dati!$I$2:$I$451,Dati!$H$2:$H$451,$H81,Dati!$A$2:$A$451,$Z81),"-")</f>
        <v/>
      </c>
      <c r="AM81" s="22">
        <f>IF(AND($H81&lt;&gt;"",$AA81&lt;&gt;"",$H81&lt;&gt;$AA81,IFERROR(VLOOKUP($H81,areaCercaPuntiClassificaSquadra,3,FALSE),-1)=IFERROR(VLOOKUP($AA81,areaCercaPuntiClassificaSquadra,3,FALSE),-2)),SUMIFS(Dati!$B$2:$B$451,Dati!$A$2:$A$451,$H81,Dati!$H$2:$H$451,$AA81)+SUMIFS(Dati!$I$2:$I$451,Dati!$H$2:$H$451,$H81,Dati!$A$2:$A$451,$AA81),"-")</f>
        <v/>
      </c>
      <c r="AN81" s="22">
        <f>IF(AND($H81&lt;&gt;"",$AB81&lt;&gt;"",$H81&lt;&gt;$AB81,IFERROR(VLOOKUP($H81,areaCercaPuntiClassificaSquadra,3,FALSE),-1)=IFERROR(VLOOKUP($AB81,areaCercaPuntiClassificaSquadra,3,FALSE),-2)),SUMIFS(Dati!$B$2:$B$451,Dati!$A$2:$A$451,$H81,Dati!$H$2:$H$451,$AB81)+SUMIFS(Dati!$I$2:$I$451,Dati!$H$2:$H$451,$H81,Dati!$A$2:$A$451,$AB81),"-")</f>
        <v/>
      </c>
      <c r="AO81" s="22">
        <f>IF(AND($H81&lt;&gt;"",$AC81&lt;&gt;"",$H81&lt;&gt;$AC81,IFERROR(VLOOKUP($H81,areaCercaPuntiClassificaSquadra,3,FALSE),-1)=IFERROR(VLOOKUP($AC81,areaCercaPuntiClassificaSquadra,3,FALSE),-2)),SUMIFS(Dati!$B$2:$B$451,Dati!$A$2:$A$451,$H81,Dati!$H$2:$H$451,$AC81)+SUMIFS(Dati!$I$2:$I$451,Dati!$H$2:$H$451,$H81,Dati!$A$2:$A$451,$AC81),"-")</f>
        <v/>
      </c>
      <c r="AP81" s="22">
        <f>IF(AND($H81&lt;&gt;"",$AD81&lt;&gt;"",$H81&lt;&gt;$AD81,IFERROR(VLOOKUP($H81,areaCercaPuntiClassificaSquadra,3,FALSE),-1)=IFERROR(VLOOKUP($AD81,areaCercaPuntiClassificaSquadra,3,FALSE),-2)),SUMIFS(Dati!$B$2:$B$451,Dati!$A$2:$A$451,$H81,Dati!$H$2:$H$451,$AD81)+SUMIFS(Dati!$I$2:$I$451,Dati!$H$2:$H$451,$H81,Dati!$A$2:$A$451,$AD81),"-")</f>
        <v/>
      </c>
      <c r="AQ81" s="22">
        <f>IF(AND($H81&lt;&gt;"",$AE81&lt;&gt;"",$H81&lt;&gt;$AE81,IFERROR(VLOOKUP($H81,areaCercaPuntiClassificaSquadra,3,FALSE),-1)=IFERROR(VLOOKUP($AE81,areaCercaPuntiClassificaSquadra,3,FALSE),-2)),SUMIFS(Dati!$B$2:$B$451,Dati!$A$2:$A$451,$H81,Dati!$H$2:$H$451,$AE81)+SUMIFS(Dati!$I$2:$I$451,Dati!$H$2:$H$451,$H81,Dati!$A$2:$A$451,$AE81),"-")</f>
        <v/>
      </c>
      <c r="AR81" s="22">
        <f>IF(AND($H81&lt;&gt;"",$AF81&lt;&gt;"",$H81&lt;&gt;$AF81,IFERROR(VLOOKUP($H81,areaCercaPuntiClassificaSquadra,3,FALSE),-1)=IFERROR(VLOOKUP($AF81,areaCercaPuntiClassificaSquadra,3,FALSE),-2)),SUMIFS(Dati!$B$2:$B$451,Dati!$A$2:$A$451,$H81,Dati!$H$2:$H$451,$AF81)+SUMIFS(Dati!$I$2:$I$451,Dati!$H$2:$H$451,$H81,Dati!$A$2:$A$451,$AF81),"-")</f>
        <v/>
      </c>
      <c r="AS81" s="22">
        <f>IF(AND($H81&lt;&gt;"",$AG81&lt;&gt;"",$H81&lt;&gt;$AG81,IFERROR(VLOOKUP($H81,areaCercaPuntiClassificaSquadra,3,FALSE),-1)=IFERROR(VLOOKUP($AG81,areaCercaPuntiClassificaSquadra,3,FALSE),-2)),SUMIFS(Dati!$B$2:$B$451,Dati!$A$2:$A$451,$H81,Dati!$H$2:$H$451,$AG81)+SUMIFS(Dati!$I$2:$I$451,Dati!$H$2:$H$451,$H81,Dati!$A$2:$A$451,$AG81),"-")</f>
        <v/>
      </c>
      <c r="AT81" s="22">
        <f>IF(AND($H81&lt;&gt;"",$AH81&lt;&gt;"",$H81&lt;&gt;$AH81,IFERROR(VLOOKUP($H81,areaCercaPuntiClassificaSquadra,3,FALSE),-1)=IFERROR(VLOOKUP($AH81,areaCercaPuntiClassificaSquadra,3,FALSE),-2)),SUMIFS(Dati!$B$2:$B$451,Dati!$A$2:$A$451,$H81,Dati!$H$2:$H$451,$AH81)+SUMIFS(Dati!$I$2:$I$451,Dati!$H$2:$H$451,$H81,Dati!$A$2:$A$451,$AH81),"-")</f>
        <v/>
      </c>
      <c r="AV81" s="21">
        <f>$C81</f>
        <v/>
      </c>
      <c r="AW81" s="22">
        <f>IF(AND($H81&lt;&gt;"",$Y81&lt;&gt;"",$H81&lt;&gt;$Y81,IFERROR(VLOOKUP($H81,areaCercaPuntiClassificaSquadra,3,FALSE),-1)=IFERROR(VLOOKUP($Y81,areaCercaPuntiClassificaSquadra,3,FALSE),-2)),SUMIFS(Dati!$D$2:$D$451,Dati!$A$2:$A$451,$H81,Dati!$H$2:$H$451,$Y81)+SUMIFS(Dati!$K$2:$K$451,Dati!$H$2:$H$451,$H81,Dati!$A$2:$A$451,$Y81)+SUMIFS(Dati!$C$2:$C$451,Dati!$A$2:$A$451,$H81,Dati!$H$2:$H$451,$Y81)+SUMIFS(Dati!$J$2:$J$451,Dati!$H$2:$H$451,$H81,Dati!$A$2:$A$451,$Y81),"-")</f>
        <v/>
      </c>
      <c r="AX81" s="22">
        <f>IF(AND($H81&lt;&gt;"",$Z81&lt;&gt;"",$H81&lt;&gt;$Z81,IFERROR(VLOOKUP($H81,areaCercaPuntiClassificaSquadra,3,FALSE),-1)=IFERROR(VLOOKUP($Z81,areaCercaPuntiClassificaSquadra,3,FALSE),-2)),SUMIFS(Dati!$D$2:$D$451,Dati!$A$2:$A$451,$H81,Dati!$H$2:$H$451,$Z81)+SUMIFS(Dati!$K$2:$K$451,Dati!$H$2:$H$451,$H81,Dati!$A$2:$A$451,$Z81)+SUMIFS(Dati!$C$2:$C$451,Dati!$A$2:$A$451,$H81,Dati!$H$2:$H$451,$Z81)+SUMIFS(Dati!$J$2:$J$451,Dati!$H$2:$H$451,$H81,Dati!$A$2:$A$451,$Z81),"-")</f>
        <v/>
      </c>
      <c r="AY81" s="22">
        <f>IF(AND($H81&lt;&gt;"",$AA81&lt;&gt;"",$H81&lt;&gt;$AA81,IFERROR(VLOOKUP($H81,areaCercaPuntiClassificaSquadra,3,FALSE),-1)=IFERROR(VLOOKUP($AA81,areaCercaPuntiClassificaSquadra,3,FALSE),-2)),SUMIFS(Dati!$D$2:$D$451,Dati!$A$2:$A$451,$H81,Dati!$H$2:$H$451,$AA81)+SUMIFS(Dati!$K$2:$K$451,Dati!$H$2:$H$451,$H81,Dati!$A$2:$A$451,$AA81)+SUMIFS(Dati!$C$2:$C$451,Dati!$A$2:$A$451,$H81,Dati!$H$2:$H$451,$AA81)+SUMIFS(Dati!$J$2:$J$451,Dati!$H$2:$H$451,$H81,Dati!$A$2:$A$451,$AA81),"-")</f>
        <v/>
      </c>
      <c r="AZ81" s="22">
        <f>IF(AND($H81&lt;&gt;"",$AB81&lt;&gt;"",$H81&lt;&gt;$AB81,IFERROR(VLOOKUP($H81,areaCercaPuntiClassificaSquadra,3,FALSE),-1)=IFERROR(VLOOKUP($AB81,areaCercaPuntiClassificaSquadra,3,FALSE),-2)),SUMIFS(Dati!$D$2:$D$451,Dati!$A$2:$A$451,$H81,Dati!$H$2:$H$451,$AB81)+SUMIFS(Dati!$K$2:$K$451,Dati!$H$2:$H$451,$H81,Dati!$A$2:$A$451,$AB81)+SUMIFS(Dati!$C$2:$C$451,Dati!$A$2:$A$451,$H81,Dati!$H$2:$H$451,$AB81)+SUMIFS(Dati!$J$2:$J$451,Dati!$H$2:$H$451,$H81,Dati!$A$2:$A$451,$AB81),"-")</f>
        <v/>
      </c>
      <c r="BA81" s="22">
        <f>IF(AND($H81&lt;&gt;"",$AC81&lt;&gt;"",$H81&lt;&gt;$AC81,IFERROR(VLOOKUP($H81,areaCercaPuntiClassificaSquadra,3,FALSE),-1)=IFERROR(VLOOKUP($AC81,areaCercaPuntiClassificaSquadra,3,FALSE),-2)),SUMIFS(Dati!$D$2:$D$451,Dati!$A$2:$A$451,$H81,Dati!$H$2:$H$451,$AC81)+SUMIFS(Dati!$K$2:$K$451,Dati!$H$2:$H$451,$H81,Dati!$A$2:$A$451,$AC81)+SUMIFS(Dati!$C$2:$C$451,Dati!$A$2:$A$451,$H81,Dati!$H$2:$H$451,$AC81)+SUMIFS(Dati!$J$2:$J$451,Dati!$H$2:$H$451,$H81,Dati!$A$2:$A$451,$AC81),"-")</f>
        <v/>
      </c>
      <c r="BB81" s="22">
        <f>IF(AND($H81&lt;&gt;"",$AD81&lt;&gt;"",$H81&lt;&gt;$AD81,IFERROR(VLOOKUP($H81,areaCercaPuntiClassificaSquadra,3,FALSE),-1)=IFERROR(VLOOKUP($AD81,areaCercaPuntiClassificaSquadra,3,FALSE),-2)),SUMIFS(Dati!$D$2:$D$451,Dati!$A$2:$A$451,$H81,Dati!$H$2:$H$451,$AD81)+SUMIFS(Dati!$K$2:$K$451,Dati!$H$2:$H$451,$H81,Dati!$A$2:$A$451,$AD81)+SUMIFS(Dati!$C$2:$C$451,Dati!$A$2:$A$451,$H81,Dati!$H$2:$H$451,$AD81)+SUMIFS(Dati!$J$2:$J$451,Dati!$H$2:$H$451,$H81,Dati!$A$2:$A$451,$AD81),"-")</f>
        <v/>
      </c>
      <c r="BC81" s="22">
        <f>IF(AND($H81&lt;&gt;"",$AE81&lt;&gt;"",$H81&lt;&gt;$AE81,IFERROR(VLOOKUP($H81,areaCercaPuntiClassificaSquadra,3,FALSE),-1)=IFERROR(VLOOKUP($AE81,areaCercaPuntiClassificaSquadra,3,FALSE),-2)),SUMIFS(Dati!$D$2:$D$451,Dati!$A$2:$A$451,$H81,Dati!$H$2:$H$451,$AE81)+SUMIFS(Dati!$K$2:$K$451,Dati!$H$2:$H$451,$H81,Dati!$A$2:$A$451,$AE81)+SUMIFS(Dati!$C$2:$C$451,Dati!$A$2:$A$451,$H81,Dati!$H$2:$H$451,$AE81)+SUMIFS(Dati!$J$2:$J$451,Dati!$H$2:$H$451,$H81,Dati!$A$2:$A$451,$AE81),"-")</f>
        <v/>
      </c>
      <c r="BD81" s="22">
        <f>IF(AND($H81&lt;&gt;"",$AF81&lt;&gt;"",$H81&lt;&gt;$AF81,IFERROR(VLOOKUP($H81,areaCercaPuntiClassificaSquadra,3,FALSE),-1)=IFERROR(VLOOKUP($AF81,areaCercaPuntiClassificaSquadra,3,FALSE),-2)),SUMIFS(Dati!$D$2:$D$451,Dati!$A$2:$A$451,$H81,Dati!$H$2:$H$451,$AF81)+SUMIFS(Dati!$K$2:$K$451,Dati!$H$2:$H$451,$H81,Dati!$A$2:$A$451,$AF81)+SUMIFS(Dati!$C$2:$C$451,Dati!$A$2:$A$451,$H81,Dati!$H$2:$H$451,$AF81)+SUMIFS(Dati!$J$2:$J$451,Dati!$H$2:$H$451,$H81,Dati!$A$2:$A$451,$AF81),"-")</f>
        <v/>
      </c>
      <c r="BE81" s="22">
        <f>IF(AND($H81&lt;&gt;"",$AG81&lt;&gt;"",$H81&lt;&gt;$AG81,IFERROR(VLOOKUP($H81,areaCercaPuntiClassificaSquadra,3,FALSE),-1)=IFERROR(VLOOKUP($AG81,areaCercaPuntiClassificaSquadra,3,FALSE),-2)),SUMIFS(Dati!$D$2:$D$451,Dati!$A$2:$A$451,$H81,Dati!$H$2:$H$451,$AG81)+SUMIFS(Dati!$K$2:$K$451,Dati!$H$2:$H$451,$H81,Dati!$A$2:$A$451,$AG81)+SUMIFS(Dati!$C$2:$C$451,Dati!$A$2:$A$451,$H81,Dati!$H$2:$H$451,$AG81)+SUMIFS(Dati!$J$2:$J$451,Dati!$H$2:$H$451,$H81,Dati!$A$2:$A$451,$AG81),"-")</f>
        <v/>
      </c>
      <c r="BF81" s="22">
        <f>IF(AND($H81&lt;&gt;"",$AH81&lt;&gt;"",$H81&lt;&gt;$AH81,IFERROR(VLOOKUP($H81,areaCercaPuntiClassificaSquadra,3,FALSE),-1)=IFERROR(VLOOKUP($AH81,areaCercaPuntiClassificaSquadra,3,FALSE),-2)),SUMIFS(Dati!$D$2:$D$451,Dati!$A$2:$A$451,$H81,Dati!$H$2:$H$451,$AH81)+SUMIFS(Dati!$K$2:$K$451,Dati!$H$2:$H$451,$H81,Dati!$A$2:$A$451,$AH81)+SUMIFS(Dati!$C$2:$C$451,Dati!$A$2:$A$451,$H81,Dati!$H$2:$H$451,$AH81)+SUMIFS(Dati!$J$2:$J$451,Dati!$H$2:$H$451,$H81,Dati!$A$2:$A$451,$AH81),"-")</f>
        <v/>
      </c>
      <c r="BH81" s="21">
        <f>$C81</f>
        <v/>
      </c>
      <c r="BI81" s="22">
        <f>IF(AND($H81&lt;&gt;"",$Y81&lt;&gt;"",$H81&lt;&gt;$Y81,IFERROR(VLOOKUP($H81,areaCercaPuntiClassificaSquadra,3,FALSE),-1)=IFERROR(VLOOKUP($Y81,areaCercaPuntiClassificaSquadra,3,FALSE),-2)),SUMIFS(Dati!$E$2:$E$451,Dati!$A$2:$A$451,$H81,Dati!$H$2:$H$451,$Y81)+SUMIFS(Dati!$L$2:$L$451,Dati!$H$2:$H$451,$H81,Dati!$A$2:$A$451,$Y81),"-")</f>
        <v/>
      </c>
      <c r="BJ81" s="22">
        <f>IF(AND($H81&lt;&gt;"",$Z81&lt;&gt;"",$H81&lt;&gt;$Z81,IFERROR(VLOOKUP($H81,areaCercaPuntiClassificaSquadra,3,FALSE),-1)=IFERROR(VLOOKUP($Z81,areaCercaPuntiClassificaSquadra,3,FALSE),-2)),SUMIFS(Dati!$E$2:$E$451,Dati!$A$2:$A$451,$H81,Dati!$H$2:$H$451,$Z81)+SUMIFS(Dati!$L$2:$L$451,Dati!$H$2:$H$451,$H81,Dati!$A$2:$A$451,$Z81),"-")</f>
        <v/>
      </c>
      <c r="BK81" s="22">
        <f>IF(AND($H81&lt;&gt;"",$AA81&lt;&gt;"",$H81&lt;&gt;$AA81,IFERROR(VLOOKUP($H81,areaCercaPuntiClassificaSquadra,3,FALSE),-1)=IFERROR(VLOOKUP($AA81,areaCercaPuntiClassificaSquadra,3,FALSE),-2)),SUMIFS(Dati!$E$2:$E$451,Dati!$A$2:$A$451,$H81,Dati!$H$2:$H$451,$AA81)+SUMIFS(Dati!$L$2:$L$451,Dati!$H$2:$H$451,$H81,Dati!$A$2:$A$451,$AA81),"-")</f>
        <v/>
      </c>
      <c r="BL81" s="22">
        <f>IF(AND($H81&lt;&gt;"",$AB81&lt;&gt;"",$H81&lt;&gt;$AB81,IFERROR(VLOOKUP($H81,areaCercaPuntiClassificaSquadra,3,FALSE),-1)=IFERROR(VLOOKUP($AB81,areaCercaPuntiClassificaSquadra,3,FALSE),-2)),SUMIFS(Dati!$E$2:$E$451,Dati!$A$2:$A$451,$H81,Dati!$H$2:$H$451,$AB81)+SUMIFS(Dati!$L$2:$L$451,Dati!$H$2:$H$451,$H81,Dati!$A$2:$A$451,$AB81),"-")</f>
        <v/>
      </c>
      <c r="BM81" s="22">
        <f>IF(AND($H81&lt;&gt;"",$AC81&lt;&gt;"",$H81&lt;&gt;$AC81,IFERROR(VLOOKUP($H81,areaCercaPuntiClassificaSquadra,3,FALSE),-1)=IFERROR(VLOOKUP($AC81,areaCercaPuntiClassificaSquadra,3,FALSE),-2)),SUMIFS(Dati!$E$2:$E$451,Dati!$A$2:$A$451,$H81,Dati!$H$2:$H$451,$AC81)+SUMIFS(Dati!$L$2:$L$451,Dati!$H$2:$H$451,$H81,Dati!$A$2:$A$451,$AC81),"-")</f>
        <v/>
      </c>
      <c r="BN81" s="22">
        <f>IF(AND($H81&lt;&gt;"",$AD81&lt;&gt;"",$H81&lt;&gt;$AD81,IFERROR(VLOOKUP($H81,areaCercaPuntiClassificaSquadra,3,FALSE),-1)=IFERROR(VLOOKUP($AD81,areaCercaPuntiClassificaSquadra,3,FALSE),-2)),SUMIFS(Dati!$E$2:$E$451,Dati!$A$2:$A$451,$H81,Dati!$H$2:$H$451,$AD81)+SUMIFS(Dati!$L$2:$L$451,Dati!$H$2:$H$451,$H81,Dati!$A$2:$A$451,$AD81),"-")</f>
        <v/>
      </c>
      <c r="BO81" s="22">
        <f>IF(AND($H81&lt;&gt;"",$AE81&lt;&gt;"",$H81&lt;&gt;$AE81,IFERROR(VLOOKUP($H81,areaCercaPuntiClassificaSquadra,3,FALSE),-1)=IFERROR(VLOOKUP($AE81,areaCercaPuntiClassificaSquadra,3,FALSE),-2)),SUMIFS(Dati!$E$2:$E$451,Dati!$A$2:$A$451,$H81,Dati!$H$2:$H$451,$AE81)+SUMIFS(Dati!$L$2:$L$451,Dati!$H$2:$H$451,$H81,Dati!$A$2:$A$451,$AE81),"-")</f>
        <v/>
      </c>
      <c r="BP81" s="22">
        <f>IF(AND($H81&lt;&gt;"",$AF81&lt;&gt;"",$H81&lt;&gt;$AF81,IFERROR(VLOOKUP($H81,areaCercaPuntiClassificaSquadra,3,FALSE),-1)=IFERROR(VLOOKUP($AF81,areaCercaPuntiClassificaSquadra,3,FALSE),-2)),SUMIFS(Dati!$E$2:$E$451,Dati!$A$2:$A$451,$H81,Dati!$H$2:$H$451,$AF81)+SUMIFS(Dati!$L$2:$L$451,Dati!$H$2:$H$451,$H81,Dati!$A$2:$A$451,$AF81),"-")</f>
        <v/>
      </c>
      <c r="BQ81" s="22">
        <f>IF(AND($H81&lt;&gt;"",$AG81&lt;&gt;"",$H81&lt;&gt;$AG81,IFERROR(VLOOKUP($H81,areaCercaPuntiClassificaSquadra,3,FALSE),-1)=IFERROR(VLOOKUP($AG81,areaCercaPuntiClassificaSquadra,3,FALSE),-2)),SUMIFS(Dati!$E$2:$E$451,Dati!$A$2:$A$451,$H81,Dati!$H$2:$H$451,$AG81)+SUMIFS(Dati!$L$2:$L$451,Dati!$H$2:$H$451,$H81,Dati!$A$2:$A$451,$AG81),"-")</f>
        <v/>
      </c>
      <c r="BR81" s="22">
        <f>IF(AND($H81&lt;&gt;"",$AH81&lt;&gt;"",$H81&lt;&gt;$AH81,IFERROR(VLOOKUP($H81,areaCercaPuntiClassificaSquadra,3,FALSE),-1)=IFERROR(VLOOKUP($AH81,areaCercaPuntiClassificaSquadra,3,FALSE),-2)),SUMIFS(Dati!$E$2:$E$451,Dati!$A$2:$A$451,$H81,Dati!$H$2:$H$451,$AH81)+SUMIFS(Dati!$L$2:$L$451,Dati!$H$2:$H$451,$H81,Dati!$A$2:$A$451,$AH81),"-")</f>
        <v/>
      </c>
      <c r="BT81" s="21">
        <f>$C81</f>
        <v/>
      </c>
      <c r="BU81" s="22">
        <f>IF(AND($H81&lt;&gt;"",$Y81&lt;&gt;"",$H81&lt;&gt;$Y81,IFERROR(VLOOKUP($H81,areaCercaPuntiClassificaSquadra,3,FALSE),-1)=IFERROR(VLOOKUP($Y81,areaCercaPuntiClassificaSquadra,3,FALSE),-2)),SUMIFS(Dati!$F$2:$F$451,Dati!$A$2:$A$451,$H81,Dati!$H$2:$H$451,$Y81)+SUMIFS(Dati!$M$2:$M$451,Dati!$H$2:$H$451,$H81,Dati!$A$2:$A$451,$Y81),"-")</f>
        <v/>
      </c>
      <c r="BV81" s="22">
        <f>IF(AND($H81&lt;&gt;"",$Z81&lt;&gt;"",$H81&lt;&gt;$Z81,IFERROR(VLOOKUP($H81,areaCercaPuntiClassificaSquadra,3,FALSE),-1)=IFERROR(VLOOKUP($Z81,areaCercaPuntiClassificaSquadra,3,FALSE),-2)),SUMIFS(Dati!$F$2:$F$451,Dati!$A$2:$A$451,$H81,Dati!$H$2:$H$451,$Z81)+SUMIFS(Dati!$M$2:$M$451,Dati!$H$2:$H$451,$H81,Dati!$A$2:$A$451,$Z81),"-")</f>
        <v/>
      </c>
      <c r="BW81" s="22">
        <f>IF(AND($H81&lt;&gt;"",$AA81&lt;&gt;"",$H81&lt;&gt;$AA81,IFERROR(VLOOKUP($H81,areaCercaPuntiClassificaSquadra,3,FALSE),-1)=IFERROR(VLOOKUP($AA81,areaCercaPuntiClassificaSquadra,3,FALSE),-2)),SUMIFS(Dati!$F$2:$F$451,Dati!$A$2:$A$451,$H81,Dati!$H$2:$H$451,$AA81)+SUMIFS(Dati!$M$2:$M$451,Dati!$H$2:$H$451,$H81,Dati!$A$2:$A$451,$AA81),"-")</f>
        <v/>
      </c>
      <c r="BX81" s="22">
        <f>IF(AND($H81&lt;&gt;"",$AB81&lt;&gt;"",$H81&lt;&gt;$AB81,IFERROR(VLOOKUP($H81,areaCercaPuntiClassificaSquadra,3,FALSE),-1)=IFERROR(VLOOKUP($AB81,areaCercaPuntiClassificaSquadra,3,FALSE),-2)),SUMIFS(Dati!$F$2:$F$451,Dati!$A$2:$A$451,$H81,Dati!$H$2:$H$451,$AB81)+SUMIFS(Dati!$M$2:$M$451,Dati!$H$2:$H$451,$H81,Dati!$A$2:$A$451,$AB81),"-")</f>
        <v/>
      </c>
      <c r="BY81" s="22">
        <f>IF(AND($H81&lt;&gt;"",$AC81&lt;&gt;"",$H81&lt;&gt;$AC81,IFERROR(VLOOKUP($H81,areaCercaPuntiClassificaSquadra,3,FALSE),-1)=IFERROR(VLOOKUP($AC81,areaCercaPuntiClassificaSquadra,3,FALSE),-2)),SUMIFS(Dati!$F$2:$F$451,Dati!$A$2:$A$451,$H81,Dati!$H$2:$H$451,$AC81)+SUMIFS(Dati!$M$2:$M$451,Dati!$H$2:$H$451,$H81,Dati!$A$2:$A$451,$AC81),"-")</f>
        <v/>
      </c>
      <c r="BZ81" s="22">
        <f>IF(AND($H81&lt;&gt;"",$AD81&lt;&gt;"",$H81&lt;&gt;$AD81,IFERROR(VLOOKUP($H81,areaCercaPuntiClassificaSquadra,3,FALSE),-1)=IFERROR(VLOOKUP($AD81,areaCercaPuntiClassificaSquadra,3,FALSE),-2)),SUMIFS(Dati!$F$2:$F$451,Dati!$A$2:$A$451,$H81,Dati!$H$2:$H$451,$AD81)+SUMIFS(Dati!$M$2:$M$451,Dati!$H$2:$H$451,$H81,Dati!$A$2:$A$451,$AD81),"-")</f>
        <v/>
      </c>
      <c r="CA81" s="22">
        <f>IF(AND($H81&lt;&gt;"",$AE81&lt;&gt;"",$H81&lt;&gt;$AE81,IFERROR(VLOOKUP($H81,areaCercaPuntiClassificaSquadra,3,FALSE),-1)=IFERROR(VLOOKUP($AE81,areaCercaPuntiClassificaSquadra,3,FALSE),-2)),SUMIFS(Dati!$F$2:$F$451,Dati!$A$2:$A$451,$H81,Dati!$H$2:$H$451,$AE81)+SUMIFS(Dati!$M$2:$M$451,Dati!$H$2:$H$451,$H81,Dati!$A$2:$A$451,$AE81),"-")</f>
        <v/>
      </c>
      <c r="CB81" s="22">
        <f>IF(AND($H81&lt;&gt;"",$AF81&lt;&gt;"",$H81&lt;&gt;$AF81,IFERROR(VLOOKUP($H81,areaCercaPuntiClassificaSquadra,3,FALSE),-1)=IFERROR(VLOOKUP($AF81,areaCercaPuntiClassificaSquadra,3,FALSE),-2)),SUMIFS(Dati!$F$2:$F$451,Dati!$A$2:$A$451,$H81,Dati!$H$2:$H$451,$AF81)+SUMIFS(Dati!$M$2:$M$451,Dati!$H$2:$H$451,$H81,Dati!$A$2:$A$451,$AF81),"-")</f>
        <v/>
      </c>
      <c r="CC81" s="22">
        <f>IF(AND($H81&lt;&gt;"",$AG81&lt;&gt;"",$H81&lt;&gt;$AG81,IFERROR(VLOOKUP($H81,areaCercaPuntiClassificaSquadra,3,FALSE),-1)=IFERROR(VLOOKUP($AG81,areaCercaPuntiClassificaSquadra,3,FALSE),-2)),SUMIFS(Dati!$F$2:$F$451,Dati!$A$2:$A$451,$H81,Dati!$H$2:$H$451,$AG81)+SUMIFS(Dati!$M$2:$M$451,Dati!$H$2:$H$451,$H81,Dati!$A$2:$A$451,$AG81),"-")</f>
        <v/>
      </c>
      <c r="CD81" s="22">
        <f>IF(AND($H81&lt;&gt;"",$AH81&lt;&gt;"",$H81&lt;&gt;$AH81,IFERROR(VLOOKUP($H81,areaCercaPuntiClassificaSquadra,3,FALSE),-1)=IFERROR(VLOOKUP($AH81,areaCercaPuntiClassificaSquadra,3,FALSE),-2)),SUMIFS(Dati!$F$2:$F$451,Dati!$A$2:$A$451,$H81,Dati!$H$2:$H$451,$AH81)+SUMIFS(Dati!$M$2:$M$451,Dati!$H$2:$H$451,$H81,Dati!$A$2:$A$451,$AH81),"-")</f>
        <v/>
      </c>
      <c r="CF81" s="22">
        <f>IF($C81="","",SUM(AK81:AT81))</f>
        <v/>
      </c>
    </row>
    <row r="82">
      <c r="B82" s="12" t="inlineStr">
        <is>
          <t>G09</t>
        </is>
      </c>
      <c r="C82" s="13" t="n"/>
      <c r="D82" s="14" t="n"/>
      <c r="E82" s="33" t="inlineStr">
        <is>
          <t>G</t>
        </is>
      </c>
      <c r="G82" s="34">
        <f>IF($C82="","",$E82&amp;(COUNTIFS(I$14:I$113,"&gt;"&amp;I82,E$14:E$113,"="&amp;E82,C$14:C$113,"&lt;&gt;")+COUNTIFS(I$14:I$113,"="&amp;I82,H$14:H$113,"&lt;="&amp;H82,E$14:E$113,"="&amp;E82,C$14:C$113,"&lt;&gt;")))</f>
        <v/>
      </c>
      <c r="H82" s="17">
        <f>IF($C82="","",IFERROR(LEFT($C82,FIND("-",$C82)-1),$C82))</f>
        <v/>
      </c>
      <c r="I82" s="12">
        <f>TEXT(1000000000+J82,"|0000000000|")&amp;TEXT(SUM(AK82:AT82),"0000000000|")&amp;IF(SUM(BU82:CD82)=0,"0000000000|",TEXT(ROUND(SUM(BI82:BR82)/SUM(BU82:CD82),4)*100000,"0000000000|"))&amp;IF(P82=0,"0000000000|",TEXT(ROUND(O82/P82,4)*100000,"0000000000|"))</f>
        <v/>
      </c>
      <c r="J82" s="34">
        <f>L82*constPuntiVittoria+M82*constPuntiSconfitta+N82*constPuntiForfait+IF(D82="",0,D82)</f>
        <v/>
      </c>
      <c r="K82" s="12">
        <f>SUM(L82:N82)</f>
        <v/>
      </c>
      <c r="L82" s="12">
        <f>IF($H82="",0,SUMIF(Dati!$A$2:$A$451,$H82,Dati!$B$2:$B$451)+SUMIF(Dati!$H$2:$H$451,$H82,Dati!$I$2:$I$451))</f>
        <v/>
      </c>
      <c r="M82" s="12">
        <f>IF($H82="",0,SUMIF(Dati!$A$2:$A$451,$H82,Dati!$D$2:$D$451)+SUMIF(Dati!$H$2:$H$451,$H82,Dati!$K$2:$K$451))</f>
        <v/>
      </c>
      <c r="N82" s="12">
        <f>IF($H82="",0,SUMIF(Dati!$A$2:$A$451,$H82,Dati!$C$2:$C$451)+SUMIF(Dati!$H$2:$H$451,$H82,Dati!$J$2:$J$451))</f>
        <v/>
      </c>
      <c r="O82" s="12">
        <f>IF($H82="",0,SUMIF(Dati!$A$2:$A$451,$H82,Dati!$E$2:$E$451)+SUMIF(Dati!$H$2:$H$451,$H82,Dati!$L$2:$L$451))</f>
        <v/>
      </c>
      <c r="P82" s="12">
        <f>IF($H82="",0,SUMIF(Dati!$A$2:$A$451,$H82,Dati!$F$2:$F$451)+SUMIF(Dati!$H$2:$H$451,$H82,Dati!$M$2:$M$451))</f>
        <v/>
      </c>
      <c r="Q82" s="12">
        <f>IF($H82="",0,SUMIF(Dati!$A$2:$A$451,$H82,Dati!$G$2:$G$451)+SUMIF(Dati!$H$2:$H$451,$H82,Dati!$N$2:$N$451))</f>
        <v/>
      </c>
      <c r="R82" s="12">
        <f>IF(K82=0,0,ROUND(O82/K82,2))</f>
        <v/>
      </c>
      <c r="S82" s="12">
        <f>IF(K82=0,0,ROUND(P82/K82,2))</f>
        <v/>
      </c>
      <c r="T82" s="12">
        <f>IF(K82=0,0,ROUND(Q82/K82,2))</f>
        <v/>
      </c>
      <c r="U82" s="12">
        <f>IF(COUNTIFS($E$14:$E$113,$E82,$J$14:$J$113,$J82,$C$14:$C$113,"&lt;&gt;")&lt;=1,"-",SUM(AK82:AT82)&amp;"-"&amp;SUM(AW82:BF82))</f>
        <v/>
      </c>
      <c r="V82" s="18">
        <f>IF(COUNTIFS($E$14:$E$113,$E82,$J$14:$J$113,$J82,$C$14:$C$113,"&lt;&gt;",$CF$14:$CF$113,$CF82)&lt;=1,"-",IF(SUM(BU82:CD82)=0,0,ROUND(SUM(BI82:BR82)/SUM(BU82:CD82),3)))</f>
        <v/>
      </c>
      <c r="W82" s="18">
        <f>IF(COUNTIFS($E$14:$E$113,$E82,$J$14:$J$113,$J82,$C$14:$C$113,"&lt;&gt;",$CF$14:$CF$113,$CF82,$V$14:$V$113,$V82)&lt;=1,"-",IF(P82=0,0,ROUND(O82/P82,3)))</f>
        <v/>
      </c>
      <c r="X82" s="19">
        <f>IF($C82="","",$E82&amp;"#"&amp;COUNTIFS($E$14:$E82,$E82,$C$14:$C82,"&lt;&gt;"))</f>
        <v/>
      </c>
      <c r="Y82" s="20">
        <f>IFERROR(INDEX($H$14:$H$113,MATCH($E82&amp;"#1",$X$14:$X$113,0)),"")</f>
        <v/>
      </c>
      <c r="Z82" s="20">
        <f>IFERROR(INDEX($H$14:$H$113,MATCH($E82&amp;"#2",$X$14:$X$113,0)),"")</f>
        <v/>
      </c>
      <c r="AA82" s="20">
        <f>IFERROR(INDEX($H$14:$H$113,MATCH($E82&amp;"#3",$X$14:$X$113,0)),"")</f>
        <v/>
      </c>
      <c r="AB82" s="20">
        <f>IFERROR(INDEX($H$14:$H$113,MATCH($E82&amp;"#4",$X$14:$X$113,0)),"")</f>
        <v/>
      </c>
      <c r="AC82" s="20">
        <f>IFERROR(INDEX($H$14:$H$113,MATCH($E82&amp;"#5",$X$14:$X$113,0)),"")</f>
        <v/>
      </c>
      <c r="AD82" s="20">
        <f>IFERROR(INDEX($H$14:$H$113,MATCH($E82&amp;"#6",$X$14:$X$113,0)),"")</f>
        <v/>
      </c>
      <c r="AE82" s="20">
        <f>IFERROR(INDEX($H$14:$H$113,MATCH($E82&amp;"#7",$X$14:$X$113,0)),"")</f>
        <v/>
      </c>
      <c r="AF82" s="20">
        <f>IFERROR(INDEX($H$14:$H$113,MATCH($E82&amp;"#8",$X$14:$X$113,0)),"")</f>
        <v/>
      </c>
      <c r="AG82" s="20">
        <f>IFERROR(INDEX($H$14:$H$113,MATCH($E82&amp;"#9",$X$14:$X$113,0)),"")</f>
        <v/>
      </c>
      <c r="AH82" s="20">
        <f>IFERROR(INDEX($H$14:$H$113,MATCH($E82&amp;"#10",$X$14:$X$113,0)),"")</f>
        <v/>
      </c>
      <c r="AJ82" s="21">
        <f>$C82</f>
        <v/>
      </c>
      <c r="AK82" s="22">
        <f>IF(AND($H82&lt;&gt;"",$Y82&lt;&gt;"",$H82&lt;&gt;$Y82,IFERROR(VLOOKUP($H82,areaCercaPuntiClassificaSquadra,3,FALSE),-1)=IFERROR(VLOOKUP($Y82,areaCercaPuntiClassificaSquadra,3,FALSE),-2)),SUMIFS(Dati!$B$2:$B$451,Dati!$A$2:$A$451,$H82,Dati!$H$2:$H$451,$Y82)+SUMIFS(Dati!$I$2:$I$451,Dati!$H$2:$H$451,$H82,Dati!$A$2:$A$451,$Y82),"-")</f>
        <v/>
      </c>
      <c r="AL82" s="22">
        <f>IF(AND($H82&lt;&gt;"",$Z82&lt;&gt;"",$H82&lt;&gt;$Z82,IFERROR(VLOOKUP($H82,areaCercaPuntiClassificaSquadra,3,FALSE),-1)=IFERROR(VLOOKUP($Z82,areaCercaPuntiClassificaSquadra,3,FALSE),-2)),SUMIFS(Dati!$B$2:$B$451,Dati!$A$2:$A$451,$H82,Dati!$H$2:$H$451,$Z82)+SUMIFS(Dati!$I$2:$I$451,Dati!$H$2:$H$451,$H82,Dati!$A$2:$A$451,$Z82),"-")</f>
        <v/>
      </c>
      <c r="AM82" s="22">
        <f>IF(AND($H82&lt;&gt;"",$AA82&lt;&gt;"",$H82&lt;&gt;$AA82,IFERROR(VLOOKUP($H82,areaCercaPuntiClassificaSquadra,3,FALSE),-1)=IFERROR(VLOOKUP($AA82,areaCercaPuntiClassificaSquadra,3,FALSE),-2)),SUMIFS(Dati!$B$2:$B$451,Dati!$A$2:$A$451,$H82,Dati!$H$2:$H$451,$AA82)+SUMIFS(Dati!$I$2:$I$451,Dati!$H$2:$H$451,$H82,Dati!$A$2:$A$451,$AA82),"-")</f>
        <v/>
      </c>
      <c r="AN82" s="22">
        <f>IF(AND($H82&lt;&gt;"",$AB82&lt;&gt;"",$H82&lt;&gt;$AB82,IFERROR(VLOOKUP($H82,areaCercaPuntiClassificaSquadra,3,FALSE),-1)=IFERROR(VLOOKUP($AB82,areaCercaPuntiClassificaSquadra,3,FALSE),-2)),SUMIFS(Dati!$B$2:$B$451,Dati!$A$2:$A$451,$H82,Dati!$H$2:$H$451,$AB82)+SUMIFS(Dati!$I$2:$I$451,Dati!$H$2:$H$451,$H82,Dati!$A$2:$A$451,$AB82),"-")</f>
        <v/>
      </c>
      <c r="AO82" s="22">
        <f>IF(AND($H82&lt;&gt;"",$AC82&lt;&gt;"",$H82&lt;&gt;$AC82,IFERROR(VLOOKUP($H82,areaCercaPuntiClassificaSquadra,3,FALSE),-1)=IFERROR(VLOOKUP($AC82,areaCercaPuntiClassificaSquadra,3,FALSE),-2)),SUMIFS(Dati!$B$2:$B$451,Dati!$A$2:$A$451,$H82,Dati!$H$2:$H$451,$AC82)+SUMIFS(Dati!$I$2:$I$451,Dati!$H$2:$H$451,$H82,Dati!$A$2:$A$451,$AC82),"-")</f>
        <v/>
      </c>
      <c r="AP82" s="22">
        <f>IF(AND($H82&lt;&gt;"",$AD82&lt;&gt;"",$H82&lt;&gt;$AD82,IFERROR(VLOOKUP($H82,areaCercaPuntiClassificaSquadra,3,FALSE),-1)=IFERROR(VLOOKUP($AD82,areaCercaPuntiClassificaSquadra,3,FALSE),-2)),SUMIFS(Dati!$B$2:$B$451,Dati!$A$2:$A$451,$H82,Dati!$H$2:$H$451,$AD82)+SUMIFS(Dati!$I$2:$I$451,Dati!$H$2:$H$451,$H82,Dati!$A$2:$A$451,$AD82),"-")</f>
        <v/>
      </c>
      <c r="AQ82" s="22">
        <f>IF(AND($H82&lt;&gt;"",$AE82&lt;&gt;"",$H82&lt;&gt;$AE82,IFERROR(VLOOKUP($H82,areaCercaPuntiClassificaSquadra,3,FALSE),-1)=IFERROR(VLOOKUP($AE82,areaCercaPuntiClassificaSquadra,3,FALSE),-2)),SUMIFS(Dati!$B$2:$B$451,Dati!$A$2:$A$451,$H82,Dati!$H$2:$H$451,$AE82)+SUMIFS(Dati!$I$2:$I$451,Dati!$H$2:$H$451,$H82,Dati!$A$2:$A$451,$AE82),"-")</f>
        <v/>
      </c>
      <c r="AR82" s="22">
        <f>IF(AND($H82&lt;&gt;"",$AF82&lt;&gt;"",$H82&lt;&gt;$AF82,IFERROR(VLOOKUP($H82,areaCercaPuntiClassificaSquadra,3,FALSE),-1)=IFERROR(VLOOKUP($AF82,areaCercaPuntiClassificaSquadra,3,FALSE),-2)),SUMIFS(Dati!$B$2:$B$451,Dati!$A$2:$A$451,$H82,Dati!$H$2:$H$451,$AF82)+SUMIFS(Dati!$I$2:$I$451,Dati!$H$2:$H$451,$H82,Dati!$A$2:$A$451,$AF82),"-")</f>
        <v/>
      </c>
      <c r="AS82" s="22">
        <f>IF(AND($H82&lt;&gt;"",$AG82&lt;&gt;"",$H82&lt;&gt;$AG82,IFERROR(VLOOKUP($H82,areaCercaPuntiClassificaSquadra,3,FALSE),-1)=IFERROR(VLOOKUP($AG82,areaCercaPuntiClassificaSquadra,3,FALSE),-2)),SUMIFS(Dati!$B$2:$B$451,Dati!$A$2:$A$451,$H82,Dati!$H$2:$H$451,$AG82)+SUMIFS(Dati!$I$2:$I$451,Dati!$H$2:$H$451,$H82,Dati!$A$2:$A$451,$AG82),"-")</f>
        <v/>
      </c>
      <c r="AT82" s="22">
        <f>IF(AND($H82&lt;&gt;"",$AH82&lt;&gt;"",$H82&lt;&gt;$AH82,IFERROR(VLOOKUP($H82,areaCercaPuntiClassificaSquadra,3,FALSE),-1)=IFERROR(VLOOKUP($AH82,areaCercaPuntiClassificaSquadra,3,FALSE),-2)),SUMIFS(Dati!$B$2:$B$451,Dati!$A$2:$A$451,$H82,Dati!$H$2:$H$451,$AH82)+SUMIFS(Dati!$I$2:$I$451,Dati!$H$2:$H$451,$H82,Dati!$A$2:$A$451,$AH82),"-")</f>
        <v/>
      </c>
      <c r="AV82" s="21">
        <f>$C82</f>
        <v/>
      </c>
      <c r="AW82" s="22">
        <f>IF(AND($H82&lt;&gt;"",$Y82&lt;&gt;"",$H82&lt;&gt;$Y82,IFERROR(VLOOKUP($H82,areaCercaPuntiClassificaSquadra,3,FALSE),-1)=IFERROR(VLOOKUP($Y82,areaCercaPuntiClassificaSquadra,3,FALSE),-2)),SUMIFS(Dati!$D$2:$D$451,Dati!$A$2:$A$451,$H82,Dati!$H$2:$H$451,$Y82)+SUMIFS(Dati!$K$2:$K$451,Dati!$H$2:$H$451,$H82,Dati!$A$2:$A$451,$Y82)+SUMIFS(Dati!$C$2:$C$451,Dati!$A$2:$A$451,$H82,Dati!$H$2:$H$451,$Y82)+SUMIFS(Dati!$J$2:$J$451,Dati!$H$2:$H$451,$H82,Dati!$A$2:$A$451,$Y82),"-")</f>
        <v/>
      </c>
      <c r="AX82" s="22">
        <f>IF(AND($H82&lt;&gt;"",$Z82&lt;&gt;"",$H82&lt;&gt;$Z82,IFERROR(VLOOKUP($H82,areaCercaPuntiClassificaSquadra,3,FALSE),-1)=IFERROR(VLOOKUP($Z82,areaCercaPuntiClassificaSquadra,3,FALSE),-2)),SUMIFS(Dati!$D$2:$D$451,Dati!$A$2:$A$451,$H82,Dati!$H$2:$H$451,$Z82)+SUMIFS(Dati!$K$2:$K$451,Dati!$H$2:$H$451,$H82,Dati!$A$2:$A$451,$Z82)+SUMIFS(Dati!$C$2:$C$451,Dati!$A$2:$A$451,$H82,Dati!$H$2:$H$451,$Z82)+SUMIFS(Dati!$J$2:$J$451,Dati!$H$2:$H$451,$H82,Dati!$A$2:$A$451,$Z82),"-")</f>
        <v/>
      </c>
      <c r="AY82" s="22">
        <f>IF(AND($H82&lt;&gt;"",$AA82&lt;&gt;"",$H82&lt;&gt;$AA82,IFERROR(VLOOKUP($H82,areaCercaPuntiClassificaSquadra,3,FALSE),-1)=IFERROR(VLOOKUP($AA82,areaCercaPuntiClassificaSquadra,3,FALSE),-2)),SUMIFS(Dati!$D$2:$D$451,Dati!$A$2:$A$451,$H82,Dati!$H$2:$H$451,$AA82)+SUMIFS(Dati!$K$2:$K$451,Dati!$H$2:$H$451,$H82,Dati!$A$2:$A$451,$AA82)+SUMIFS(Dati!$C$2:$C$451,Dati!$A$2:$A$451,$H82,Dati!$H$2:$H$451,$AA82)+SUMIFS(Dati!$J$2:$J$451,Dati!$H$2:$H$451,$H82,Dati!$A$2:$A$451,$AA82),"-")</f>
        <v/>
      </c>
      <c r="AZ82" s="22">
        <f>IF(AND($H82&lt;&gt;"",$AB82&lt;&gt;"",$H82&lt;&gt;$AB82,IFERROR(VLOOKUP($H82,areaCercaPuntiClassificaSquadra,3,FALSE),-1)=IFERROR(VLOOKUP($AB82,areaCercaPuntiClassificaSquadra,3,FALSE),-2)),SUMIFS(Dati!$D$2:$D$451,Dati!$A$2:$A$451,$H82,Dati!$H$2:$H$451,$AB82)+SUMIFS(Dati!$K$2:$K$451,Dati!$H$2:$H$451,$H82,Dati!$A$2:$A$451,$AB82)+SUMIFS(Dati!$C$2:$C$451,Dati!$A$2:$A$451,$H82,Dati!$H$2:$H$451,$AB82)+SUMIFS(Dati!$J$2:$J$451,Dati!$H$2:$H$451,$H82,Dati!$A$2:$A$451,$AB82),"-")</f>
        <v/>
      </c>
      <c r="BA82" s="22">
        <f>IF(AND($H82&lt;&gt;"",$AC82&lt;&gt;"",$H82&lt;&gt;$AC82,IFERROR(VLOOKUP($H82,areaCercaPuntiClassificaSquadra,3,FALSE),-1)=IFERROR(VLOOKUP($AC82,areaCercaPuntiClassificaSquadra,3,FALSE),-2)),SUMIFS(Dati!$D$2:$D$451,Dati!$A$2:$A$451,$H82,Dati!$H$2:$H$451,$AC82)+SUMIFS(Dati!$K$2:$K$451,Dati!$H$2:$H$451,$H82,Dati!$A$2:$A$451,$AC82)+SUMIFS(Dati!$C$2:$C$451,Dati!$A$2:$A$451,$H82,Dati!$H$2:$H$451,$AC82)+SUMIFS(Dati!$J$2:$J$451,Dati!$H$2:$H$451,$H82,Dati!$A$2:$A$451,$AC82),"-")</f>
        <v/>
      </c>
      <c r="BB82" s="22">
        <f>IF(AND($H82&lt;&gt;"",$AD82&lt;&gt;"",$H82&lt;&gt;$AD82,IFERROR(VLOOKUP($H82,areaCercaPuntiClassificaSquadra,3,FALSE),-1)=IFERROR(VLOOKUP($AD82,areaCercaPuntiClassificaSquadra,3,FALSE),-2)),SUMIFS(Dati!$D$2:$D$451,Dati!$A$2:$A$451,$H82,Dati!$H$2:$H$451,$AD82)+SUMIFS(Dati!$K$2:$K$451,Dati!$H$2:$H$451,$H82,Dati!$A$2:$A$451,$AD82)+SUMIFS(Dati!$C$2:$C$451,Dati!$A$2:$A$451,$H82,Dati!$H$2:$H$451,$AD82)+SUMIFS(Dati!$J$2:$J$451,Dati!$H$2:$H$451,$H82,Dati!$A$2:$A$451,$AD82),"-")</f>
        <v/>
      </c>
      <c r="BC82" s="22">
        <f>IF(AND($H82&lt;&gt;"",$AE82&lt;&gt;"",$H82&lt;&gt;$AE82,IFERROR(VLOOKUP($H82,areaCercaPuntiClassificaSquadra,3,FALSE),-1)=IFERROR(VLOOKUP($AE82,areaCercaPuntiClassificaSquadra,3,FALSE),-2)),SUMIFS(Dati!$D$2:$D$451,Dati!$A$2:$A$451,$H82,Dati!$H$2:$H$451,$AE82)+SUMIFS(Dati!$K$2:$K$451,Dati!$H$2:$H$451,$H82,Dati!$A$2:$A$451,$AE82)+SUMIFS(Dati!$C$2:$C$451,Dati!$A$2:$A$451,$H82,Dati!$H$2:$H$451,$AE82)+SUMIFS(Dati!$J$2:$J$451,Dati!$H$2:$H$451,$H82,Dati!$A$2:$A$451,$AE82),"-")</f>
        <v/>
      </c>
      <c r="BD82" s="22">
        <f>IF(AND($H82&lt;&gt;"",$AF82&lt;&gt;"",$H82&lt;&gt;$AF82,IFERROR(VLOOKUP($H82,areaCercaPuntiClassificaSquadra,3,FALSE),-1)=IFERROR(VLOOKUP($AF82,areaCercaPuntiClassificaSquadra,3,FALSE),-2)),SUMIFS(Dati!$D$2:$D$451,Dati!$A$2:$A$451,$H82,Dati!$H$2:$H$451,$AF82)+SUMIFS(Dati!$K$2:$K$451,Dati!$H$2:$H$451,$H82,Dati!$A$2:$A$451,$AF82)+SUMIFS(Dati!$C$2:$C$451,Dati!$A$2:$A$451,$H82,Dati!$H$2:$H$451,$AF82)+SUMIFS(Dati!$J$2:$J$451,Dati!$H$2:$H$451,$H82,Dati!$A$2:$A$451,$AF82),"-")</f>
        <v/>
      </c>
      <c r="BE82" s="22">
        <f>IF(AND($H82&lt;&gt;"",$AG82&lt;&gt;"",$H82&lt;&gt;$AG82,IFERROR(VLOOKUP($H82,areaCercaPuntiClassificaSquadra,3,FALSE),-1)=IFERROR(VLOOKUP($AG82,areaCercaPuntiClassificaSquadra,3,FALSE),-2)),SUMIFS(Dati!$D$2:$D$451,Dati!$A$2:$A$451,$H82,Dati!$H$2:$H$451,$AG82)+SUMIFS(Dati!$K$2:$K$451,Dati!$H$2:$H$451,$H82,Dati!$A$2:$A$451,$AG82)+SUMIFS(Dati!$C$2:$C$451,Dati!$A$2:$A$451,$H82,Dati!$H$2:$H$451,$AG82)+SUMIFS(Dati!$J$2:$J$451,Dati!$H$2:$H$451,$H82,Dati!$A$2:$A$451,$AG82),"-")</f>
        <v/>
      </c>
      <c r="BF82" s="22">
        <f>IF(AND($H82&lt;&gt;"",$AH82&lt;&gt;"",$H82&lt;&gt;$AH82,IFERROR(VLOOKUP($H82,areaCercaPuntiClassificaSquadra,3,FALSE),-1)=IFERROR(VLOOKUP($AH82,areaCercaPuntiClassificaSquadra,3,FALSE),-2)),SUMIFS(Dati!$D$2:$D$451,Dati!$A$2:$A$451,$H82,Dati!$H$2:$H$451,$AH82)+SUMIFS(Dati!$K$2:$K$451,Dati!$H$2:$H$451,$H82,Dati!$A$2:$A$451,$AH82)+SUMIFS(Dati!$C$2:$C$451,Dati!$A$2:$A$451,$H82,Dati!$H$2:$H$451,$AH82)+SUMIFS(Dati!$J$2:$J$451,Dati!$H$2:$H$451,$H82,Dati!$A$2:$A$451,$AH82),"-")</f>
        <v/>
      </c>
      <c r="BH82" s="21">
        <f>$C82</f>
        <v/>
      </c>
      <c r="BI82" s="22">
        <f>IF(AND($H82&lt;&gt;"",$Y82&lt;&gt;"",$H82&lt;&gt;$Y82,IFERROR(VLOOKUP($H82,areaCercaPuntiClassificaSquadra,3,FALSE),-1)=IFERROR(VLOOKUP($Y82,areaCercaPuntiClassificaSquadra,3,FALSE),-2)),SUMIFS(Dati!$E$2:$E$451,Dati!$A$2:$A$451,$H82,Dati!$H$2:$H$451,$Y82)+SUMIFS(Dati!$L$2:$L$451,Dati!$H$2:$H$451,$H82,Dati!$A$2:$A$451,$Y82),"-")</f>
        <v/>
      </c>
      <c r="BJ82" s="22">
        <f>IF(AND($H82&lt;&gt;"",$Z82&lt;&gt;"",$H82&lt;&gt;$Z82,IFERROR(VLOOKUP($H82,areaCercaPuntiClassificaSquadra,3,FALSE),-1)=IFERROR(VLOOKUP($Z82,areaCercaPuntiClassificaSquadra,3,FALSE),-2)),SUMIFS(Dati!$E$2:$E$451,Dati!$A$2:$A$451,$H82,Dati!$H$2:$H$451,$Z82)+SUMIFS(Dati!$L$2:$L$451,Dati!$H$2:$H$451,$H82,Dati!$A$2:$A$451,$Z82),"-")</f>
        <v/>
      </c>
      <c r="BK82" s="22">
        <f>IF(AND($H82&lt;&gt;"",$AA82&lt;&gt;"",$H82&lt;&gt;$AA82,IFERROR(VLOOKUP($H82,areaCercaPuntiClassificaSquadra,3,FALSE),-1)=IFERROR(VLOOKUP($AA82,areaCercaPuntiClassificaSquadra,3,FALSE),-2)),SUMIFS(Dati!$E$2:$E$451,Dati!$A$2:$A$451,$H82,Dati!$H$2:$H$451,$AA82)+SUMIFS(Dati!$L$2:$L$451,Dati!$H$2:$H$451,$H82,Dati!$A$2:$A$451,$AA82),"-")</f>
        <v/>
      </c>
      <c r="BL82" s="22">
        <f>IF(AND($H82&lt;&gt;"",$AB82&lt;&gt;"",$H82&lt;&gt;$AB82,IFERROR(VLOOKUP($H82,areaCercaPuntiClassificaSquadra,3,FALSE),-1)=IFERROR(VLOOKUP($AB82,areaCercaPuntiClassificaSquadra,3,FALSE),-2)),SUMIFS(Dati!$E$2:$E$451,Dati!$A$2:$A$451,$H82,Dati!$H$2:$H$451,$AB82)+SUMIFS(Dati!$L$2:$L$451,Dati!$H$2:$H$451,$H82,Dati!$A$2:$A$451,$AB82),"-")</f>
        <v/>
      </c>
      <c r="BM82" s="22">
        <f>IF(AND($H82&lt;&gt;"",$AC82&lt;&gt;"",$H82&lt;&gt;$AC82,IFERROR(VLOOKUP($H82,areaCercaPuntiClassificaSquadra,3,FALSE),-1)=IFERROR(VLOOKUP($AC82,areaCercaPuntiClassificaSquadra,3,FALSE),-2)),SUMIFS(Dati!$E$2:$E$451,Dati!$A$2:$A$451,$H82,Dati!$H$2:$H$451,$AC82)+SUMIFS(Dati!$L$2:$L$451,Dati!$H$2:$H$451,$H82,Dati!$A$2:$A$451,$AC82),"-")</f>
        <v/>
      </c>
      <c r="BN82" s="22">
        <f>IF(AND($H82&lt;&gt;"",$AD82&lt;&gt;"",$H82&lt;&gt;$AD82,IFERROR(VLOOKUP($H82,areaCercaPuntiClassificaSquadra,3,FALSE),-1)=IFERROR(VLOOKUP($AD82,areaCercaPuntiClassificaSquadra,3,FALSE),-2)),SUMIFS(Dati!$E$2:$E$451,Dati!$A$2:$A$451,$H82,Dati!$H$2:$H$451,$AD82)+SUMIFS(Dati!$L$2:$L$451,Dati!$H$2:$H$451,$H82,Dati!$A$2:$A$451,$AD82),"-")</f>
        <v/>
      </c>
      <c r="BO82" s="22">
        <f>IF(AND($H82&lt;&gt;"",$AE82&lt;&gt;"",$H82&lt;&gt;$AE82,IFERROR(VLOOKUP($H82,areaCercaPuntiClassificaSquadra,3,FALSE),-1)=IFERROR(VLOOKUP($AE82,areaCercaPuntiClassificaSquadra,3,FALSE),-2)),SUMIFS(Dati!$E$2:$E$451,Dati!$A$2:$A$451,$H82,Dati!$H$2:$H$451,$AE82)+SUMIFS(Dati!$L$2:$L$451,Dati!$H$2:$H$451,$H82,Dati!$A$2:$A$451,$AE82),"-")</f>
        <v/>
      </c>
      <c r="BP82" s="22">
        <f>IF(AND($H82&lt;&gt;"",$AF82&lt;&gt;"",$H82&lt;&gt;$AF82,IFERROR(VLOOKUP($H82,areaCercaPuntiClassificaSquadra,3,FALSE),-1)=IFERROR(VLOOKUP($AF82,areaCercaPuntiClassificaSquadra,3,FALSE),-2)),SUMIFS(Dati!$E$2:$E$451,Dati!$A$2:$A$451,$H82,Dati!$H$2:$H$451,$AF82)+SUMIFS(Dati!$L$2:$L$451,Dati!$H$2:$H$451,$H82,Dati!$A$2:$A$451,$AF82),"-")</f>
        <v/>
      </c>
      <c r="BQ82" s="22">
        <f>IF(AND($H82&lt;&gt;"",$AG82&lt;&gt;"",$H82&lt;&gt;$AG82,IFERROR(VLOOKUP($H82,areaCercaPuntiClassificaSquadra,3,FALSE),-1)=IFERROR(VLOOKUP($AG82,areaCercaPuntiClassificaSquadra,3,FALSE),-2)),SUMIFS(Dati!$E$2:$E$451,Dati!$A$2:$A$451,$H82,Dati!$H$2:$H$451,$AG82)+SUMIFS(Dati!$L$2:$L$451,Dati!$H$2:$H$451,$H82,Dati!$A$2:$A$451,$AG82),"-")</f>
        <v/>
      </c>
      <c r="BR82" s="22">
        <f>IF(AND($H82&lt;&gt;"",$AH82&lt;&gt;"",$H82&lt;&gt;$AH82,IFERROR(VLOOKUP($H82,areaCercaPuntiClassificaSquadra,3,FALSE),-1)=IFERROR(VLOOKUP($AH82,areaCercaPuntiClassificaSquadra,3,FALSE),-2)),SUMIFS(Dati!$E$2:$E$451,Dati!$A$2:$A$451,$H82,Dati!$H$2:$H$451,$AH82)+SUMIFS(Dati!$L$2:$L$451,Dati!$H$2:$H$451,$H82,Dati!$A$2:$A$451,$AH82),"-")</f>
        <v/>
      </c>
      <c r="BT82" s="21">
        <f>$C82</f>
        <v/>
      </c>
      <c r="BU82" s="22">
        <f>IF(AND($H82&lt;&gt;"",$Y82&lt;&gt;"",$H82&lt;&gt;$Y82,IFERROR(VLOOKUP($H82,areaCercaPuntiClassificaSquadra,3,FALSE),-1)=IFERROR(VLOOKUP($Y82,areaCercaPuntiClassificaSquadra,3,FALSE),-2)),SUMIFS(Dati!$F$2:$F$451,Dati!$A$2:$A$451,$H82,Dati!$H$2:$H$451,$Y82)+SUMIFS(Dati!$M$2:$M$451,Dati!$H$2:$H$451,$H82,Dati!$A$2:$A$451,$Y82),"-")</f>
        <v/>
      </c>
      <c r="BV82" s="22">
        <f>IF(AND($H82&lt;&gt;"",$Z82&lt;&gt;"",$H82&lt;&gt;$Z82,IFERROR(VLOOKUP($H82,areaCercaPuntiClassificaSquadra,3,FALSE),-1)=IFERROR(VLOOKUP($Z82,areaCercaPuntiClassificaSquadra,3,FALSE),-2)),SUMIFS(Dati!$F$2:$F$451,Dati!$A$2:$A$451,$H82,Dati!$H$2:$H$451,$Z82)+SUMIFS(Dati!$M$2:$M$451,Dati!$H$2:$H$451,$H82,Dati!$A$2:$A$451,$Z82),"-")</f>
        <v/>
      </c>
      <c r="BW82" s="22">
        <f>IF(AND($H82&lt;&gt;"",$AA82&lt;&gt;"",$H82&lt;&gt;$AA82,IFERROR(VLOOKUP($H82,areaCercaPuntiClassificaSquadra,3,FALSE),-1)=IFERROR(VLOOKUP($AA82,areaCercaPuntiClassificaSquadra,3,FALSE),-2)),SUMIFS(Dati!$F$2:$F$451,Dati!$A$2:$A$451,$H82,Dati!$H$2:$H$451,$AA82)+SUMIFS(Dati!$M$2:$M$451,Dati!$H$2:$H$451,$H82,Dati!$A$2:$A$451,$AA82),"-")</f>
        <v/>
      </c>
      <c r="BX82" s="22">
        <f>IF(AND($H82&lt;&gt;"",$AB82&lt;&gt;"",$H82&lt;&gt;$AB82,IFERROR(VLOOKUP($H82,areaCercaPuntiClassificaSquadra,3,FALSE),-1)=IFERROR(VLOOKUP($AB82,areaCercaPuntiClassificaSquadra,3,FALSE),-2)),SUMIFS(Dati!$F$2:$F$451,Dati!$A$2:$A$451,$H82,Dati!$H$2:$H$451,$AB82)+SUMIFS(Dati!$M$2:$M$451,Dati!$H$2:$H$451,$H82,Dati!$A$2:$A$451,$AB82),"-")</f>
        <v/>
      </c>
      <c r="BY82" s="22">
        <f>IF(AND($H82&lt;&gt;"",$AC82&lt;&gt;"",$H82&lt;&gt;$AC82,IFERROR(VLOOKUP($H82,areaCercaPuntiClassificaSquadra,3,FALSE),-1)=IFERROR(VLOOKUP($AC82,areaCercaPuntiClassificaSquadra,3,FALSE),-2)),SUMIFS(Dati!$F$2:$F$451,Dati!$A$2:$A$451,$H82,Dati!$H$2:$H$451,$AC82)+SUMIFS(Dati!$M$2:$M$451,Dati!$H$2:$H$451,$H82,Dati!$A$2:$A$451,$AC82),"-")</f>
        <v/>
      </c>
      <c r="BZ82" s="22">
        <f>IF(AND($H82&lt;&gt;"",$AD82&lt;&gt;"",$H82&lt;&gt;$AD82,IFERROR(VLOOKUP($H82,areaCercaPuntiClassificaSquadra,3,FALSE),-1)=IFERROR(VLOOKUP($AD82,areaCercaPuntiClassificaSquadra,3,FALSE),-2)),SUMIFS(Dati!$F$2:$F$451,Dati!$A$2:$A$451,$H82,Dati!$H$2:$H$451,$AD82)+SUMIFS(Dati!$M$2:$M$451,Dati!$H$2:$H$451,$H82,Dati!$A$2:$A$451,$AD82),"-")</f>
        <v/>
      </c>
      <c r="CA82" s="22">
        <f>IF(AND($H82&lt;&gt;"",$AE82&lt;&gt;"",$H82&lt;&gt;$AE82,IFERROR(VLOOKUP($H82,areaCercaPuntiClassificaSquadra,3,FALSE),-1)=IFERROR(VLOOKUP($AE82,areaCercaPuntiClassificaSquadra,3,FALSE),-2)),SUMIFS(Dati!$F$2:$F$451,Dati!$A$2:$A$451,$H82,Dati!$H$2:$H$451,$AE82)+SUMIFS(Dati!$M$2:$M$451,Dati!$H$2:$H$451,$H82,Dati!$A$2:$A$451,$AE82),"-")</f>
        <v/>
      </c>
      <c r="CB82" s="22">
        <f>IF(AND($H82&lt;&gt;"",$AF82&lt;&gt;"",$H82&lt;&gt;$AF82,IFERROR(VLOOKUP($H82,areaCercaPuntiClassificaSquadra,3,FALSE),-1)=IFERROR(VLOOKUP($AF82,areaCercaPuntiClassificaSquadra,3,FALSE),-2)),SUMIFS(Dati!$F$2:$F$451,Dati!$A$2:$A$451,$H82,Dati!$H$2:$H$451,$AF82)+SUMIFS(Dati!$M$2:$M$451,Dati!$H$2:$H$451,$H82,Dati!$A$2:$A$451,$AF82),"-")</f>
        <v/>
      </c>
      <c r="CC82" s="22">
        <f>IF(AND($H82&lt;&gt;"",$AG82&lt;&gt;"",$H82&lt;&gt;$AG82,IFERROR(VLOOKUP($H82,areaCercaPuntiClassificaSquadra,3,FALSE),-1)=IFERROR(VLOOKUP($AG82,areaCercaPuntiClassificaSquadra,3,FALSE),-2)),SUMIFS(Dati!$F$2:$F$451,Dati!$A$2:$A$451,$H82,Dati!$H$2:$H$451,$AG82)+SUMIFS(Dati!$M$2:$M$451,Dati!$H$2:$H$451,$H82,Dati!$A$2:$A$451,$AG82),"-")</f>
        <v/>
      </c>
      <c r="CD82" s="22">
        <f>IF(AND($H82&lt;&gt;"",$AH82&lt;&gt;"",$H82&lt;&gt;$AH82,IFERROR(VLOOKUP($H82,areaCercaPuntiClassificaSquadra,3,FALSE),-1)=IFERROR(VLOOKUP($AH82,areaCercaPuntiClassificaSquadra,3,FALSE),-2)),SUMIFS(Dati!$F$2:$F$451,Dati!$A$2:$A$451,$H82,Dati!$H$2:$H$451,$AH82)+SUMIFS(Dati!$M$2:$M$451,Dati!$H$2:$H$451,$H82,Dati!$A$2:$A$451,$AH82),"-")</f>
        <v/>
      </c>
      <c r="CF82" s="22">
        <f>IF($C82="","",SUM(AK82:AT82))</f>
        <v/>
      </c>
    </row>
    <row r="83">
      <c r="B83" s="12" t="inlineStr">
        <is>
          <t>G10</t>
        </is>
      </c>
      <c r="C83" s="13" t="n"/>
      <c r="D83" s="14" t="n"/>
      <c r="E83" s="33" t="inlineStr">
        <is>
          <t>G</t>
        </is>
      </c>
      <c r="G83" s="34">
        <f>IF($C83="","",$E83&amp;(COUNTIFS(I$14:I$113,"&gt;"&amp;I83,E$14:E$113,"="&amp;E83,C$14:C$113,"&lt;&gt;")+COUNTIFS(I$14:I$113,"="&amp;I83,H$14:H$113,"&lt;="&amp;H83,E$14:E$113,"="&amp;E83,C$14:C$113,"&lt;&gt;")))</f>
        <v/>
      </c>
      <c r="H83" s="17">
        <f>IF($C83="","",IFERROR(LEFT($C83,FIND("-",$C83)-1),$C83))</f>
        <v/>
      </c>
      <c r="I83" s="12">
        <f>TEXT(1000000000+J83,"|0000000000|")&amp;TEXT(SUM(AK83:AT83),"0000000000|")&amp;IF(SUM(BU83:CD83)=0,"0000000000|",TEXT(ROUND(SUM(BI83:BR83)/SUM(BU83:CD83),4)*100000,"0000000000|"))&amp;IF(P83=0,"0000000000|",TEXT(ROUND(O83/P83,4)*100000,"0000000000|"))</f>
        <v/>
      </c>
      <c r="J83" s="34">
        <f>L83*constPuntiVittoria+M83*constPuntiSconfitta+N83*constPuntiForfait+IF(D83="",0,D83)</f>
        <v/>
      </c>
      <c r="K83" s="12">
        <f>SUM(L83:N83)</f>
        <v/>
      </c>
      <c r="L83" s="12">
        <f>IF($H83="",0,SUMIF(Dati!$A$2:$A$451,$H83,Dati!$B$2:$B$451)+SUMIF(Dati!$H$2:$H$451,$H83,Dati!$I$2:$I$451))</f>
        <v/>
      </c>
      <c r="M83" s="12">
        <f>IF($H83="",0,SUMIF(Dati!$A$2:$A$451,$H83,Dati!$D$2:$D$451)+SUMIF(Dati!$H$2:$H$451,$H83,Dati!$K$2:$K$451))</f>
        <v/>
      </c>
      <c r="N83" s="12">
        <f>IF($H83="",0,SUMIF(Dati!$A$2:$A$451,$H83,Dati!$C$2:$C$451)+SUMIF(Dati!$H$2:$H$451,$H83,Dati!$J$2:$J$451))</f>
        <v/>
      </c>
      <c r="O83" s="12">
        <f>IF($H83="",0,SUMIF(Dati!$A$2:$A$451,$H83,Dati!$E$2:$E$451)+SUMIF(Dati!$H$2:$H$451,$H83,Dati!$L$2:$L$451))</f>
        <v/>
      </c>
      <c r="P83" s="12">
        <f>IF($H83="",0,SUMIF(Dati!$A$2:$A$451,$H83,Dati!$F$2:$F$451)+SUMIF(Dati!$H$2:$H$451,$H83,Dati!$M$2:$M$451))</f>
        <v/>
      </c>
      <c r="Q83" s="12">
        <f>IF($H83="",0,SUMIF(Dati!$A$2:$A$451,$H83,Dati!$G$2:$G$451)+SUMIF(Dati!$H$2:$H$451,$H83,Dati!$N$2:$N$451))</f>
        <v/>
      </c>
      <c r="R83" s="12">
        <f>IF(K83=0,0,ROUND(O83/K83,2))</f>
        <v/>
      </c>
      <c r="S83" s="12">
        <f>IF(K83=0,0,ROUND(P83/K83,2))</f>
        <v/>
      </c>
      <c r="T83" s="12">
        <f>IF(K83=0,0,ROUND(Q83/K83,2))</f>
        <v/>
      </c>
      <c r="U83" s="12">
        <f>IF(COUNTIFS($E$14:$E$113,$E83,$J$14:$J$113,$J83,$C$14:$C$113,"&lt;&gt;")&lt;=1,"-",SUM(AK83:AT83)&amp;"-"&amp;SUM(AW83:BF83))</f>
        <v/>
      </c>
      <c r="V83" s="18">
        <f>IF(COUNTIFS($E$14:$E$113,$E83,$J$14:$J$113,$J83,$C$14:$C$113,"&lt;&gt;",$CF$14:$CF$113,$CF83)&lt;=1,"-",IF(SUM(BU83:CD83)=0,0,ROUND(SUM(BI83:BR83)/SUM(BU83:CD83),3)))</f>
        <v/>
      </c>
      <c r="W83" s="18">
        <f>IF(COUNTIFS($E$14:$E$113,$E83,$J$14:$J$113,$J83,$C$14:$C$113,"&lt;&gt;",$CF$14:$CF$113,$CF83,$V$14:$V$113,$V83)&lt;=1,"-",IF(P83=0,0,ROUND(O83/P83,3)))</f>
        <v/>
      </c>
      <c r="X83" s="19">
        <f>IF($C83="","",$E83&amp;"#"&amp;COUNTIFS($E$14:$E83,$E83,$C$14:$C83,"&lt;&gt;"))</f>
        <v/>
      </c>
      <c r="Y83" s="20">
        <f>IFERROR(INDEX($H$14:$H$113,MATCH($E83&amp;"#1",$X$14:$X$113,0)),"")</f>
        <v/>
      </c>
      <c r="Z83" s="20">
        <f>IFERROR(INDEX($H$14:$H$113,MATCH($E83&amp;"#2",$X$14:$X$113,0)),"")</f>
        <v/>
      </c>
      <c r="AA83" s="20">
        <f>IFERROR(INDEX($H$14:$H$113,MATCH($E83&amp;"#3",$X$14:$X$113,0)),"")</f>
        <v/>
      </c>
      <c r="AB83" s="20">
        <f>IFERROR(INDEX($H$14:$H$113,MATCH($E83&amp;"#4",$X$14:$X$113,0)),"")</f>
        <v/>
      </c>
      <c r="AC83" s="20">
        <f>IFERROR(INDEX($H$14:$H$113,MATCH($E83&amp;"#5",$X$14:$X$113,0)),"")</f>
        <v/>
      </c>
      <c r="AD83" s="20">
        <f>IFERROR(INDEX($H$14:$H$113,MATCH($E83&amp;"#6",$X$14:$X$113,0)),"")</f>
        <v/>
      </c>
      <c r="AE83" s="20">
        <f>IFERROR(INDEX($H$14:$H$113,MATCH($E83&amp;"#7",$X$14:$X$113,0)),"")</f>
        <v/>
      </c>
      <c r="AF83" s="20">
        <f>IFERROR(INDEX($H$14:$H$113,MATCH($E83&amp;"#8",$X$14:$X$113,0)),"")</f>
        <v/>
      </c>
      <c r="AG83" s="20">
        <f>IFERROR(INDEX($H$14:$H$113,MATCH($E83&amp;"#9",$X$14:$X$113,0)),"")</f>
        <v/>
      </c>
      <c r="AH83" s="20">
        <f>IFERROR(INDEX($H$14:$H$113,MATCH($E83&amp;"#10",$X$14:$X$113,0)),"")</f>
        <v/>
      </c>
      <c r="AJ83" s="21">
        <f>$C83</f>
        <v/>
      </c>
      <c r="AK83" s="22">
        <f>IF(AND($H83&lt;&gt;"",$Y83&lt;&gt;"",$H83&lt;&gt;$Y83,IFERROR(VLOOKUP($H83,areaCercaPuntiClassificaSquadra,3,FALSE),-1)=IFERROR(VLOOKUP($Y83,areaCercaPuntiClassificaSquadra,3,FALSE),-2)),SUMIFS(Dati!$B$2:$B$451,Dati!$A$2:$A$451,$H83,Dati!$H$2:$H$451,$Y83)+SUMIFS(Dati!$I$2:$I$451,Dati!$H$2:$H$451,$H83,Dati!$A$2:$A$451,$Y83),"-")</f>
        <v/>
      </c>
      <c r="AL83" s="22">
        <f>IF(AND($H83&lt;&gt;"",$Z83&lt;&gt;"",$H83&lt;&gt;$Z83,IFERROR(VLOOKUP($H83,areaCercaPuntiClassificaSquadra,3,FALSE),-1)=IFERROR(VLOOKUP($Z83,areaCercaPuntiClassificaSquadra,3,FALSE),-2)),SUMIFS(Dati!$B$2:$B$451,Dati!$A$2:$A$451,$H83,Dati!$H$2:$H$451,$Z83)+SUMIFS(Dati!$I$2:$I$451,Dati!$H$2:$H$451,$H83,Dati!$A$2:$A$451,$Z83),"-")</f>
        <v/>
      </c>
      <c r="AM83" s="22">
        <f>IF(AND($H83&lt;&gt;"",$AA83&lt;&gt;"",$H83&lt;&gt;$AA83,IFERROR(VLOOKUP($H83,areaCercaPuntiClassificaSquadra,3,FALSE),-1)=IFERROR(VLOOKUP($AA83,areaCercaPuntiClassificaSquadra,3,FALSE),-2)),SUMIFS(Dati!$B$2:$B$451,Dati!$A$2:$A$451,$H83,Dati!$H$2:$H$451,$AA83)+SUMIFS(Dati!$I$2:$I$451,Dati!$H$2:$H$451,$H83,Dati!$A$2:$A$451,$AA83),"-")</f>
        <v/>
      </c>
      <c r="AN83" s="22">
        <f>IF(AND($H83&lt;&gt;"",$AB83&lt;&gt;"",$H83&lt;&gt;$AB83,IFERROR(VLOOKUP($H83,areaCercaPuntiClassificaSquadra,3,FALSE),-1)=IFERROR(VLOOKUP($AB83,areaCercaPuntiClassificaSquadra,3,FALSE),-2)),SUMIFS(Dati!$B$2:$B$451,Dati!$A$2:$A$451,$H83,Dati!$H$2:$H$451,$AB83)+SUMIFS(Dati!$I$2:$I$451,Dati!$H$2:$H$451,$H83,Dati!$A$2:$A$451,$AB83),"-")</f>
        <v/>
      </c>
      <c r="AO83" s="22">
        <f>IF(AND($H83&lt;&gt;"",$AC83&lt;&gt;"",$H83&lt;&gt;$AC83,IFERROR(VLOOKUP($H83,areaCercaPuntiClassificaSquadra,3,FALSE),-1)=IFERROR(VLOOKUP($AC83,areaCercaPuntiClassificaSquadra,3,FALSE),-2)),SUMIFS(Dati!$B$2:$B$451,Dati!$A$2:$A$451,$H83,Dati!$H$2:$H$451,$AC83)+SUMIFS(Dati!$I$2:$I$451,Dati!$H$2:$H$451,$H83,Dati!$A$2:$A$451,$AC83),"-")</f>
        <v/>
      </c>
      <c r="AP83" s="22">
        <f>IF(AND($H83&lt;&gt;"",$AD83&lt;&gt;"",$H83&lt;&gt;$AD83,IFERROR(VLOOKUP($H83,areaCercaPuntiClassificaSquadra,3,FALSE),-1)=IFERROR(VLOOKUP($AD83,areaCercaPuntiClassificaSquadra,3,FALSE),-2)),SUMIFS(Dati!$B$2:$B$451,Dati!$A$2:$A$451,$H83,Dati!$H$2:$H$451,$AD83)+SUMIFS(Dati!$I$2:$I$451,Dati!$H$2:$H$451,$H83,Dati!$A$2:$A$451,$AD83),"-")</f>
        <v/>
      </c>
      <c r="AQ83" s="22">
        <f>IF(AND($H83&lt;&gt;"",$AE83&lt;&gt;"",$H83&lt;&gt;$AE83,IFERROR(VLOOKUP($H83,areaCercaPuntiClassificaSquadra,3,FALSE),-1)=IFERROR(VLOOKUP($AE83,areaCercaPuntiClassificaSquadra,3,FALSE),-2)),SUMIFS(Dati!$B$2:$B$451,Dati!$A$2:$A$451,$H83,Dati!$H$2:$H$451,$AE83)+SUMIFS(Dati!$I$2:$I$451,Dati!$H$2:$H$451,$H83,Dati!$A$2:$A$451,$AE83),"-")</f>
        <v/>
      </c>
      <c r="AR83" s="22">
        <f>IF(AND($H83&lt;&gt;"",$AF83&lt;&gt;"",$H83&lt;&gt;$AF83,IFERROR(VLOOKUP($H83,areaCercaPuntiClassificaSquadra,3,FALSE),-1)=IFERROR(VLOOKUP($AF83,areaCercaPuntiClassificaSquadra,3,FALSE),-2)),SUMIFS(Dati!$B$2:$B$451,Dati!$A$2:$A$451,$H83,Dati!$H$2:$H$451,$AF83)+SUMIFS(Dati!$I$2:$I$451,Dati!$H$2:$H$451,$H83,Dati!$A$2:$A$451,$AF83),"-")</f>
        <v/>
      </c>
      <c r="AS83" s="22">
        <f>IF(AND($H83&lt;&gt;"",$AG83&lt;&gt;"",$H83&lt;&gt;$AG83,IFERROR(VLOOKUP($H83,areaCercaPuntiClassificaSquadra,3,FALSE),-1)=IFERROR(VLOOKUP($AG83,areaCercaPuntiClassificaSquadra,3,FALSE),-2)),SUMIFS(Dati!$B$2:$B$451,Dati!$A$2:$A$451,$H83,Dati!$H$2:$H$451,$AG83)+SUMIFS(Dati!$I$2:$I$451,Dati!$H$2:$H$451,$H83,Dati!$A$2:$A$451,$AG83),"-")</f>
        <v/>
      </c>
      <c r="AT83" s="22">
        <f>IF(AND($H83&lt;&gt;"",$AH83&lt;&gt;"",$H83&lt;&gt;$AH83,IFERROR(VLOOKUP($H83,areaCercaPuntiClassificaSquadra,3,FALSE),-1)=IFERROR(VLOOKUP($AH83,areaCercaPuntiClassificaSquadra,3,FALSE),-2)),SUMIFS(Dati!$B$2:$B$451,Dati!$A$2:$A$451,$H83,Dati!$H$2:$H$451,$AH83)+SUMIFS(Dati!$I$2:$I$451,Dati!$H$2:$H$451,$H83,Dati!$A$2:$A$451,$AH83),"-")</f>
        <v/>
      </c>
      <c r="AV83" s="21">
        <f>$C83</f>
        <v/>
      </c>
      <c r="AW83" s="22">
        <f>IF(AND($H83&lt;&gt;"",$Y83&lt;&gt;"",$H83&lt;&gt;$Y83,IFERROR(VLOOKUP($H83,areaCercaPuntiClassificaSquadra,3,FALSE),-1)=IFERROR(VLOOKUP($Y83,areaCercaPuntiClassificaSquadra,3,FALSE),-2)),SUMIFS(Dati!$D$2:$D$451,Dati!$A$2:$A$451,$H83,Dati!$H$2:$H$451,$Y83)+SUMIFS(Dati!$K$2:$K$451,Dati!$H$2:$H$451,$H83,Dati!$A$2:$A$451,$Y83)+SUMIFS(Dati!$C$2:$C$451,Dati!$A$2:$A$451,$H83,Dati!$H$2:$H$451,$Y83)+SUMIFS(Dati!$J$2:$J$451,Dati!$H$2:$H$451,$H83,Dati!$A$2:$A$451,$Y83),"-")</f>
        <v/>
      </c>
      <c r="AX83" s="22">
        <f>IF(AND($H83&lt;&gt;"",$Z83&lt;&gt;"",$H83&lt;&gt;$Z83,IFERROR(VLOOKUP($H83,areaCercaPuntiClassificaSquadra,3,FALSE),-1)=IFERROR(VLOOKUP($Z83,areaCercaPuntiClassificaSquadra,3,FALSE),-2)),SUMIFS(Dati!$D$2:$D$451,Dati!$A$2:$A$451,$H83,Dati!$H$2:$H$451,$Z83)+SUMIFS(Dati!$K$2:$K$451,Dati!$H$2:$H$451,$H83,Dati!$A$2:$A$451,$Z83)+SUMIFS(Dati!$C$2:$C$451,Dati!$A$2:$A$451,$H83,Dati!$H$2:$H$451,$Z83)+SUMIFS(Dati!$J$2:$J$451,Dati!$H$2:$H$451,$H83,Dati!$A$2:$A$451,$Z83),"-")</f>
        <v/>
      </c>
      <c r="AY83" s="22">
        <f>IF(AND($H83&lt;&gt;"",$AA83&lt;&gt;"",$H83&lt;&gt;$AA83,IFERROR(VLOOKUP($H83,areaCercaPuntiClassificaSquadra,3,FALSE),-1)=IFERROR(VLOOKUP($AA83,areaCercaPuntiClassificaSquadra,3,FALSE),-2)),SUMIFS(Dati!$D$2:$D$451,Dati!$A$2:$A$451,$H83,Dati!$H$2:$H$451,$AA83)+SUMIFS(Dati!$K$2:$K$451,Dati!$H$2:$H$451,$H83,Dati!$A$2:$A$451,$AA83)+SUMIFS(Dati!$C$2:$C$451,Dati!$A$2:$A$451,$H83,Dati!$H$2:$H$451,$AA83)+SUMIFS(Dati!$J$2:$J$451,Dati!$H$2:$H$451,$H83,Dati!$A$2:$A$451,$AA83),"-")</f>
        <v/>
      </c>
      <c r="AZ83" s="22">
        <f>IF(AND($H83&lt;&gt;"",$AB83&lt;&gt;"",$H83&lt;&gt;$AB83,IFERROR(VLOOKUP($H83,areaCercaPuntiClassificaSquadra,3,FALSE),-1)=IFERROR(VLOOKUP($AB83,areaCercaPuntiClassificaSquadra,3,FALSE),-2)),SUMIFS(Dati!$D$2:$D$451,Dati!$A$2:$A$451,$H83,Dati!$H$2:$H$451,$AB83)+SUMIFS(Dati!$K$2:$K$451,Dati!$H$2:$H$451,$H83,Dati!$A$2:$A$451,$AB83)+SUMIFS(Dati!$C$2:$C$451,Dati!$A$2:$A$451,$H83,Dati!$H$2:$H$451,$AB83)+SUMIFS(Dati!$J$2:$J$451,Dati!$H$2:$H$451,$H83,Dati!$A$2:$A$451,$AB83),"-")</f>
        <v/>
      </c>
      <c r="BA83" s="22">
        <f>IF(AND($H83&lt;&gt;"",$AC83&lt;&gt;"",$H83&lt;&gt;$AC83,IFERROR(VLOOKUP($H83,areaCercaPuntiClassificaSquadra,3,FALSE),-1)=IFERROR(VLOOKUP($AC83,areaCercaPuntiClassificaSquadra,3,FALSE),-2)),SUMIFS(Dati!$D$2:$D$451,Dati!$A$2:$A$451,$H83,Dati!$H$2:$H$451,$AC83)+SUMIFS(Dati!$K$2:$K$451,Dati!$H$2:$H$451,$H83,Dati!$A$2:$A$451,$AC83)+SUMIFS(Dati!$C$2:$C$451,Dati!$A$2:$A$451,$H83,Dati!$H$2:$H$451,$AC83)+SUMIFS(Dati!$J$2:$J$451,Dati!$H$2:$H$451,$H83,Dati!$A$2:$A$451,$AC83),"-")</f>
        <v/>
      </c>
      <c r="BB83" s="22">
        <f>IF(AND($H83&lt;&gt;"",$AD83&lt;&gt;"",$H83&lt;&gt;$AD83,IFERROR(VLOOKUP($H83,areaCercaPuntiClassificaSquadra,3,FALSE),-1)=IFERROR(VLOOKUP($AD83,areaCercaPuntiClassificaSquadra,3,FALSE),-2)),SUMIFS(Dati!$D$2:$D$451,Dati!$A$2:$A$451,$H83,Dati!$H$2:$H$451,$AD83)+SUMIFS(Dati!$K$2:$K$451,Dati!$H$2:$H$451,$H83,Dati!$A$2:$A$451,$AD83)+SUMIFS(Dati!$C$2:$C$451,Dati!$A$2:$A$451,$H83,Dati!$H$2:$H$451,$AD83)+SUMIFS(Dati!$J$2:$J$451,Dati!$H$2:$H$451,$H83,Dati!$A$2:$A$451,$AD83),"-")</f>
        <v/>
      </c>
      <c r="BC83" s="22">
        <f>IF(AND($H83&lt;&gt;"",$AE83&lt;&gt;"",$H83&lt;&gt;$AE83,IFERROR(VLOOKUP($H83,areaCercaPuntiClassificaSquadra,3,FALSE),-1)=IFERROR(VLOOKUP($AE83,areaCercaPuntiClassificaSquadra,3,FALSE),-2)),SUMIFS(Dati!$D$2:$D$451,Dati!$A$2:$A$451,$H83,Dati!$H$2:$H$451,$AE83)+SUMIFS(Dati!$K$2:$K$451,Dati!$H$2:$H$451,$H83,Dati!$A$2:$A$451,$AE83)+SUMIFS(Dati!$C$2:$C$451,Dati!$A$2:$A$451,$H83,Dati!$H$2:$H$451,$AE83)+SUMIFS(Dati!$J$2:$J$451,Dati!$H$2:$H$451,$H83,Dati!$A$2:$A$451,$AE83),"-")</f>
        <v/>
      </c>
      <c r="BD83" s="22">
        <f>IF(AND($H83&lt;&gt;"",$AF83&lt;&gt;"",$H83&lt;&gt;$AF83,IFERROR(VLOOKUP($H83,areaCercaPuntiClassificaSquadra,3,FALSE),-1)=IFERROR(VLOOKUP($AF83,areaCercaPuntiClassificaSquadra,3,FALSE),-2)),SUMIFS(Dati!$D$2:$D$451,Dati!$A$2:$A$451,$H83,Dati!$H$2:$H$451,$AF83)+SUMIFS(Dati!$K$2:$K$451,Dati!$H$2:$H$451,$H83,Dati!$A$2:$A$451,$AF83)+SUMIFS(Dati!$C$2:$C$451,Dati!$A$2:$A$451,$H83,Dati!$H$2:$H$451,$AF83)+SUMIFS(Dati!$J$2:$J$451,Dati!$H$2:$H$451,$H83,Dati!$A$2:$A$451,$AF83),"-")</f>
        <v/>
      </c>
      <c r="BE83" s="22">
        <f>IF(AND($H83&lt;&gt;"",$AG83&lt;&gt;"",$H83&lt;&gt;$AG83,IFERROR(VLOOKUP($H83,areaCercaPuntiClassificaSquadra,3,FALSE),-1)=IFERROR(VLOOKUP($AG83,areaCercaPuntiClassificaSquadra,3,FALSE),-2)),SUMIFS(Dati!$D$2:$D$451,Dati!$A$2:$A$451,$H83,Dati!$H$2:$H$451,$AG83)+SUMIFS(Dati!$K$2:$K$451,Dati!$H$2:$H$451,$H83,Dati!$A$2:$A$451,$AG83)+SUMIFS(Dati!$C$2:$C$451,Dati!$A$2:$A$451,$H83,Dati!$H$2:$H$451,$AG83)+SUMIFS(Dati!$J$2:$J$451,Dati!$H$2:$H$451,$H83,Dati!$A$2:$A$451,$AG83),"-")</f>
        <v/>
      </c>
      <c r="BF83" s="22">
        <f>IF(AND($H83&lt;&gt;"",$AH83&lt;&gt;"",$H83&lt;&gt;$AH83,IFERROR(VLOOKUP($H83,areaCercaPuntiClassificaSquadra,3,FALSE),-1)=IFERROR(VLOOKUP($AH83,areaCercaPuntiClassificaSquadra,3,FALSE),-2)),SUMIFS(Dati!$D$2:$D$451,Dati!$A$2:$A$451,$H83,Dati!$H$2:$H$451,$AH83)+SUMIFS(Dati!$K$2:$K$451,Dati!$H$2:$H$451,$H83,Dati!$A$2:$A$451,$AH83)+SUMIFS(Dati!$C$2:$C$451,Dati!$A$2:$A$451,$H83,Dati!$H$2:$H$451,$AH83)+SUMIFS(Dati!$J$2:$J$451,Dati!$H$2:$H$451,$H83,Dati!$A$2:$A$451,$AH83),"-")</f>
        <v/>
      </c>
      <c r="BH83" s="21">
        <f>$C83</f>
        <v/>
      </c>
      <c r="BI83" s="22">
        <f>IF(AND($H83&lt;&gt;"",$Y83&lt;&gt;"",$H83&lt;&gt;$Y83,IFERROR(VLOOKUP($H83,areaCercaPuntiClassificaSquadra,3,FALSE),-1)=IFERROR(VLOOKUP($Y83,areaCercaPuntiClassificaSquadra,3,FALSE),-2)),SUMIFS(Dati!$E$2:$E$451,Dati!$A$2:$A$451,$H83,Dati!$H$2:$H$451,$Y83)+SUMIFS(Dati!$L$2:$L$451,Dati!$H$2:$H$451,$H83,Dati!$A$2:$A$451,$Y83),"-")</f>
        <v/>
      </c>
      <c r="BJ83" s="22">
        <f>IF(AND($H83&lt;&gt;"",$Z83&lt;&gt;"",$H83&lt;&gt;$Z83,IFERROR(VLOOKUP($H83,areaCercaPuntiClassificaSquadra,3,FALSE),-1)=IFERROR(VLOOKUP($Z83,areaCercaPuntiClassificaSquadra,3,FALSE),-2)),SUMIFS(Dati!$E$2:$E$451,Dati!$A$2:$A$451,$H83,Dati!$H$2:$H$451,$Z83)+SUMIFS(Dati!$L$2:$L$451,Dati!$H$2:$H$451,$H83,Dati!$A$2:$A$451,$Z83),"-")</f>
        <v/>
      </c>
      <c r="BK83" s="22">
        <f>IF(AND($H83&lt;&gt;"",$AA83&lt;&gt;"",$H83&lt;&gt;$AA83,IFERROR(VLOOKUP($H83,areaCercaPuntiClassificaSquadra,3,FALSE),-1)=IFERROR(VLOOKUP($AA83,areaCercaPuntiClassificaSquadra,3,FALSE),-2)),SUMIFS(Dati!$E$2:$E$451,Dati!$A$2:$A$451,$H83,Dati!$H$2:$H$451,$AA83)+SUMIFS(Dati!$L$2:$L$451,Dati!$H$2:$H$451,$H83,Dati!$A$2:$A$451,$AA83),"-")</f>
        <v/>
      </c>
      <c r="BL83" s="22">
        <f>IF(AND($H83&lt;&gt;"",$AB83&lt;&gt;"",$H83&lt;&gt;$AB83,IFERROR(VLOOKUP($H83,areaCercaPuntiClassificaSquadra,3,FALSE),-1)=IFERROR(VLOOKUP($AB83,areaCercaPuntiClassificaSquadra,3,FALSE),-2)),SUMIFS(Dati!$E$2:$E$451,Dati!$A$2:$A$451,$H83,Dati!$H$2:$H$451,$AB83)+SUMIFS(Dati!$L$2:$L$451,Dati!$H$2:$H$451,$H83,Dati!$A$2:$A$451,$AB83),"-")</f>
        <v/>
      </c>
      <c r="BM83" s="22">
        <f>IF(AND($H83&lt;&gt;"",$AC83&lt;&gt;"",$H83&lt;&gt;$AC83,IFERROR(VLOOKUP($H83,areaCercaPuntiClassificaSquadra,3,FALSE),-1)=IFERROR(VLOOKUP($AC83,areaCercaPuntiClassificaSquadra,3,FALSE),-2)),SUMIFS(Dati!$E$2:$E$451,Dati!$A$2:$A$451,$H83,Dati!$H$2:$H$451,$AC83)+SUMIFS(Dati!$L$2:$L$451,Dati!$H$2:$H$451,$H83,Dati!$A$2:$A$451,$AC83),"-")</f>
        <v/>
      </c>
      <c r="BN83" s="22">
        <f>IF(AND($H83&lt;&gt;"",$AD83&lt;&gt;"",$H83&lt;&gt;$AD83,IFERROR(VLOOKUP($H83,areaCercaPuntiClassificaSquadra,3,FALSE),-1)=IFERROR(VLOOKUP($AD83,areaCercaPuntiClassificaSquadra,3,FALSE),-2)),SUMIFS(Dati!$E$2:$E$451,Dati!$A$2:$A$451,$H83,Dati!$H$2:$H$451,$AD83)+SUMIFS(Dati!$L$2:$L$451,Dati!$H$2:$H$451,$H83,Dati!$A$2:$A$451,$AD83),"-")</f>
        <v/>
      </c>
      <c r="BO83" s="22">
        <f>IF(AND($H83&lt;&gt;"",$AE83&lt;&gt;"",$H83&lt;&gt;$AE83,IFERROR(VLOOKUP($H83,areaCercaPuntiClassificaSquadra,3,FALSE),-1)=IFERROR(VLOOKUP($AE83,areaCercaPuntiClassificaSquadra,3,FALSE),-2)),SUMIFS(Dati!$E$2:$E$451,Dati!$A$2:$A$451,$H83,Dati!$H$2:$H$451,$AE83)+SUMIFS(Dati!$L$2:$L$451,Dati!$H$2:$H$451,$H83,Dati!$A$2:$A$451,$AE83),"-")</f>
        <v/>
      </c>
      <c r="BP83" s="22">
        <f>IF(AND($H83&lt;&gt;"",$AF83&lt;&gt;"",$H83&lt;&gt;$AF83,IFERROR(VLOOKUP($H83,areaCercaPuntiClassificaSquadra,3,FALSE),-1)=IFERROR(VLOOKUP($AF83,areaCercaPuntiClassificaSquadra,3,FALSE),-2)),SUMIFS(Dati!$E$2:$E$451,Dati!$A$2:$A$451,$H83,Dati!$H$2:$H$451,$AF83)+SUMIFS(Dati!$L$2:$L$451,Dati!$H$2:$H$451,$H83,Dati!$A$2:$A$451,$AF83),"-")</f>
        <v/>
      </c>
      <c r="BQ83" s="22">
        <f>IF(AND($H83&lt;&gt;"",$AG83&lt;&gt;"",$H83&lt;&gt;$AG83,IFERROR(VLOOKUP($H83,areaCercaPuntiClassificaSquadra,3,FALSE),-1)=IFERROR(VLOOKUP($AG83,areaCercaPuntiClassificaSquadra,3,FALSE),-2)),SUMIFS(Dati!$E$2:$E$451,Dati!$A$2:$A$451,$H83,Dati!$H$2:$H$451,$AG83)+SUMIFS(Dati!$L$2:$L$451,Dati!$H$2:$H$451,$H83,Dati!$A$2:$A$451,$AG83),"-")</f>
        <v/>
      </c>
      <c r="BR83" s="22">
        <f>IF(AND($H83&lt;&gt;"",$AH83&lt;&gt;"",$H83&lt;&gt;$AH83,IFERROR(VLOOKUP($H83,areaCercaPuntiClassificaSquadra,3,FALSE),-1)=IFERROR(VLOOKUP($AH83,areaCercaPuntiClassificaSquadra,3,FALSE),-2)),SUMIFS(Dati!$E$2:$E$451,Dati!$A$2:$A$451,$H83,Dati!$H$2:$H$451,$AH83)+SUMIFS(Dati!$L$2:$L$451,Dati!$H$2:$H$451,$H83,Dati!$A$2:$A$451,$AH83),"-")</f>
        <v/>
      </c>
      <c r="BT83" s="21">
        <f>$C83</f>
        <v/>
      </c>
      <c r="BU83" s="22">
        <f>IF(AND($H83&lt;&gt;"",$Y83&lt;&gt;"",$H83&lt;&gt;$Y83,IFERROR(VLOOKUP($H83,areaCercaPuntiClassificaSquadra,3,FALSE),-1)=IFERROR(VLOOKUP($Y83,areaCercaPuntiClassificaSquadra,3,FALSE),-2)),SUMIFS(Dati!$F$2:$F$451,Dati!$A$2:$A$451,$H83,Dati!$H$2:$H$451,$Y83)+SUMIFS(Dati!$M$2:$M$451,Dati!$H$2:$H$451,$H83,Dati!$A$2:$A$451,$Y83),"-")</f>
        <v/>
      </c>
      <c r="BV83" s="22">
        <f>IF(AND($H83&lt;&gt;"",$Z83&lt;&gt;"",$H83&lt;&gt;$Z83,IFERROR(VLOOKUP($H83,areaCercaPuntiClassificaSquadra,3,FALSE),-1)=IFERROR(VLOOKUP($Z83,areaCercaPuntiClassificaSquadra,3,FALSE),-2)),SUMIFS(Dati!$F$2:$F$451,Dati!$A$2:$A$451,$H83,Dati!$H$2:$H$451,$Z83)+SUMIFS(Dati!$M$2:$M$451,Dati!$H$2:$H$451,$H83,Dati!$A$2:$A$451,$Z83),"-")</f>
        <v/>
      </c>
      <c r="BW83" s="22">
        <f>IF(AND($H83&lt;&gt;"",$AA83&lt;&gt;"",$H83&lt;&gt;$AA83,IFERROR(VLOOKUP($H83,areaCercaPuntiClassificaSquadra,3,FALSE),-1)=IFERROR(VLOOKUP($AA83,areaCercaPuntiClassificaSquadra,3,FALSE),-2)),SUMIFS(Dati!$F$2:$F$451,Dati!$A$2:$A$451,$H83,Dati!$H$2:$H$451,$AA83)+SUMIFS(Dati!$M$2:$M$451,Dati!$H$2:$H$451,$H83,Dati!$A$2:$A$451,$AA83),"-")</f>
        <v/>
      </c>
      <c r="BX83" s="22">
        <f>IF(AND($H83&lt;&gt;"",$AB83&lt;&gt;"",$H83&lt;&gt;$AB83,IFERROR(VLOOKUP($H83,areaCercaPuntiClassificaSquadra,3,FALSE),-1)=IFERROR(VLOOKUP($AB83,areaCercaPuntiClassificaSquadra,3,FALSE),-2)),SUMIFS(Dati!$F$2:$F$451,Dati!$A$2:$A$451,$H83,Dati!$H$2:$H$451,$AB83)+SUMIFS(Dati!$M$2:$M$451,Dati!$H$2:$H$451,$H83,Dati!$A$2:$A$451,$AB83),"-")</f>
        <v/>
      </c>
      <c r="BY83" s="22">
        <f>IF(AND($H83&lt;&gt;"",$AC83&lt;&gt;"",$H83&lt;&gt;$AC83,IFERROR(VLOOKUP($H83,areaCercaPuntiClassificaSquadra,3,FALSE),-1)=IFERROR(VLOOKUP($AC83,areaCercaPuntiClassificaSquadra,3,FALSE),-2)),SUMIFS(Dati!$F$2:$F$451,Dati!$A$2:$A$451,$H83,Dati!$H$2:$H$451,$AC83)+SUMIFS(Dati!$M$2:$M$451,Dati!$H$2:$H$451,$H83,Dati!$A$2:$A$451,$AC83),"-")</f>
        <v/>
      </c>
      <c r="BZ83" s="22">
        <f>IF(AND($H83&lt;&gt;"",$AD83&lt;&gt;"",$H83&lt;&gt;$AD83,IFERROR(VLOOKUP($H83,areaCercaPuntiClassificaSquadra,3,FALSE),-1)=IFERROR(VLOOKUP($AD83,areaCercaPuntiClassificaSquadra,3,FALSE),-2)),SUMIFS(Dati!$F$2:$F$451,Dati!$A$2:$A$451,$H83,Dati!$H$2:$H$451,$AD83)+SUMIFS(Dati!$M$2:$M$451,Dati!$H$2:$H$451,$H83,Dati!$A$2:$A$451,$AD83),"-")</f>
        <v/>
      </c>
      <c r="CA83" s="22">
        <f>IF(AND($H83&lt;&gt;"",$AE83&lt;&gt;"",$H83&lt;&gt;$AE83,IFERROR(VLOOKUP($H83,areaCercaPuntiClassificaSquadra,3,FALSE),-1)=IFERROR(VLOOKUP($AE83,areaCercaPuntiClassificaSquadra,3,FALSE),-2)),SUMIFS(Dati!$F$2:$F$451,Dati!$A$2:$A$451,$H83,Dati!$H$2:$H$451,$AE83)+SUMIFS(Dati!$M$2:$M$451,Dati!$H$2:$H$451,$H83,Dati!$A$2:$A$451,$AE83),"-")</f>
        <v/>
      </c>
      <c r="CB83" s="22">
        <f>IF(AND($H83&lt;&gt;"",$AF83&lt;&gt;"",$H83&lt;&gt;$AF83,IFERROR(VLOOKUP($H83,areaCercaPuntiClassificaSquadra,3,FALSE),-1)=IFERROR(VLOOKUP($AF83,areaCercaPuntiClassificaSquadra,3,FALSE),-2)),SUMIFS(Dati!$F$2:$F$451,Dati!$A$2:$A$451,$H83,Dati!$H$2:$H$451,$AF83)+SUMIFS(Dati!$M$2:$M$451,Dati!$H$2:$H$451,$H83,Dati!$A$2:$A$451,$AF83),"-")</f>
        <v/>
      </c>
      <c r="CC83" s="22">
        <f>IF(AND($H83&lt;&gt;"",$AG83&lt;&gt;"",$H83&lt;&gt;$AG83,IFERROR(VLOOKUP($H83,areaCercaPuntiClassificaSquadra,3,FALSE),-1)=IFERROR(VLOOKUP($AG83,areaCercaPuntiClassificaSquadra,3,FALSE),-2)),SUMIFS(Dati!$F$2:$F$451,Dati!$A$2:$A$451,$H83,Dati!$H$2:$H$451,$AG83)+SUMIFS(Dati!$M$2:$M$451,Dati!$H$2:$H$451,$H83,Dati!$A$2:$A$451,$AG83),"-")</f>
        <v/>
      </c>
      <c r="CD83" s="22">
        <f>IF(AND($H83&lt;&gt;"",$AH83&lt;&gt;"",$H83&lt;&gt;$AH83,IFERROR(VLOOKUP($H83,areaCercaPuntiClassificaSquadra,3,FALSE),-1)=IFERROR(VLOOKUP($AH83,areaCercaPuntiClassificaSquadra,3,FALSE),-2)),SUMIFS(Dati!$F$2:$F$451,Dati!$A$2:$A$451,$H83,Dati!$H$2:$H$451,$AH83)+SUMIFS(Dati!$M$2:$M$451,Dati!$H$2:$H$451,$H83,Dati!$A$2:$A$451,$AH83),"-")</f>
        <v/>
      </c>
      <c r="CF83" s="22">
        <f>IF($C83="","",SUM(AK83:AT83))</f>
        <v/>
      </c>
    </row>
    <row r="84">
      <c r="B84" s="12" t="inlineStr">
        <is>
          <t>H01</t>
        </is>
      </c>
      <c r="C84" s="13" t="n"/>
      <c r="D84" s="14" t="n"/>
      <c r="E84" s="35" t="inlineStr">
        <is>
          <t>H</t>
        </is>
      </c>
      <c r="G84" s="36">
        <f>IF($C84="","",$E84&amp;(COUNTIFS(I$14:I$113,"&gt;"&amp;I84,E$14:E$113,"="&amp;E84,C$14:C$113,"&lt;&gt;")+COUNTIFS(I$14:I$113,"="&amp;I84,H$14:H$113,"&lt;="&amp;H84,E$14:E$113,"="&amp;E84,C$14:C$113,"&lt;&gt;")))</f>
        <v/>
      </c>
      <c r="H84" s="17">
        <f>IF($C84="","",IFERROR(LEFT($C84,FIND("-",$C84)-1),$C84))</f>
        <v/>
      </c>
      <c r="I84" s="12">
        <f>TEXT(1000000000+J84,"|0000000000|")&amp;TEXT(SUM(AK84:AT84),"0000000000|")&amp;IF(SUM(BU84:CD84)=0,"0000000000|",TEXT(ROUND(SUM(BI84:BR84)/SUM(BU84:CD84),4)*100000,"0000000000|"))&amp;IF(P84=0,"0000000000|",TEXT(ROUND(O84/P84,4)*100000,"0000000000|"))</f>
        <v/>
      </c>
      <c r="J84" s="36">
        <f>L84*constPuntiVittoria+M84*constPuntiSconfitta+N84*constPuntiForfait+IF(D84="",0,D84)</f>
        <v/>
      </c>
      <c r="K84" s="12">
        <f>SUM(L84:N84)</f>
        <v/>
      </c>
      <c r="L84" s="12">
        <f>IF($H84="",0,SUMIF(Dati!$A$2:$A$451,$H84,Dati!$B$2:$B$451)+SUMIF(Dati!$H$2:$H$451,$H84,Dati!$I$2:$I$451))</f>
        <v/>
      </c>
      <c r="M84" s="12">
        <f>IF($H84="",0,SUMIF(Dati!$A$2:$A$451,$H84,Dati!$D$2:$D$451)+SUMIF(Dati!$H$2:$H$451,$H84,Dati!$K$2:$K$451))</f>
        <v/>
      </c>
      <c r="N84" s="12">
        <f>IF($H84="",0,SUMIF(Dati!$A$2:$A$451,$H84,Dati!$C$2:$C$451)+SUMIF(Dati!$H$2:$H$451,$H84,Dati!$J$2:$J$451))</f>
        <v/>
      </c>
      <c r="O84" s="12">
        <f>IF($H84="",0,SUMIF(Dati!$A$2:$A$451,$H84,Dati!$E$2:$E$451)+SUMIF(Dati!$H$2:$H$451,$H84,Dati!$L$2:$L$451))</f>
        <v/>
      </c>
      <c r="P84" s="12">
        <f>IF($H84="",0,SUMIF(Dati!$A$2:$A$451,$H84,Dati!$F$2:$F$451)+SUMIF(Dati!$H$2:$H$451,$H84,Dati!$M$2:$M$451))</f>
        <v/>
      </c>
      <c r="Q84" s="12">
        <f>IF($H84="",0,SUMIF(Dati!$A$2:$A$451,$H84,Dati!$G$2:$G$451)+SUMIF(Dati!$H$2:$H$451,$H84,Dati!$N$2:$N$451))</f>
        <v/>
      </c>
      <c r="R84" s="12">
        <f>IF(K84=0,0,ROUND(O84/K84,2))</f>
        <v/>
      </c>
      <c r="S84" s="12">
        <f>IF(K84=0,0,ROUND(P84/K84,2))</f>
        <v/>
      </c>
      <c r="T84" s="12">
        <f>IF(K84=0,0,ROUND(Q84/K84,2))</f>
        <v/>
      </c>
      <c r="U84" s="12">
        <f>IF(COUNTIFS($E$14:$E$113,$E84,$J$14:$J$113,$J84,$C$14:$C$113,"&lt;&gt;")&lt;=1,"-",SUM(AK84:AT84)&amp;"-"&amp;SUM(AW84:BF84))</f>
        <v/>
      </c>
      <c r="V84" s="18">
        <f>IF(COUNTIFS($E$14:$E$113,$E84,$J$14:$J$113,$J84,$C$14:$C$113,"&lt;&gt;",$CF$14:$CF$113,$CF84)&lt;=1,"-",IF(SUM(BU84:CD84)=0,0,ROUND(SUM(BI84:BR84)/SUM(BU84:CD84),3)))</f>
        <v/>
      </c>
      <c r="W84" s="18">
        <f>IF(COUNTIFS($E$14:$E$113,$E84,$J$14:$J$113,$J84,$C$14:$C$113,"&lt;&gt;",$CF$14:$CF$113,$CF84,$V$14:$V$113,$V84)&lt;=1,"-",IF(P84=0,0,ROUND(O84/P84,3)))</f>
        <v/>
      </c>
      <c r="X84" s="19">
        <f>IF($C84="","",$E84&amp;"#"&amp;COUNTIFS($E$14:$E84,$E84,$C$14:$C84,"&lt;&gt;"))</f>
        <v/>
      </c>
      <c r="Y84" s="20">
        <f>IFERROR(INDEX($H$14:$H$113,MATCH($E84&amp;"#1",$X$14:$X$113,0)),"")</f>
        <v/>
      </c>
      <c r="Z84" s="20">
        <f>IFERROR(INDEX($H$14:$H$113,MATCH($E84&amp;"#2",$X$14:$X$113,0)),"")</f>
        <v/>
      </c>
      <c r="AA84" s="20">
        <f>IFERROR(INDEX($H$14:$H$113,MATCH($E84&amp;"#3",$X$14:$X$113,0)),"")</f>
        <v/>
      </c>
      <c r="AB84" s="20">
        <f>IFERROR(INDEX($H$14:$H$113,MATCH($E84&amp;"#4",$X$14:$X$113,0)),"")</f>
        <v/>
      </c>
      <c r="AC84" s="20">
        <f>IFERROR(INDEX($H$14:$H$113,MATCH($E84&amp;"#5",$X$14:$X$113,0)),"")</f>
        <v/>
      </c>
      <c r="AD84" s="20">
        <f>IFERROR(INDEX($H$14:$H$113,MATCH($E84&amp;"#6",$X$14:$X$113,0)),"")</f>
        <v/>
      </c>
      <c r="AE84" s="20">
        <f>IFERROR(INDEX($H$14:$H$113,MATCH($E84&amp;"#7",$X$14:$X$113,0)),"")</f>
        <v/>
      </c>
      <c r="AF84" s="20">
        <f>IFERROR(INDEX($H$14:$H$113,MATCH($E84&amp;"#8",$X$14:$X$113,0)),"")</f>
        <v/>
      </c>
      <c r="AG84" s="20">
        <f>IFERROR(INDEX($H$14:$H$113,MATCH($E84&amp;"#9",$X$14:$X$113,0)),"")</f>
        <v/>
      </c>
      <c r="AH84" s="20">
        <f>IFERROR(INDEX($H$14:$H$113,MATCH($E84&amp;"#10",$X$14:$X$113,0)),"")</f>
        <v/>
      </c>
      <c r="AJ84" s="21">
        <f>$C84</f>
        <v/>
      </c>
      <c r="AK84" s="22">
        <f>IF(AND($H84&lt;&gt;"",$Y84&lt;&gt;"",$H84&lt;&gt;$Y84,IFERROR(VLOOKUP($H84,areaCercaPuntiClassificaSquadra,3,FALSE),-1)=IFERROR(VLOOKUP($Y84,areaCercaPuntiClassificaSquadra,3,FALSE),-2)),SUMIFS(Dati!$B$2:$B$451,Dati!$A$2:$A$451,$H84,Dati!$H$2:$H$451,$Y84)+SUMIFS(Dati!$I$2:$I$451,Dati!$H$2:$H$451,$H84,Dati!$A$2:$A$451,$Y84),"-")</f>
        <v/>
      </c>
      <c r="AL84" s="22">
        <f>IF(AND($H84&lt;&gt;"",$Z84&lt;&gt;"",$H84&lt;&gt;$Z84,IFERROR(VLOOKUP($H84,areaCercaPuntiClassificaSquadra,3,FALSE),-1)=IFERROR(VLOOKUP($Z84,areaCercaPuntiClassificaSquadra,3,FALSE),-2)),SUMIFS(Dati!$B$2:$B$451,Dati!$A$2:$A$451,$H84,Dati!$H$2:$H$451,$Z84)+SUMIFS(Dati!$I$2:$I$451,Dati!$H$2:$H$451,$H84,Dati!$A$2:$A$451,$Z84),"-")</f>
        <v/>
      </c>
      <c r="AM84" s="22">
        <f>IF(AND($H84&lt;&gt;"",$AA84&lt;&gt;"",$H84&lt;&gt;$AA84,IFERROR(VLOOKUP($H84,areaCercaPuntiClassificaSquadra,3,FALSE),-1)=IFERROR(VLOOKUP($AA84,areaCercaPuntiClassificaSquadra,3,FALSE),-2)),SUMIFS(Dati!$B$2:$B$451,Dati!$A$2:$A$451,$H84,Dati!$H$2:$H$451,$AA84)+SUMIFS(Dati!$I$2:$I$451,Dati!$H$2:$H$451,$H84,Dati!$A$2:$A$451,$AA84),"-")</f>
        <v/>
      </c>
      <c r="AN84" s="22">
        <f>IF(AND($H84&lt;&gt;"",$AB84&lt;&gt;"",$H84&lt;&gt;$AB84,IFERROR(VLOOKUP($H84,areaCercaPuntiClassificaSquadra,3,FALSE),-1)=IFERROR(VLOOKUP($AB84,areaCercaPuntiClassificaSquadra,3,FALSE),-2)),SUMIFS(Dati!$B$2:$B$451,Dati!$A$2:$A$451,$H84,Dati!$H$2:$H$451,$AB84)+SUMIFS(Dati!$I$2:$I$451,Dati!$H$2:$H$451,$H84,Dati!$A$2:$A$451,$AB84),"-")</f>
        <v/>
      </c>
      <c r="AO84" s="22">
        <f>IF(AND($H84&lt;&gt;"",$AC84&lt;&gt;"",$H84&lt;&gt;$AC84,IFERROR(VLOOKUP($H84,areaCercaPuntiClassificaSquadra,3,FALSE),-1)=IFERROR(VLOOKUP($AC84,areaCercaPuntiClassificaSquadra,3,FALSE),-2)),SUMIFS(Dati!$B$2:$B$451,Dati!$A$2:$A$451,$H84,Dati!$H$2:$H$451,$AC84)+SUMIFS(Dati!$I$2:$I$451,Dati!$H$2:$H$451,$H84,Dati!$A$2:$A$451,$AC84),"-")</f>
        <v/>
      </c>
      <c r="AP84" s="22">
        <f>IF(AND($H84&lt;&gt;"",$AD84&lt;&gt;"",$H84&lt;&gt;$AD84,IFERROR(VLOOKUP($H84,areaCercaPuntiClassificaSquadra,3,FALSE),-1)=IFERROR(VLOOKUP($AD84,areaCercaPuntiClassificaSquadra,3,FALSE),-2)),SUMIFS(Dati!$B$2:$B$451,Dati!$A$2:$A$451,$H84,Dati!$H$2:$H$451,$AD84)+SUMIFS(Dati!$I$2:$I$451,Dati!$H$2:$H$451,$H84,Dati!$A$2:$A$451,$AD84),"-")</f>
        <v/>
      </c>
      <c r="AQ84" s="22">
        <f>IF(AND($H84&lt;&gt;"",$AE84&lt;&gt;"",$H84&lt;&gt;$AE84,IFERROR(VLOOKUP($H84,areaCercaPuntiClassificaSquadra,3,FALSE),-1)=IFERROR(VLOOKUP($AE84,areaCercaPuntiClassificaSquadra,3,FALSE),-2)),SUMIFS(Dati!$B$2:$B$451,Dati!$A$2:$A$451,$H84,Dati!$H$2:$H$451,$AE84)+SUMIFS(Dati!$I$2:$I$451,Dati!$H$2:$H$451,$H84,Dati!$A$2:$A$451,$AE84),"-")</f>
        <v/>
      </c>
      <c r="AR84" s="22">
        <f>IF(AND($H84&lt;&gt;"",$AF84&lt;&gt;"",$H84&lt;&gt;$AF84,IFERROR(VLOOKUP($H84,areaCercaPuntiClassificaSquadra,3,FALSE),-1)=IFERROR(VLOOKUP($AF84,areaCercaPuntiClassificaSquadra,3,FALSE),-2)),SUMIFS(Dati!$B$2:$B$451,Dati!$A$2:$A$451,$H84,Dati!$H$2:$H$451,$AF84)+SUMIFS(Dati!$I$2:$I$451,Dati!$H$2:$H$451,$H84,Dati!$A$2:$A$451,$AF84),"-")</f>
        <v/>
      </c>
      <c r="AS84" s="22">
        <f>IF(AND($H84&lt;&gt;"",$AG84&lt;&gt;"",$H84&lt;&gt;$AG84,IFERROR(VLOOKUP($H84,areaCercaPuntiClassificaSquadra,3,FALSE),-1)=IFERROR(VLOOKUP($AG84,areaCercaPuntiClassificaSquadra,3,FALSE),-2)),SUMIFS(Dati!$B$2:$B$451,Dati!$A$2:$A$451,$H84,Dati!$H$2:$H$451,$AG84)+SUMIFS(Dati!$I$2:$I$451,Dati!$H$2:$H$451,$H84,Dati!$A$2:$A$451,$AG84),"-")</f>
        <v/>
      </c>
      <c r="AT84" s="22">
        <f>IF(AND($H84&lt;&gt;"",$AH84&lt;&gt;"",$H84&lt;&gt;$AH84,IFERROR(VLOOKUP($H84,areaCercaPuntiClassificaSquadra,3,FALSE),-1)=IFERROR(VLOOKUP($AH84,areaCercaPuntiClassificaSquadra,3,FALSE),-2)),SUMIFS(Dati!$B$2:$B$451,Dati!$A$2:$A$451,$H84,Dati!$H$2:$H$451,$AH84)+SUMIFS(Dati!$I$2:$I$451,Dati!$H$2:$H$451,$H84,Dati!$A$2:$A$451,$AH84),"-")</f>
        <v/>
      </c>
      <c r="AV84" s="21">
        <f>$C84</f>
        <v/>
      </c>
      <c r="AW84" s="22">
        <f>IF(AND($H84&lt;&gt;"",$Y84&lt;&gt;"",$H84&lt;&gt;$Y84,IFERROR(VLOOKUP($H84,areaCercaPuntiClassificaSquadra,3,FALSE),-1)=IFERROR(VLOOKUP($Y84,areaCercaPuntiClassificaSquadra,3,FALSE),-2)),SUMIFS(Dati!$D$2:$D$451,Dati!$A$2:$A$451,$H84,Dati!$H$2:$H$451,$Y84)+SUMIFS(Dati!$K$2:$K$451,Dati!$H$2:$H$451,$H84,Dati!$A$2:$A$451,$Y84)+SUMIFS(Dati!$C$2:$C$451,Dati!$A$2:$A$451,$H84,Dati!$H$2:$H$451,$Y84)+SUMIFS(Dati!$J$2:$J$451,Dati!$H$2:$H$451,$H84,Dati!$A$2:$A$451,$Y84),"-")</f>
        <v/>
      </c>
      <c r="AX84" s="22">
        <f>IF(AND($H84&lt;&gt;"",$Z84&lt;&gt;"",$H84&lt;&gt;$Z84,IFERROR(VLOOKUP($H84,areaCercaPuntiClassificaSquadra,3,FALSE),-1)=IFERROR(VLOOKUP($Z84,areaCercaPuntiClassificaSquadra,3,FALSE),-2)),SUMIFS(Dati!$D$2:$D$451,Dati!$A$2:$A$451,$H84,Dati!$H$2:$H$451,$Z84)+SUMIFS(Dati!$K$2:$K$451,Dati!$H$2:$H$451,$H84,Dati!$A$2:$A$451,$Z84)+SUMIFS(Dati!$C$2:$C$451,Dati!$A$2:$A$451,$H84,Dati!$H$2:$H$451,$Z84)+SUMIFS(Dati!$J$2:$J$451,Dati!$H$2:$H$451,$H84,Dati!$A$2:$A$451,$Z84),"-")</f>
        <v/>
      </c>
      <c r="AY84" s="22">
        <f>IF(AND($H84&lt;&gt;"",$AA84&lt;&gt;"",$H84&lt;&gt;$AA84,IFERROR(VLOOKUP($H84,areaCercaPuntiClassificaSquadra,3,FALSE),-1)=IFERROR(VLOOKUP($AA84,areaCercaPuntiClassificaSquadra,3,FALSE),-2)),SUMIFS(Dati!$D$2:$D$451,Dati!$A$2:$A$451,$H84,Dati!$H$2:$H$451,$AA84)+SUMIFS(Dati!$K$2:$K$451,Dati!$H$2:$H$451,$H84,Dati!$A$2:$A$451,$AA84)+SUMIFS(Dati!$C$2:$C$451,Dati!$A$2:$A$451,$H84,Dati!$H$2:$H$451,$AA84)+SUMIFS(Dati!$J$2:$J$451,Dati!$H$2:$H$451,$H84,Dati!$A$2:$A$451,$AA84),"-")</f>
        <v/>
      </c>
      <c r="AZ84" s="22">
        <f>IF(AND($H84&lt;&gt;"",$AB84&lt;&gt;"",$H84&lt;&gt;$AB84,IFERROR(VLOOKUP($H84,areaCercaPuntiClassificaSquadra,3,FALSE),-1)=IFERROR(VLOOKUP($AB84,areaCercaPuntiClassificaSquadra,3,FALSE),-2)),SUMIFS(Dati!$D$2:$D$451,Dati!$A$2:$A$451,$H84,Dati!$H$2:$H$451,$AB84)+SUMIFS(Dati!$K$2:$K$451,Dati!$H$2:$H$451,$H84,Dati!$A$2:$A$451,$AB84)+SUMIFS(Dati!$C$2:$C$451,Dati!$A$2:$A$451,$H84,Dati!$H$2:$H$451,$AB84)+SUMIFS(Dati!$J$2:$J$451,Dati!$H$2:$H$451,$H84,Dati!$A$2:$A$451,$AB84),"-")</f>
        <v/>
      </c>
      <c r="BA84" s="22">
        <f>IF(AND($H84&lt;&gt;"",$AC84&lt;&gt;"",$H84&lt;&gt;$AC84,IFERROR(VLOOKUP($H84,areaCercaPuntiClassificaSquadra,3,FALSE),-1)=IFERROR(VLOOKUP($AC84,areaCercaPuntiClassificaSquadra,3,FALSE),-2)),SUMIFS(Dati!$D$2:$D$451,Dati!$A$2:$A$451,$H84,Dati!$H$2:$H$451,$AC84)+SUMIFS(Dati!$K$2:$K$451,Dati!$H$2:$H$451,$H84,Dati!$A$2:$A$451,$AC84)+SUMIFS(Dati!$C$2:$C$451,Dati!$A$2:$A$451,$H84,Dati!$H$2:$H$451,$AC84)+SUMIFS(Dati!$J$2:$J$451,Dati!$H$2:$H$451,$H84,Dati!$A$2:$A$451,$AC84),"-")</f>
        <v/>
      </c>
      <c r="BB84" s="22">
        <f>IF(AND($H84&lt;&gt;"",$AD84&lt;&gt;"",$H84&lt;&gt;$AD84,IFERROR(VLOOKUP($H84,areaCercaPuntiClassificaSquadra,3,FALSE),-1)=IFERROR(VLOOKUP($AD84,areaCercaPuntiClassificaSquadra,3,FALSE),-2)),SUMIFS(Dati!$D$2:$D$451,Dati!$A$2:$A$451,$H84,Dati!$H$2:$H$451,$AD84)+SUMIFS(Dati!$K$2:$K$451,Dati!$H$2:$H$451,$H84,Dati!$A$2:$A$451,$AD84)+SUMIFS(Dati!$C$2:$C$451,Dati!$A$2:$A$451,$H84,Dati!$H$2:$H$451,$AD84)+SUMIFS(Dati!$J$2:$J$451,Dati!$H$2:$H$451,$H84,Dati!$A$2:$A$451,$AD84),"-")</f>
        <v/>
      </c>
      <c r="BC84" s="22">
        <f>IF(AND($H84&lt;&gt;"",$AE84&lt;&gt;"",$H84&lt;&gt;$AE84,IFERROR(VLOOKUP($H84,areaCercaPuntiClassificaSquadra,3,FALSE),-1)=IFERROR(VLOOKUP($AE84,areaCercaPuntiClassificaSquadra,3,FALSE),-2)),SUMIFS(Dati!$D$2:$D$451,Dati!$A$2:$A$451,$H84,Dati!$H$2:$H$451,$AE84)+SUMIFS(Dati!$K$2:$K$451,Dati!$H$2:$H$451,$H84,Dati!$A$2:$A$451,$AE84)+SUMIFS(Dati!$C$2:$C$451,Dati!$A$2:$A$451,$H84,Dati!$H$2:$H$451,$AE84)+SUMIFS(Dati!$J$2:$J$451,Dati!$H$2:$H$451,$H84,Dati!$A$2:$A$451,$AE84),"-")</f>
        <v/>
      </c>
      <c r="BD84" s="22">
        <f>IF(AND($H84&lt;&gt;"",$AF84&lt;&gt;"",$H84&lt;&gt;$AF84,IFERROR(VLOOKUP($H84,areaCercaPuntiClassificaSquadra,3,FALSE),-1)=IFERROR(VLOOKUP($AF84,areaCercaPuntiClassificaSquadra,3,FALSE),-2)),SUMIFS(Dati!$D$2:$D$451,Dati!$A$2:$A$451,$H84,Dati!$H$2:$H$451,$AF84)+SUMIFS(Dati!$K$2:$K$451,Dati!$H$2:$H$451,$H84,Dati!$A$2:$A$451,$AF84)+SUMIFS(Dati!$C$2:$C$451,Dati!$A$2:$A$451,$H84,Dati!$H$2:$H$451,$AF84)+SUMIFS(Dati!$J$2:$J$451,Dati!$H$2:$H$451,$H84,Dati!$A$2:$A$451,$AF84),"-")</f>
        <v/>
      </c>
      <c r="BE84" s="22">
        <f>IF(AND($H84&lt;&gt;"",$AG84&lt;&gt;"",$H84&lt;&gt;$AG84,IFERROR(VLOOKUP($H84,areaCercaPuntiClassificaSquadra,3,FALSE),-1)=IFERROR(VLOOKUP($AG84,areaCercaPuntiClassificaSquadra,3,FALSE),-2)),SUMIFS(Dati!$D$2:$D$451,Dati!$A$2:$A$451,$H84,Dati!$H$2:$H$451,$AG84)+SUMIFS(Dati!$K$2:$K$451,Dati!$H$2:$H$451,$H84,Dati!$A$2:$A$451,$AG84)+SUMIFS(Dati!$C$2:$C$451,Dati!$A$2:$A$451,$H84,Dati!$H$2:$H$451,$AG84)+SUMIFS(Dati!$J$2:$J$451,Dati!$H$2:$H$451,$H84,Dati!$A$2:$A$451,$AG84),"-")</f>
        <v/>
      </c>
      <c r="BF84" s="22">
        <f>IF(AND($H84&lt;&gt;"",$AH84&lt;&gt;"",$H84&lt;&gt;$AH84,IFERROR(VLOOKUP($H84,areaCercaPuntiClassificaSquadra,3,FALSE),-1)=IFERROR(VLOOKUP($AH84,areaCercaPuntiClassificaSquadra,3,FALSE),-2)),SUMIFS(Dati!$D$2:$D$451,Dati!$A$2:$A$451,$H84,Dati!$H$2:$H$451,$AH84)+SUMIFS(Dati!$K$2:$K$451,Dati!$H$2:$H$451,$H84,Dati!$A$2:$A$451,$AH84)+SUMIFS(Dati!$C$2:$C$451,Dati!$A$2:$A$451,$H84,Dati!$H$2:$H$451,$AH84)+SUMIFS(Dati!$J$2:$J$451,Dati!$H$2:$H$451,$H84,Dati!$A$2:$A$451,$AH84),"-")</f>
        <v/>
      </c>
      <c r="BH84" s="21">
        <f>$C84</f>
        <v/>
      </c>
      <c r="BI84" s="22">
        <f>IF(AND($H84&lt;&gt;"",$Y84&lt;&gt;"",$H84&lt;&gt;$Y84,IFERROR(VLOOKUP($H84,areaCercaPuntiClassificaSquadra,3,FALSE),-1)=IFERROR(VLOOKUP($Y84,areaCercaPuntiClassificaSquadra,3,FALSE),-2)),SUMIFS(Dati!$E$2:$E$451,Dati!$A$2:$A$451,$H84,Dati!$H$2:$H$451,$Y84)+SUMIFS(Dati!$L$2:$L$451,Dati!$H$2:$H$451,$H84,Dati!$A$2:$A$451,$Y84),"-")</f>
        <v/>
      </c>
      <c r="BJ84" s="22">
        <f>IF(AND($H84&lt;&gt;"",$Z84&lt;&gt;"",$H84&lt;&gt;$Z84,IFERROR(VLOOKUP($H84,areaCercaPuntiClassificaSquadra,3,FALSE),-1)=IFERROR(VLOOKUP($Z84,areaCercaPuntiClassificaSquadra,3,FALSE),-2)),SUMIFS(Dati!$E$2:$E$451,Dati!$A$2:$A$451,$H84,Dati!$H$2:$H$451,$Z84)+SUMIFS(Dati!$L$2:$L$451,Dati!$H$2:$H$451,$H84,Dati!$A$2:$A$451,$Z84),"-")</f>
        <v/>
      </c>
      <c r="BK84" s="22">
        <f>IF(AND($H84&lt;&gt;"",$AA84&lt;&gt;"",$H84&lt;&gt;$AA84,IFERROR(VLOOKUP($H84,areaCercaPuntiClassificaSquadra,3,FALSE),-1)=IFERROR(VLOOKUP($AA84,areaCercaPuntiClassificaSquadra,3,FALSE),-2)),SUMIFS(Dati!$E$2:$E$451,Dati!$A$2:$A$451,$H84,Dati!$H$2:$H$451,$AA84)+SUMIFS(Dati!$L$2:$L$451,Dati!$H$2:$H$451,$H84,Dati!$A$2:$A$451,$AA84),"-")</f>
        <v/>
      </c>
      <c r="BL84" s="22">
        <f>IF(AND($H84&lt;&gt;"",$AB84&lt;&gt;"",$H84&lt;&gt;$AB84,IFERROR(VLOOKUP($H84,areaCercaPuntiClassificaSquadra,3,FALSE),-1)=IFERROR(VLOOKUP($AB84,areaCercaPuntiClassificaSquadra,3,FALSE),-2)),SUMIFS(Dati!$E$2:$E$451,Dati!$A$2:$A$451,$H84,Dati!$H$2:$H$451,$AB84)+SUMIFS(Dati!$L$2:$L$451,Dati!$H$2:$H$451,$H84,Dati!$A$2:$A$451,$AB84),"-")</f>
        <v/>
      </c>
      <c r="BM84" s="22">
        <f>IF(AND($H84&lt;&gt;"",$AC84&lt;&gt;"",$H84&lt;&gt;$AC84,IFERROR(VLOOKUP($H84,areaCercaPuntiClassificaSquadra,3,FALSE),-1)=IFERROR(VLOOKUP($AC84,areaCercaPuntiClassificaSquadra,3,FALSE),-2)),SUMIFS(Dati!$E$2:$E$451,Dati!$A$2:$A$451,$H84,Dati!$H$2:$H$451,$AC84)+SUMIFS(Dati!$L$2:$L$451,Dati!$H$2:$H$451,$H84,Dati!$A$2:$A$451,$AC84),"-")</f>
        <v/>
      </c>
      <c r="BN84" s="22">
        <f>IF(AND($H84&lt;&gt;"",$AD84&lt;&gt;"",$H84&lt;&gt;$AD84,IFERROR(VLOOKUP($H84,areaCercaPuntiClassificaSquadra,3,FALSE),-1)=IFERROR(VLOOKUP($AD84,areaCercaPuntiClassificaSquadra,3,FALSE),-2)),SUMIFS(Dati!$E$2:$E$451,Dati!$A$2:$A$451,$H84,Dati!$H$2:$H$451,$AD84)+SUMIFS(Dati!$L$2:$L$451,Dati!$H$2:$H$451,$H84,Dati!$A$2:$A$451,$AD84),"-")</f>
        <v/>
      </c>
      <c r="BO84" s="22">
        <f>IF(AND($H84&lt;&gt;"",$AE84&lt;&gt;"",$H84&lt;&gt;$AE84,IFERROR(VLOOKUP($H84,areaCercaPuntiClassificaSquadra,3,FALSE),-1)=IFERROR(VLOOKUP($AE84,areaCercaPuntiClassificaSquadra,3,FALSE),-2)),SUMIFS(Dati!$E$2:$E$451,Dati!$A$2:$A$451,$H84,Dati!$H$2:$H$451,$AE84)+SUMIFS(Dati!$L$2:$L$451,Dati!$H$2:$H$451,$H84,Dati!$A$2:$A$451,$AE84),"-")</f>
        <v/>
      </c>
      <c r="BP84" s="22">
        <f>IF(AND($H84&lt;&gt;"",$AF84&lt;&gt;"",$H84&lt;&gt;$AF84,IFERROR(VLOOKUP($H84,areaCercaPuntiClassificaSquadra,3,FALSE),-1)=IFERROR(VLOOKUP($AF84,areaCercaPuntiClassificaSquadra,3,FALSE),-2)),SUMIFS(Dati!$E$2:$E$451,Dati!$A$2:$A$451,$H84,Dati!$H$2:$H$451,$AF84)+SUMIFS(Dati!$L$2:$L$451,Dati!$H$2:$H$451,$H84,Dati!$A$2:$A$451,$AF84),"-")</f>
        <v/>
      </c>
      <c r="BQ84" s="22">
        <f>IF(AND($H84&lt;&gt;"",$AG84&lt;&gt;"",$H84&lt;&gt;$AG84,IFERROR(VLOOKUP($H84,areaCercaPuntiClassificaSquadra,3,FALSE),-1)=IFERROR(VLOOKUP($AG84,areaCercaPuntiClassificaSquadra,3,FALSE),-2)),SUMIFS(Dati!$E$2:$E$451,Dati!$A$2:$A$451,$H84,Dati!$H$2:$H$451,$AG84)+SUMIFS(Dati!$L$2:$L$451,Dati!$H$2:$H$451,$H84,Dati!$A$2:$A$451,$AG84),"-")</f>
        <v/>
      </c>
      <c r="BR84" s="22">
        <f>IF(AND($H84&lt;&gt;"",$AH84&lt;&gt;"",$H84&lt;&gt;$AH84,IFERROR(VLOOKUP($H84,areaCercaPuntiClassificaSquadra,3,FALSE),-1)=IFERROR(VLOOKUP($AH84,areaCercaPuntiClassificaSquadra,3,FALSE),-2)),SUMIFS(Dati!$E$2:$E$451,Dati!$A$2:$A$451,$H84,Dati!$H$2:$H$451,$AH84)+SUMIFS(Dati!$L$2:$L$451,Dati!$H$2:$H$451,$H84,Dati!$A$2:$A$451,$AH84),"-")</f>
        <v/>
      </c>
      <c r="BT84" s="21">
        <f>$C84</f>
        <v/>
      </c>
      <c r="BU84" s="22">
        <f>IF(AND($H84&lt;&gt;"",$Y84&lt;&gt;"",$H84&lt;&gt;$Y84,IFERROR(VLOOKUP($H84,areaCercaPuntiClassificaSquadra,3,FALSE),-1)=IFERROR(VLOOKUP($Y84,areaCercaPuntiClassificaSquadra,3,FALSE),-2)),SUMIFS(Dati!$F$2:$F$451,Dati!$A$2:$A$451,$H84,Dati!$H$2:$H$451,$Y84)+SUMIFS(Dati!$M$2:$M$451,Dati!$H$2:$H$451,$H84,Dati!$A$2:$A$451,$Y84),"-")</f>
        <v/>
      </c>
      <c r="BV84" s="22">
        <f>IF(AND($H84&lt;&gt;"",$Z84&lt;&gt;"",$H84&lt;&gt;$Z84,IFERROR(VLOOKUP($H84,areaCercaPuntiClassificaSquadra,3,FALSE),-1)=IFERROR(VLOOKUP($Z84,areaCercaPuntiClassificaSquadra,3,FALSE),-2)),SUMIFS(Dati!$F$2:$F$451,Dati!$A$2:$A$451,$H84,Dati!$H$2:$H$451,$Z84)+SUMIFS(Dati!$M$2:$M$451,Dati!$H$2:$H$451,$H84,Dati!$A$2:$A$451,$Z84),"-")</f>
        <v/>
      </c>
      <c r="BW84" s="22">
        <f>IF(AND($H84&lt;&gt;"",$AA84&lt;&gt;"",$H84&lt;&gt;$AA84,IFERROR(VLOOKUP($H84,areaCercaPuntiClassificaSquadra,3,FALSE),-1)=IFERROR(VLOOKUP($AA84,areaCercaPuntiClassificaSquadra,3,FALSE),-2)),SUMIFS(Dati!$F$2:$F$451,Dati!$A$2:$A$451,$H84,Dati!$H$2:$H$451,$AA84)+SUMIFS(Dati!$M$2:$M$451,Dati!$H$2:$H$451,$H84,Dati!$A$2:$A$451,$AA84),"-")</f>
        <v/>
      </c>
      <c r="BX84" s="22">
        <f>IF(AND($H84&lt;&gt;"",$AB84&lt;&gt;"",$H84&lt;&gt;$AB84,IFERROR(VLOOKUP($H84,areaCercaPuntiClassificaSquadra,3,FALSE),-1)=IFERROR(VLOOKUP($AB84,areaCercaPuntiClassificaSquadra,3,FALSE),-2)),SUMIFS(Dati!$F$2:$F$451,Dati!$A$2:$A$451,$H84,Dati!$H$2:$H$451,$AB84)+SUMIFS(Dati!$M$2:$M$451,Dati!$H$2:$H$451,$H84,Dati!$A$2:$A$451,$AB84),"-")</f>
        <v/>
      </c>
      <c r="BY84" s="22">
        <f>IF(AND($H84&lt;&gt;"",$AC84&lt;&gt;"",$H84&lt;&gt;$AC84,IFERROR(VLOOKUP($H84,areaCercaPuntiClassificaSquadra,3,FALSE),-1)=IFERROR(VLOOKUP($AC84,areaCercaPuntiClassificaSquadra,3,FALSE),-2)),SUMIFS(Dati!$F$2:$F$451,Dati!$A$2:$A$451,$H84,Dati!$H$2:$H$451,$AC84)+SUMIFS(Dati!$M$2:$M$451,Dati!$H$2:$H$451,$H84,Dati!$A$2:$A$451,$AC84),"-")</f>
        <v/>
      </c>
      <c r="BZ84" s="22">
        <f>IF(AND($H84&lt;&gt;"",$AD84&lt;&gt;"",$H84&lt;&gt;$AD84,IFERROR(VLOOKUP($H84,areaCercaPuntiClassificaSquadra,3,FALSE),-1)=IFERROR(VLOOKUP($AD84,areaCercaPuntiClassificaSquadra,3,FALSE),-2)),SUMIFS(Dati!$F$2:$F$451,Dati!$A$2:$A$451,$H84,Dati!$H$2:$H$451,$AD84)+SUMIFS(Dati!$M$2:$M$451,Dati!$H$2:$H$451,$H84,Dati!$A$2:$A$451,$AD84),"-")</f>
        <v/>
      </c>
      <c r="CA84" s="22">
        <f>IF(AND($H84&lt;&gt;"",$AE84&lt;&gt;"",$H84&lt;&gt;$AE84,IFERROR(VLOOKUP($H84,areaCercaPuntiClassificaSquadra,3,FALSE),-1)=IFERROR(VLOOKUP($AE84,areaCercaPuntiClassificaSquadra,3,FALSE),-2)),SUMIFS(Dati!$F$2:$F$451,Dati!$A$2:$A$451,$H84,Dati!$H$2:$H$451,$AE84)+SUMIFS(Dati!$M$2:$M$451,Dati!$H$2:$H$451,$H84,Dati!$A$2:$A$451,$AE84),"-")</f>
        <v/>
      </c>
      <c r="CB84" s="22">
        <f>IF(AND($H84&lt;&gt;"",$AF84&lt;&gt;"",$H84&lt;&gt;$AF84,IFERROR(VLOOKUP($H84,areaCercaPuntiClassificaSquadra,3,FALSE),-1)=IFERROR(VLOOKUP($AF84,areaCercaPuntiClassificaSquadra,3,FALSE),-2)),SUMIFS(Dati!$F$2:$F$451,Dati!$A$2:$A$451,$H84,Dati!$H$2:$H$451,$AF84)+SUMIFS(Dati!$M$2:$M$451,Dati!$H$2:$H$451,$H84,Dati!$A$2:$A$451,$AF84),"-")</f>
        <v/>
      </c>
      <c r="CC84" s="22">
        <f>IF(AND($H84&lt;&gt;"",$AG84&lt;&gt;"",$H84&lt;&gt;$AG84,IFERROR(VLOOKUP($H84,areaCercaPuntiClassificaSquadra,3,FALSE),-1)=IFERROR(VLOOKUP($AG84,areaCercaPuntiClassificaSquadra,3,FALSE),-2)),SUMIFS(Dati!$F$2:$F$451,Dati!$A$2:$A$451,$H84,Dati!$H$2:$H$451,$AG84)+SUMIFS(Dati!$M$2:$M$451,Dati!$H$2:$H$451,$H84,Dati!$A$2:$A$451,$AG84),"-")</f>
        <v/>
      </c>
      <c r="CD84" s="22">
        <f>IF(AND($H84&lt;&gt;"",$AH84&lt;&gt;"",$H84&lt;&gt;$AH84,IFERROR(VLOOKUP($H84,areaCercaPuntiClassificaSquadra,3,FALSE),-1)=IFERROR(VLOOKUP($AH84,areaCercaPuntiClassificaSquadra,3,FALSE),-2)),SUMIFS(Dati!$F$2:$F$451,Dati!$A$2:$A$451,$H84,Dati!$H$2:$H$451,$AH84)+SUMIFS(Dati!$M$2:$M$451,Dati!$H$2:$H$451,$H84,Dati!$A$2:$A$451,$AH84),"-")</f>
        <v/>
      </c>
      <c r="CF84" s="22">
        <f>IF($C84="","",SUM(AK84:AT84))</f>
        <v/>
      </c>
    </row>
    <row r="85">
      <c r="B85" s="12" t="inlineStr">
        <is>
          <t>H02</t>
        </is>
      </c>
      <c r="C85" s="13" t="n"/>
      <c r="D85" s="14" t="n"/>
      <c r="E85" s="35" t="inlineStr">
        <is>
          <t>H</t>
        </is>
      </c>
      <c r="G85" s="36">
        <f>IF($C85="","",$E85&amp;(COUNTIFS(I$14:I$113,"&gt;"&amp;I85,E$14:E$113,"="&amp;E85,C$14:C$113,"&lt;&gt;")+COUNTIFS(I$14:I$113,"="&amp;I85,H$14:H$113,"&lt;="&amp;H85,E$14:E$113,"="&amp;E85,C$14:C$113,"&lt;&gt;")))</f>
        <v/>
      </c>
      <c r="H85" s="17">
        <f>IF($C85="","",IFERROR(LEFT($C85,FIND("-",$C85)-1),$C85))</f>
        <v/>
      </c>
      <c r="I85" s="12">
        <f>TEXT(1000000000+J85,"|0000000000|")&amp;TEXT(SUM(AK85:AT85),"0000000000|")&amp;IF(SUM(BU85:CD85)=0,"0000000000|",TEXT(ROUND(SUM(BI85:BR85)/SUM(BU85:CD85),4)*100000,"0000000000|"))&amp;IF(P85=0,"0000000000|",TEXT(ROUND(O85/P85,4)*100000,"0000000000|"))</f>
        <v/>
      </c>
      <c r="J85" s="36">
        <f>L85*constPuntiVittoria+M85*constPuntiSconfitta+N85*constPuntiForfait+IF(D85="",0,D85)</f>
        <v/>
      </c>
      <c r="K85" s="12">
        <f>SUM(L85:N85)</f>
        <v/>
      </c>
      <c r="L85" s="12">
        <f>IF($H85="",0,SUMIF(Dati!$A$2:$A$451,$H85,Dati!$B$2:$B$451)+SUMIF(Dati!$H$2:$H$451,$H85,Dati!$I$2:$I$451))</f>
        <v/>
      </c>
      <c r="M85" s="12">
        <f>IF($H85="",0,SUMIF(Dati!$A$2:$A$451,$H85,Dati!$D$2:$D$451)+SUMIF(Dati!$H$2:$H$451,$H85,Dati!$K$2:$K$451))</f>
        <v/>
      </c>
      <c r="N85" s="12">
        <f>IF($H85="",0,SUMIF(Dati!$A$2:$A$451,$H85,Dati!$C$2:$C$451)+SUMIF(Dati!$H$2:$H$451,$H85,Dati!$J$2:$J$451))</f>
        <v/>
      </c>
      <c r="O85" s="12">
        <f>IF($H85="",0,SUMIF(Dati!$A$2:$A$451,$H85,Dati!$E$2:$E$451)+SUMIF(Dati!$H$2:$H$451,$H85,Dati!$L$2:$L$451))</f>
        <v/>
      </c>
      <c r="P85" s="12">
        <f>IF($H85="",0,SUMIF(Dati!$A$2:$A$451,$H85,Dati!$F$2:$F$451)+SUMIF(Dati!$H$2:$H$451,$H85,Dati!$M$2:$M$451))</f>
        <v/>
      </c>
      <c r="Q85" s="12">
        <f>IF($H85="",0,SUMIF(Dati!$A$2:$A$451,$H85,Dati!$G$2:$G$451)+SUMIF(Dati!$H$2:$H$451,$H85,Dati!$N$2:$N$451))</f>
        <v/>
      </c>
      <c r="R85" s="12">
        <f>IF(K85=0,0,ROUND(O85/K85,2))</f>
        <v/>
      </c>
      <c r="S85" s="12">
        <f>IF(K85=0,0,ROUND(P85/K85,2))</f>
        <v/>
      </c>
      <c r="T85" s="12">
        <f>IF(K85=0,0,ROUND(Q85/K85,2))</f>
        <v/>
      </c>
      <c r="U85" s="12">
        <f>IF(COUNTIFS($E$14:$E$113,$E85,$J$14:$J$113,$J85,$C$14:$C$113,"&lt;&gt;")&lt;=1,"-",SUM(AK85:AT85)&amp;"-"&amp;SUM(AW85:BF85))</f>
        <v/>
      </c>
      <c r="V85" s="18">
        <f>IF(COUNTIFS($E$14:$E$113,$E85,$J$14:$J$113,$J85,$C$14:$C$113,"&lt;&gt;",$CF$14:$CF$113,$CF85)&lt;=1,"-",IF(SUM(BU85:CD85)=0,0,ROUND(SUM(BI85:BR85)/SUM(BU85:CD85),3)))</f>
        <v/>
      </c>
      <c r="W85" s="18">
        <f>IF(COUNTIFS($E$14:$E$113,$E85,$J$14:$J$113,$J85,$C$14:$C$113,"&lt;&gt;",$CF$14:$CF$113,$CF85,$V$14:$V$113,$V85)&lt;=1,"-",IF(P85=0,0,ROUND(O85/P85,3)))</f>
        <v/>
      </c>
      <c r="X85" s="19">
        <f>IF($C85="","",$E85&amp;"#"&amp;COUNTIFS($E$14:$E85,$E85,$C$14:$C85,"&lt;&gt;"))</f>
        <v/>
      </c>
      <c r="Y85" s="20">
        <f>IFERROR(INDEX($H$14:$H$113,MATCH($E85&amp;"#1",$X$14:$X$113,0)),"")</f>
        <v/>
      </c>
      <c r="Z85" s="20">
        <f>IFERROR(INDEX($H$14:$H$113,MATCH($E85&amp;"#2",$X$14:$X$113,0)),"")</f>
        <v/>
      </c>
      <c r="AA85" s="20">
        <f>IFERROR(INDEX($H$14:$H$113,MATCH($E85&amp;"#3",$X$14:$X$113,0)),"")</f>
        <v/>
      </c>
      <c r="AB85" s="20">
        <f>IFERROR(INDEX($H$14:$H$113,MATCH($E85&amp;"#4",$X$14:$X$113,0)),"")</f>
        <v/>
      </c>
      <c r="AC85" s="20">
        <f>IFERROR(INDEX($H$14:$H$113,MATCH($E85&amp;"#5",$X$14:$X$113,0)),"")</f>
        <v/>
      </c>
      <c r="AD85" s="20">
        <f>IFERROR(INDEX($H$14:$H$113,MATCH($E85&amp;"#6",$X$14:$X$113,0)),"")</f>
        <v/>
      </c>
      <c r="AE85" s="20">
        <f>IFERROR(INDEX($H$14:$H$113,MATCH($E85&amp;"#7",$X$14:$X$113,0)),"")</f>
        <v/>
      </c>
      <c r="AF85" s="20">
        <f>IFERROR(INDEX($H$14:$H$113,MATCH($E85&amp;"#8",$X$14:$X$113,0)),"")</f>
        <v/>
      </c>
      <c r="AG85" s="20">
        <f>IFERROR(INDEX($H$14:$H$113,MATCH($E85&amp;"#9",$X$14:$X$113,0)),"")</f>
        <v/>
      </c>
      <c r="AH85" s="20">
        <f>IFERROR(INDEX($H$14:$H$113,MATCH($E85&amp;"#10",$X$14:$X$113,0)),"")</f>
        <v/>
      </c>
      <c r="AJ85" s="21">
        <f>$C85</f>
        <v/>
      </c>
      <c r="AK85" s="22">
        <f>IF(AND($H85&lt;&gt;"",$Y85&lt;&gt;"",$H85&lt;&gt;$Y85,IFERROR(VLOOKUP($H85,areaCercaPuntiClassificaSquadra,3,FALSE),-1)=IFERROR(VLOOKUP($Y85,areaCercaPuntiClassificaSquadra,3,FALSE),-2)),SUMIFS(Dati!$B$2:$B$451,Dati!$A$2:$A$451,$H85,Dati!$H$2:$H$451,$Y85)+SUMIFS(Dati!$I$2:$I$451,Dati!$H$2:$H$451,$H85,Dati!$A$2:$A$451,$Y85),"-")</f>
        <v/>
      </c>
      <c r="AL85" s="22">
        <f>IF(AND($H85&lt;&gt;"",$Z85&lt;&gt;"",$H85&lt;&gt;$Z85,IFERROR(VLOOKUP($H85,areaCercaPuntiClassificaSquadra,3,FALSE),-1)=IFERROR(VLOOKUP($Z85,areaCercaPuntiClassificaSquadra,3,FALSE),-2)),SUMIFS(Dati!$B$2:$B$451,Dati!$A$2:$A$451,$H85,Dati!$H$2:$H$451,$Z85)+SUMIFS(Dati!$I$2:$I$451,Dati!$H$2:$H$451,$H85,Dati!$A$2:$A$451,$Z85),"-")</f>
        <v/>
      </c>
      <c r="AM85" s="22">
        <f>IF(AND($H85&lt;&gt;"",$AA85&lt;&gt;"",$H85&lt;&gt;$AA85,IFERROR(VLOOKUP($H85,areaCercaPuntiClassificaSquadra,3,FALSE),-1)=IFERROR(VLOOKUP($AA85,areaCercaPuntiClassificaSquadra,3,FALSE),-2)),SUMIFS(Dati!$B$2:$B$451,Dati!$A$2:$A$451,$H85,Dati!$H$2:$H$451,$AA85)+SUMIFS(Dati!$I$2:$I$451,Dati!$H$2:$H$451,$H85,Dati!$A$2:$A$451,$AA85),"-")</f>
        <v/>
      </c>
      <c r="AN85" s="22">
        <f>IF(AND($H85&lt;&gt;"",$AB85&lt;&gt;"",$H85&lt;&gt;$AB85,IFERROR(VLOOKUP($H85,areaCercaPuntiClassificaSquadra,3,FALSE),-1)=IFERROR(VLOOKUP($AB85,areaCercaPuntiClassificaSquadra,3,FALSE),-2)),SUMIFS(Dati!$B$2:$B$451,Dati!$A$2:$A$451,$H85,Dati!$H$2:$H$451,$AB85)+SUMIFS(Dati!$I$2:$I$451,Dati!$H$2:$H$451,$H85,Dati!$A$2:$A$451,$AB85),"-")</f>
        <v/>
      </c>
      <c r="AO85" s="22">
        <f>IF(AND($H85&lt;&gt;"",$AC85&lt;&gt;"",$H85&lt;&gt;$AC85,IFERROR(VLOOKUP($H85,areaCercaPuntiClassificaSquadra,3,FALSE),-1)=IFERROR(VLOOKUP($AC85,areaCercaPuntiClassificaSquadra,3,FALSE),-2)),SUMIFS(Dati!$B$2:$B$451,Dati!$A$2:$A$451,$H85,Dati!$H$2:$H$451,$AC85)+SUMIFS(Dati!$I$2:$I$451,Dati!$H$2:$H$451,$H85,Dati!$A$2:$A$451,$AC85),"-")</f>
        <v/>
      </c>
      <c r="AP85" s="22">
        <f>IF(AND($H85&lt;&gt;"",$AD85&lt;&gt;"",$H85&lt;&gt;$AD85,IFERROR(VLOOKUP($H85,areaCercaPuntiClassificaSquadra,3,FALSE),-1)=IFERROR(VLOOKUP($AD85,areaCercaPuntiClassificaSquadra,3,FALSE),-2)),SUMIFS(Dati!$B$2:$B$451,Dati!$A$2:$A$451,$H85,Dati!$H$2:$H$451,$AD85)+SUMIFS(Dati!$I$2:$I$451,Dati!$H$2:$H$451,$H85,Dati!$A$2:$A$451,$AD85),"-")</f>
        <v/>
      </c>
      <c r="AQ85" s="22">
        <f>IF(AND($H85&lt;&gt;"",$AE85&lt;&gt;"",$H85&lt;&gt;$AE85,IFERROR(VLOOKUP($H85,areaCercaPuntiClassificaSquadra,3,FALSE),-1)=IFERROR(VLOOKUP($AE85,areaCercaPuntiClassificaSquadra,3,FALSE),-2)),SUMIFS(Dati!$B$2:$B$451,Dati!$A$2:$A$451,$H85,Dati!$H$2:$H$451,$AE85)+SUMIFS(Dati!$I$2:$I$451,Dati!$H$2:$H$451,$H85,Dati!$A$2:$A$451,$AE85),"-")</f>
        <v/>
      </c>
      <c r="AR85" s="22">
        <f>IF(AND($H85&lt;&gt;"",$AF85&lt;&gt;"",$H85&lt;&gt;$AF85,IFERROR(VLOOKUP($H85,areaCercaPuntiClassificaSquadra,3,FALSE),-1)=IFERROR(VLOOKUP($AF85,areaCercaPuntiClassificaSquadra,3,FALSE),-2)),SUMIFS(Dati!$B$2:$B$451,Dati!$A$2:$A$451,$H85,Dati!$H$2:$H$451,$AF85)+SUMIFS(Dati!$I$2:$I$451,Dati!$H$2:$H$451,$H85,Dati!$A$2:$A$451,$AF85),"-")</f>
        <v/>
      </c>
      <c r="AS85" s="22">
        <f>IF(AND($H85&lt;&gt;"",$AG85&lt;&gt;"",$H85&lt;&gt;$AG85,IFERROR(VLOOKUP($H85,areaCercaPuntiClassificaSquadra,3,FALSE),-1)=IFERROR(VLOOKUP($AG85,areaCercaPuntiClassificaSquadra,3,FALSE),-2)),SUMIFS(Dati!$B$2:$B$451,Dati!$A$2:$A$451,$H85,Dati!$H$2:$H$451,$AG85)+SUMIFS(Dati!$I$2:$I$451,Dati!$H$2:$H$451,$H85,Dati!$A$2:$A$451,$AG85),"-")</f>
        <v/>
      </c>
      <c r="AT85" s="22">
        <f>IF(AND($H85&lt;&gt;"",$AH85&lt;&gt;"",$H85&lt;&gt;$AH85,IFERROR(VLOOKUP($H85,areaCercaPuntiClassificaSquadra,3,FALSE),-1)=IFERROR(VLOOKUP($AH85,areaCercaPuntiClassificaSquadra,3,FALSE),-2)),SUMIFS(Dati!$B$2:$B$451,Dati!$A$2:$A$451,$H85,Dati!$H$2:$H$451,$AH85)+SUMIFS(Dati!$I$2:$I$451,Dati!$H$2:$H$451,$H85,Dati!$A$2:$A$451,$AH85),"-")</f>
        <v/>
      </c>
      <c r="AV85" s="21">
        <f>$C85</f>
        <v/>
      </c>
      <c r="AW85" s="22">
        <f>IF(AND($H85&lt;&gt;"",$Y85&lt;&gt;"",$H85&lt;&gt;$Y85,IFERROR(VLOOKUP($H85,areaCercaPuntiClassificaSquadra,3,FALSE),-1)=IFERROR(VLOOKUP($Y85,areaCercaPuntiClassificaSquadra,3,FALSE),-2)),SUMIFS(Dati!$D$2:$D$451,Dati!$A$2:$A$451,$H85,Dati!$H$2:$H$451,$Y85)+SUMIFS(Dati!$K$2:$K$451,Dati!$H$2:$H$451,$H85,Dati!$A$2:$A$451,$Y85)+SUMIFS(Dati!$C$2:$C$451,Dati!$A$2:$A$451,$H85,Dati!$H$2:$H$451,$Y85)+SUMIFS(Dati!$J$2:$J$451,Dati!$H$2:$H$451,$H85,Dati!$A$2:$A$451,$Y85),"-")</f>
        <v/>
      </c>
      <c r="AX85" s="22">
        <f>IF(AND($H85&lt;&gt;"",$Z85&lt;&gt;"",$H85&lt;&gt;$Z85,IFERROR(VLOOKUP($H85,areaCercaPuntiClassificaSquadra,3,FALSE),-1)=IFERROR(VLOOKUP($Z85,areaCercaPuntiClassificaSquadra,3,FALSE),-2)),SUMIFS(Dati!$D$2:$D$451,Dati!$A$2:$A$451,$H85,Dati!$H$2:$H$451,$Z85)+SUMIFS(Dati!$K$2:$K$451,Dati!$H$2:$H$451,$H85,Dati!$A$2:$A$451,$Z85)+SUMIFS(Dati!$C$2:$C$451,Dati!$A$2:$A$451,$H85,Dati!$H$2:$H$451,$Z85)+SUMIFS(Dati!$J$2:$J$451,Dati!$H$2:$H$451,$H85,Dati!$A$2:$A$451,$Z85),"-")</f>
        <v/>
      </c>
      <c r="AY85" s="22">
        <f>IF(AND($H85&lt;&gt;"",$AA85&lt;&gt;"",$H85&lt;&gt;$AA85,IFERROR(VLOOKUP($H85,areaCercaPuntiClassificaSquadra,3,FALSE),-1)=IFERROR(VLOOKUP($AA85,areaCercaPuntiClassificaSquadra,3,FALSE),-2)),SUMIFS(Dati!$D$2:$D$451,Dati!$A$2:$A$451,$H85,Dati!$H$2:$H$451,$AA85)+SUMIFS(Dati!$K$2:$K$451,Dati!$H$2:$H$451,$H85,Dati!$A$2:$A$451,$AA85)+SUMIFS(Dati!$C$2:$C$451,Dati!$A$2:$A$451,$H85,Dati!$H$2:$H$451,$AA85)+SUMIFS(Dati!$J$2:$J$451,Dati!$H$2:$H$451,$H85,Dati!$A$2:$A$451,$AA85),"-")</f>
        <v/>
      </c>
      <c r="AZ85" s="22">
        <f>IF(AND($H85&lt;&gt;"",$AB85&lt;&gt;"",$H85&lt;&gt;$AB85,IFERROR(VLOOKUP($H85,areaCercaPuntiClassificaSquadra,3,FALSE),-1)=IFERROR(VLOOKUP($AB85,areaCercaPuntiClassificaSquadra,3,FALSE),-2)),SUMIFS(Dati!$D$2:$D$451,Dati!$A$2:$A$451,$H85,Dati!$H$2:$H$451,$AB85)+SUMIFS(Dati!$K$2:$K$451,Dati!$H$2:$H$451,$H85,Dati!$A$2:$A$451,$AB85)+SUMIFS(Dati!$C$2:$C$451,Dati!$A$2:$A$451,$H85,Dati!$H$2:$H$451,$AB85)+SUMIFS(Dati!$J$2:$J$451,Dati!$H$2:$H$451,$H85,Dati!$A$2:$A$451,$AB85),"-")</f>
        <v/>
      </c>
      <c r="BA85" s="22">
        <f>IF(AND($H85&lt;&gt;"",$AC85&lt;&gt;"",$H85&lt;&gt;$AC85,IFERROR(VLOOKUP($H85,areaCercaPuntiClassificaSquadra,3,FALSE),-1)=IFERROR(VLOOKUP($AC85,areaCercaPuntiClassificaSquadra,3,FALSE),-2)),SUMIFS(Dati!$D$2:$D$451,Dati!$A$2:$A$451,$H85,Dati!$H$2:$H$451,$AC85)+SUMIFS(Dati!$K$2:$K$451,Dati!$H$2:$H$451,$H85,Dati!$A$2:$A$451,$AC85)+SUMIFS(Dati!$C$2:$C$451,Dati!$A$2:$A$451,$H85,Dati!$H$2:$H$451,$AC85)+SUMIFS(Dati!$J$2:$J$451,Dati!$H$2:$H$451,$H85,Dati!$A$2:$A$451,$AC85),"-")</f>
        <v/>
      </c>
      <c r="BB85" s="22">
        <f>IF(AND($H85&lt;&gt;"",$AD85&lt;&gt;"",$H85&lt;&gt;$AD85,IFERROR(VLOOKUP($H85,areaCercaPuntiClassificaSquadra,3,FALSE),-1)=IFERROR(VLOOKUP($AD85,areaCercaPuntiClassificaSquadra,3,FALSE),-2)),SUMIFS(Dati!$D$2:$D$451,Dati!$A$2:$A$451,$H85,Dati!$H$2:$H$451,$AD85)+SUMIFS(Dati!$K$2:$K$451,Dati!$H$2:$H$451,$H85,Dati!$A$2:$A$451,$AD85)+SUMIFS(Dati!$C$2:$C$451,Dati!$A$2:$A$451,$H85,Dati!$H$2:$H$451,$AD85)+SUMIFS(Dati!$J$2:$J$451,Dati!$H$2:$H$451,$H85,Dati!$A$2:$A$451,$AD85),"-")</f>
        <v/>
      </c>
      <c r="BC85" s="22">
        <f>IF(AND($H85&lt;&gt;"",$AE85&lt;&gt;"",$H85&lt;&gt;$AE85,IFERROR(VLOOKUP($H85,areaCercaPuntiClassificaSquadra,3,FALSE),-1)=IFERROR(VLOOKUP($AE85,areaCercaPuntiClassificaSquadra,3,FALSE),-2)),SUMIFS(Dati!$D$2:$D$451,Dati!$A$2:$A$451,$H85,Dati!$H$2:$H$451,$AE85)+SUMIFS(Dati!$K$2:$K$451,Dati!$H$2:$H$451,$H85,Dati!$A$2:$A$451,$AE85)+SUMIFS(Dati!$C$2:$C$451,Dati!$A$2:$A$451,$H85,Dati!$H$2:$H$451,$AE85)+SUMIFS(Dati!$J$2:$J$451,Dati!$H$2:$H$451,$H85,Dati!$A$2:$A$451,$AE85),"-")</f>
        <v/>
      </c>
      <c r="BD85" s="22">
        <f>IF(AND($H85&lt;&gt;"",$AF85&lt;&gt;"",$H85&lt;&gt;$AF85,IFERROR(VLOOKUP($H85,areaCercaPuntiClassificaSquadra,3,FALSE),-1)=IFERROR(VLOOKUP($AF85,areaCercaPuntiClassificaSquadra,3,FALSE),-2)),SUMIFS(Dati!$D$2:$D$451,Dati!$A$2:$A$451,$H85,Dati!$H$2:$H$451,$AF85)+SUMIFS(Dati!$K$2:$K$451,Dati!$H$2:$H$451,$H85,Dati!$A$2:$A$451,$AF85)+SUMIFS(Dati!$C$2:$C$451,Dati!$A$2:$A$451,$H85,Dati!$H$2:$H$451,$AF85)+SUMIFS(Dati!$J$2:$J$451,Dati!$H$2:$H$451,$H85,Dati!$A$2:$A$451,$AF85),"-")</f>
        <v/>
      </c>
      <c r="BE85" s="22">
        <f>IF(AND($H85&lt;&gt;"",$AG85&lt;&gt;"",$H85&lt;&gt;$AG85,IFERROR(VLOOKUP($H85,areaCercaPuntiClassificaSquadra,3,FALSE),-1)=IFERROR(VLOOKUP($AG85,areaCercaPuntiClassificaSquadra,3,FALSE),-2)),SUMIFS(Dati!$D$2:$D$451,Dati!$A$2:$A$451,$H85,Dati!$H$2:$H$451,$AG85)+SUMIFS(Dati!$K$2:$K$451,Dati!$H$2:$H$451,$H85,Dati!$A$2:$A$451,$AG85)+SUMIFS(Dati!$C$2:$C$451,Dati!$A$2:$A$451,$H85,Dati!$H$2:$H$451,$AG85)+SUMIFS(Dati!$J$2:$J$451,Dati!$H$2:$H$451,$H85,Dati!$A$2:$A$451,$AG85),"-")</f>
        <v/>
      </c>
      <c r="BF85" s="22">
        <f>IF(AND($H85&lt;&gt;"",$AH85&lt;&gt;"",$H85&lt;&gt;$AH85,IFERROR(VLOOKUP($H85,areaCercaPuntiClassificaSquadra,3,FALSE),-1)=IFERROR(VLOOKUP($AH85,areaCercaPuntiClassificaSquadra,3,FALSE),-2)),SUMIFS(Dati!$D$2:$D$451,Dati!$A$2:$A$451,$H85,Dati!$H$2:$H$451,$AH85)+SUMIFS(Dati!$K$2:$K$451,Dati!$H$2:$H$451,$H85,Dati!$A$2:$A$451,$AH85)+SUMIFS(Dati!$C$2:$C$451,Dati!$A$2:$A$451,$H85,Dati!$H$2:$H$451,$AH85)+SUMIFS(Dati!$J$2:$J$451,Dati!$H$2:$H$451,$H85,Dati!$A$2:$A$451,$AH85),"-")</f>
        <v/>
      </c>
      <c r="BH85" s="21">
        <f>$C85</f>
        <v/>
      </c>
      <c r="BI85" s="22">
        <f>IF(AND($H85&lt;&gt;"",$Y85&lt;&gt;"",$H85&lt;&gt;$Y85,IFERROR(VLOOKUP($H85,areaCercaPuntiClassificaSquadra,3,FALSE),-1)=IFERROR(VLOOKUP($Y85,areaCercaPuntiClassificaSquadra,3,FALSE),-2)),SUMIFS(Dati!$E$2:$E$451,Dati!$A$2:$A$451,$H85,Dati!$H$2:$H$451,$Y85)+SUMIFS(Dati!$L$2:$L$451,Dati!$H$2:$H$451,$H85,Dati!$A$2:$A$451,$Y85),"-")</f>
        <v/>
      </c>
      <c r="BJ85" s="22">
        <f>IF(AND($H85&lt;&gt;"",$Z85&lt;&gt;"",$H85&lt;&gt;$Z85,IFERROR(VLOOKUP($H85,areaCercaPuntiClassificaSquadra,3,FALSE),-1)=IFERROR(VLOOKUP($Z85,areaCercaPuntiClassificaSquadra,3,FALSE),-2)),SUMIFS(Dati!$E$2:$E$451,Dati!$A$2:$A$451,$H85,Dati!$H$2:$H$451,$Z85)+SUMIFS(Dati!$L$2:$L$451,Dati!$H$2:$H$451,$H85,Dati!$A$2:$A$451,$Z85),"-")</f>
        <v/>
      </c>
      <c r="BK85" s="22">
        <f>IF(AND($H85&lt;&gt;"",$AA85&lt;&gt;"",$H85&lt;&gt;$AA85,IFERROR(VLOOKUP($H85,areaCercaPuntiClassificaSquadra,3,FALSE),-1)=IFERROR(VLOOKUP($AA85,areaCercaPuntiClassificaSquadra,3,FALSE),-2)),SUMIFS(Dati!$E$2:$E$451,Dati!$A$2:$A$451,$H85,Dati!$H$2:$H$451,$AA85)+SUMIFS(Dati!$L$2:$L$451,Dati!$H$2:$H$451,$H85,Dati!$A$2:$A$451,$AA85),"-")</f>
        <v/>
      </c>
      <c r="BL85" s="22">
        <f>IF(AND($H85&lt;&gt;"",$AB85&lt;&gt;"",$H85&lt;&gt;$AB85,IFERROR(VLOOKUP($H85,areaCercaPuntiClassificaSquadra,3,FALSE),-1)=IFERROR(VLOOKUP($AB85,areaCercaPuntiClassificaSquadra,3,FALSE),-2)),SUMIFS(Dati!$E$2:$E$451,Dati!$A$2:$A$451,$H85,Dati!$H$2:$H$451,$AB85)+SUMIFS(Dati!$L$2:$L$451,Dati!$H$2:$H$451,$H85,Dati!$A$2:$A$451,$AB85),"-")</f>
        <v/>
      </c>
      <c r="BM85" s="22">
        <f>IF(AND($H85&lt;&gt;"",$AC85&lt;&gt;"",$H85&lt;&gt;$AC85,IFERROR(VLOOKUP($H85,areaCercaPuntiClassificaSquadra,3,FALSE),-1)=IFERROR(VLOOKUP($AC85,areaCercaPuntiClassificaSquadra,3,FALSE),-2)),SUMIFS(Dati!$E$2:$E$451,Dati!$A$2:$A$451,$H85,Dati!$H$2:$H$451,$AC85)+SUMIFS(Dati!$L$2:$L$451,Dati!$H$2:$H$451,$H85,Dati!$A$2:$A$451,$AC85),"-")</f>
        <v/>
      </c>
      <c r="BN85" s="22">
        <f>IF(AND($H85&lt;&gt;"",$AD85&lt;&gt;"",$H85&lt;&gt;$AD85,IFERROR(VLOOKUP($H85,areaCercaPuntiClassificaSquadra,3,FALSE),-1)=IFERROR(VLOOKUP($AD85,areaCercaPuntiClassificaSquadra,3,FALSE),-2)),SUMIFS(Dati!$E$2:$E$451,Dati!$A$2:$A$451,$H85,Dati!$H$2:$H$451,$AD85)+SUMIFS(Dati!$L$2:$L$451,Dati!$H$2:$H$451,$H85,Dati!$A$2:$A$451,$AD85),"-")</f>
        <v/>
      </c>
      <c r="BO85" s="22">
        <f>IF(AND($H85&lt;&gt;"",$AE85&lt;&gt;"",$H85&lt;&gt;$AE85,IFERROR(VLOOKUP($H85,areaCercaPuntiClassificaSquadra,3,FALSE),-1)=IFERROR(VLOOKUP($AE85,areaCercaPuntiClassificaSquadra,3,FALSE),-2)),SUMIFS(Dati!$E$2:$E$451,Dati!$A$2:$A$451,$H85,Dati!$H$2:$H$451,$AE85)+SUMIFS(Dati!$L$2:$L$451,Dati!$H$2:$H$451,$H85,Dati!$A$2:$A$451,$AE85),"-")</f>
        <v/>
      </c>
      <c r="BP85" s="22">
        <f>IF(AND($H85&lt;&gt;"",$AF85&lt;&gt;"",$H85&lt;&gt;$AF85,IFERROR(VLOOKUP($H85,areaCercaPuntiClassificaSquadra,3,FALSE),-1)=IFERROR(VLOOKUP($AF85,areaCercaPuntiClassificaSquadra,3,FALSE),-2)),SUMIFS(Dati!$E$2:$E$451,Dati!$A$2:$A$451,$H85,Dati!$H$2:$H$451,$AF85)+SUMIFS(Dati!$L$2:$L$451,Dati!$H$2:$H$451,$H85,Dati!$A$2:$A$451,$AF85),"-")</f>
        <v/>
      </c>
      <c r="BQ85" s="22">
        <f>IF(AND($H85&lt;&gt;"",$AG85&lt;&gt;"",$H85&lt;&gt;$AG85,IFERROR(VLOOKUP($H85,areaCercaPuntiClassificaSquadra,3,FALSE),-1)=IFERROR(VLOOKUP($AG85,areaCercaPuntiClassificaSquadra,3,FALSE),-2)),SUMIFS(Dati!$E$2:$E$451,Dati!$A$2:$A$451,$H85,Dati!$H$2:$H$451,$AG85)+SUMIFS(Dati!$L$2:$L$451,Dati!$H$2:$H$451,$H85,Dati!$A$2:$A$451,$AG85),"-")</f>
        <v/>
      </c>
      <c r="BR85" s="22">
        <f>IF(AND($H85&lt;&gt;"",$AH85&lt;&gt;"",$H85&lt;&gt;$AH85,IFERROR(VLOOKUP($H85,areaCercaPuntiClassificaSquadra,3,FALSE),-1)=IFERROR(VLOOKUP($AH85,areaCercaPuntiClassificaSquadra,3,FALSE),-2)),SUMIFS(Dati!$E$2:$E$451,Dati!$A$2:$A$451,$H85,Dati!$H$2:$H$451,$AH85)+SUMIFS(Dati!$L$2:$L$451,Dati!$H$2:$H$451,$H85,Dati!$A$2:$A$451,$AH85),"-")</f>
        <v/>
      </c>
      <c r="BT85" s="21">
        <f>$C85</f>
        <v/>
      </c>
      <c r="BU85" s="22">
        <f>IF(AND($H85&lt;&gt;"",$Y85&lt;&gt;"",$H85&lt;&gt;$Y85,IFERROR(VLOOKUP($H85,areaCercaPuntiClassificaSquadra,3,FALSE),-1)=IFERROR(VLOOKUP($Y85,areaCercaPuntiClassificaSquadra,3,FALSE),-2)),SUMIFS(Dati!$F$2:$F$451,Dati!$A$2:$A$451,$H85,Dati!$H$2:$H$451,$Y85)+SUMIFS(Dati!$M$2:$M$451,Dati!$H$2:$H$451,$H85,Dati!$A$2:$A$451,$Y85),"-")</f>
        <v/>
      </c>
      <c r="BV85" s="22">
        <f>IF(AND($H85&lt;&gt;"",$Z85&lt;&gt;"",$H85&lt;&gt;$Z85,IFERROR(VLOOKUP($H85,areaCercaPuntiClassificaSquadra,3,FALSE),-1)=IFERROR(VLOOKUP($Z85,areaCercaPuntiClassificaSquadra,3,FALSE),-2)),SUMIFS(Dati!$F$2:$F$451,Dati!$A$2:$A$451,$H85,Dati!$H$2:$H$451,$Z85)+SUMIFS(Dati!$M$2:$M$451,Dati!$H$2:$H$451,$H85,Dati!$A$2:$A$451,$Z85),"-")</f>
        <v/>
      </c>
      <c r="BW85" s="22">
        <f>IF(AND($H85&lt;&gt;"",$AA85&lt;&gt;"",$H85&lt;&gt;$AA85,IFERROR(VLOOKUP($H85,areaCercaPuntiClassificaSquadra,3,FALSE),-1)=IFERROR(VLOOKUP($AA85,areaCercaPuntiClassificaSquadra,3,FALSE),-2)),SUMIFS(Dati!$F$2:$F$451,Dati!$A$2:$A$451,$H85,Dati!$H$2:$H$451,$AA85)+SUMIFS(Dati!$M$2:$M$451,Dati!$H$2:$H$451,$H85,Dati!$A$2:$A$451,$AA85),"-")</f>
        <v/>
      </c>
      <c r="BX85" s="22">
        <f>IF(AND($H85&lt;&gt;"",$AB85&lt;&gt;"",$H85&lt;&gt;$AB85,IFERROR(VLOOKUP($H85,areaCercaPuntiClassificaSquadra,3,FALSE),-1)=IFERROR(VLOOKUP($AB85,areaCercaPuntiClassificaSquadra,3,FALSE),-2)),SUMIFS(Dati!$F$2:$F$451,Dati!$A$2:$A$451,$H85,Dati!$H$2:$H$451,$AB85)+SUMIFS(Dati!$M$2:$M$451,Dati!$H$2:$H$451,$H85,Dati!$A$2:$A$451,$AB85),"-")</f>
        <v/>
      </c>
      <c r="BY85" s="22">
        <f>IF(AND($H85&lt;&gt;"",$AC85&lt;&gt;"",$H85&lt;&gt;$AC85,IFERROR(VLOOKUP($H85,areaCercaPuntiClassificaSquadra,3,FALSE),-1)=IFERROR(VLOOKUP($AC85,areaCercaPuntiClassificaSquadra,3,FALSE),-2)),SUMIFS(Dati!$F$2:$F$451,Dati!$A$2:$A$451,$H85,Dati!$H$2:$H$451,$AC85)+SUMIFS(Dati!$M$2:$M$451,Dati!$H$2:$H$451,$H85,Dati!$A$2:$A$451,$AC85),"-")</f>
        <v/>
      </c>
      <c r="BZ85" s="22">
        <f>IF(AND($H85&lt;&gt;"",$AD85&lt;&gt;"",$H85&lt;&gt;$AD85,IFERROR(VLOOKUP($H85,areaCercaPuntiClassificaSquadra,3,FALSE),-1)=IFERROR(VLOOKUP($AD85,areaCercaPuntiClassificaSquadra,3,FALSE),-2)),SUMIFS(Dati!$F$2:$F$451,Dati!$A$2:$A$451,$H85,Dati!$H$2:$H$451,$AD85)+SUMIFS(Dati!$M$2:$M$451,Dati!$H$2:$H$451,$H85,Dati!$A$2:$A$451,$AD85),"-")</f>
        <v/>
      </c>
      <c r="CA85" s="22">
        <f>IF(AND($H85&lt;&gt;"",$AE85&lt;&gt;"",$H85&lt;&gt;$AE85,IFERROR(VLOOKUP($H85,areaCercaPuntiClassificaSquadra,3,FALSE),-1)=IFERROR(VLOOKUP($AE85,areaCercaPuntiClassificaSquadra,3,FALSE),-2)),SUMIFS(Dati!$F$2:$F$451,Dati!$A$2:$A$451,$H85,Dati!$H$2:$H$451,$AE85)+SUMIFS(Dati!$M$2:$M$451,Dati!$H$2:$H$451,$H85,Dati!$A$2:$A$451,$AE85),"-")</f>
        <v/>
      </c>
      <c r="CB85" s="22">
        <f>IF(AND($H85&lt;&gt;"",$AF85&lt;&gt;"",$H85&lt;&gt;$AF85,IFERROR(VLOOKUP($H85,areaCercaPuntiClassificaSquadra,3,FALSE),-1)=IFERROR(VLOOKUP($AF85,areaCercaPuntiClassificaSquadra,3,FALSE),-2)),SUMIFS(Dati!$F$2:$F$451,Dati!$A$2:$A$451,$H85,Dati!$H$2:$H$451,$AF85)+SUMIFS(Dati!$M$2:$M$451,Dati!$H$2:$H$451,$H85,Dati!$A$2:$A$451,$AF85),"-")</f>
        <v/>
      </c>
      <c r="CC85" s="22">
        <f>IF(AND($H85&lt;&gt;"",$AG85&lt;&gt;"",$H85&lt;&gt;$AG85,IFERROR(VLOOKUP($H85,areaCercaPuntiClassificaSquadra,3,FALSE),-1)=IFERROR(VLOOKUP($AG85,areaCercaPuntiClassificaSquadra,3,FALSE),-2)),SUMIFS(Dati!$F$2:$F$451,Dati!$A$2:$A$451,$H85,Dati!$H$2:$H$451,$AG85)+SUMIFS(Dati!$M$2:$M$451,Dati!$H$2:$H$451,$H85,Dati!$A$2:$A$451,$AG85),"-")</f>
        <v/>
      </c>
      <c r="CD85" s="22">
        <f>IF(AND($H85&lt;&gt;"",$AH85&lt;&gt;"",$H85&lt;&gt;$AH85,IFERROR(VLOOKUP($H85,areaCercaPuntiClassificaSquadra,3,FALSE),-1)=IFERROR(VLOOKUP($AH85,areaCercaPuntiClassificaSquadra,3,FALSE),-2)),SUMIFS(Dati!$F$2:$F$451,Dati!$A$2:$A$451,$H85,Dati!$H$2:$H$451,$AH85)+SUMIFS(Dati!$M$2:$M$451,Dati!$H$2:$H$451,$H85,Dati!$A$2:$A$451,$AH85),"-")</f>
        <v/>
      </c>
      <c r="CF85" s="22">
        <f>IF($C85="","",SUM(AK85:AT85))</f>
        <v/>
      </c>
    </row>
    <row r="86">
      <c r="B86" s="12" t="inlineStr">
        <is>
          <t>H03</t>
        </is>
      </c>
      <c r="C86" s="13" t="n"/>
      <c r="D86" s="14" t="n"/>
      <c r="E86" s="35" t="inlineStr">
        <is>
          <t>H</t>
        </is>
      </c>
      <c r="G86" s="36">
        <f>IF($C86="","",$E86&amp;(COUNTIFS(I$14:I$113,"&gt;"&amp;I86,E$14:E$113,"="&amp;E86,C$14:C$113,"&lt;&gt;")+COUNTIFS(I$14:I$113,"="&amp;I86,H$14:H$113,"&lt;="&amp;H86,E$14:E$113,"="&amp;E86,C$14:C$113,"&lt;&gt;")))</f>
        <v/>
      </c>
      <c r="H86" s="17">
        <f>IF($C86="","",IFERROR(LEFT($C86,FIND("-",$C86)-1),$C86))</f>
        <v/>
      </c>
      <c r="I86" s="12">
        <f>TEXT(1000000000+J86,"|0000000000|")&amp;TEXT(SUM(AK86:AT86),"0000000000|")&amp;IF(SUM(BU86:CD86)=0,"0000000000|",TEXT(ROUND(SUM(BI86:BR86)/SUM(BU86:CD86),4)*100000,"0000000000|"))&amp;IF(P86=0,"0000000000|",TEXT(ROUND(O86/P86,4)*100000,"0000000000|"))</f>
        <v/>
      </c>
      <c r="J86" s="36">
        <f>L86*constPuntiVittoria+M86*constPuntiSconfitta+N86*constPuntiForfait+IF(D86="",0,D86)</f>
        <v/>
      </c>
      <c r="K86" s="12">
        <f>SUM(L86:N86)</f>
        <v/>
      </c>
      <c r="L86" s="12">
        <f>IF($H86="",0,SUMIF(Dati!$A$2:$A$451,$H86,Dati!$B$2:$B$451)+SUMIF(Dati!$H$2:$H$451,$H86,Dati!$I$2:$I$451))</f>
        <v/>
      </c>
      <c r="M86" s="12">
        <f>IF($H86="",0,SUMIF(Dati!$A$2:$A$451,$H86,Dati!$D$2:$D$451)+SUMIF(Dati!$H$2:$H$451,$H86,Dati!$K$2:$K$451))</f>
        <v/>
      </c>
      <c r="N86" s="12">
        <f>IF($H86="",0,SUMIF(Dati!$A$2:$A$451,$H86,Dati!$C$2:$C$451)+SUMIF(Dati!$H$2:$H$451,$H86,Dati!$J$2:$J$451))</f>
        <v/>
      </c>
      <c r="O86" s="12">
        <f>IF($H86="",0,SUMIF(Dati!$A$2:$A$451,$H86,Dati!$E$2:$E$451)+SUMIF(Dati!$H$2:$H$451,$H86,Dati!$L$2:$L$451))</f>
        <v/>
      </c>
      <c r="P86" s="12">
        <f>IF($H86="",0,SUMIF(Dati!$A$2:$A$451,$H86,Dati!$F$2:$F$451)+SUMIF(Dati!$H$2:$H$451,$H86,Dati!$M$2:$M$451))</f>
        <v/>
      </c>
      <c r="Q86" s="12">
        <f>IF($H86="",0,SUMIF(Dati!$A$2:$A$451,$H86,Dati!$G$2:$G$451)+SUMIF(Dati!$H$2:$H$451,$H86,Dati!$N$2:$N$451))</f>
        <v/>
      </c>
      <c r="R86" s="12">
        <f>IF(K86=0,0,ROUND(O86/K86,2))</f>
        <v/>
      </c>
      <c r="S86" s="12">
        <f>IF(K86=0,0,ROUND(P86/K86,2))</f>
        <v/>
      </c>
      <c r="T86" s="12">
        <f>IF(K86=0,0,ROUND(Q86/K86,2))</f>
        <v/>
      </c>
      <c r="U86" s="12">
        <f>IF(COUNTIFS($E$14:$E$113,$E86,$J$14:$J$113,$J86,$C$14:$C$113,"&lt;&gt;")&lt;=1,"-",SUM(AK86:AT86)&amp;"-"&amp;SUM(AW86:BF86))</f>
        <v/>
      </c>
      <c r="V86" s="18">
        <f>IF(COUNTIFS($E$14:$E$113,$E86,$J$14:$J$113,$J86,$C$14:$C$113,"&lt;&gt;",$CF$14:$CF$113,$CF86)&lt;=1,"-",IF(SUM(BU86:CD86)=0,0,ROUND(SUM(BI86:BR86)/SUM(BU86:CD86),3)))</f>
        <v/>
      </c>
      <c r="W86" s="18">
        <f>IF(COUNTIFS($E$14:$E$113,$E86,$J$14:$J$113,$J86,$C$14:$C$113,"&lt;&gt;",$CF$14:$CF$113,$CF86,$V$14:$V$113,$V86)&lt;=1,"-",IF(P86=0,0,ROUND(O86/P86,3)))</f>
        <v/>
      </c>
      <c r="X86" s="19">
        <f>IF($C86="","",$E86&amp;"#"&amp;COUNTIFS($E$14:$E86,$E86,$C$14:$C86,"&lt;&gt;"))</f>
        <v/>
      </c>
      <c r="Y86" s="20">
        <f>IFERROR(INDEX($H$14:$H$113,MATCH($E86&amp;"#1",$X$14:$X$113,0)),"")</f>
        <v/>
      </c>
      <c r="Z86" s="20">
        <f>IFERROR(INDEX($H$14:$H$113,MATCH($E86&amp;"#2",$X$14:$X$113,0)),"")</f>
        <v/>
      </c>
      <c r="AA86" s="20">
        <f>IFERROR(INDEX($H$14:$H$113,MATCH($E86&amp;"#3",$X$14:$X$113,0)),"")</f>
        <v/>
      </c>
      <c r="AB86" s="20">
        <f>IFERROR(INDEX($H$14:$H$113,MATCH($E86&amp;"#4",$X$14:$X$113,0)),"")</f>
        <v/>
      </c>
      <c r="AC86" s="20">
        <f>IFERROR(INDEX($H$14:$H$113,MATCH($E86&amp;"#5",$X$14:$X$113,0)),"")</f>
        <v/>
      </c>
      <c r="AD86" s="20">
        <f>IFERROR(INDEX($H$14:$H$113,MATCH($E86&amp;"#6",$X$14:$X$113,0)),"")</f>
        <v/>
      </c>
      <c r="AE86" s="20">
        <f>IFERROR(INDEX($H$14:$H$113,MATCH($E86&amp;"#7",$X$14:$X$113,0)),"")</f>
        <v/>
      </c>
      <c r="AF86" s="20">
        <f>IFERROR(INDEX($H$14:$H$113,MATCH($E86&amp;"#8",$X$14:$X$113,0)),"")</f>
        <v/>
      </c>
      <c r="AG86" s="20">
        <f>IFERROR(INDEX($H$14:$H$113,MATCH($E86&amp;"#9",$X$14:$X$113,0)),"")</f>
        <v/>
      </c>
      <c r="AH86" s="20">
        <f>IFERROR(INDEX($H$14:$H$113,MATCH($E86&amp;"#10",$X$14:$X$113,0)),"")</f>
        <v/>
      </c>
      <c r="AJ86" s="21">
        <f>$C86</f>
        <v/>
      </c>
      <c r="AK86" s="22">
        <f>IF(AND($H86&lt;&gt;"",$Y86&lt;&gt;"",$H86&lt;&gt;$Y86,IFERROR(VLOOKUP($H86,areaCercaPuntiClassificaSquadra,3,FALSE),-1)=IFERROR(VLOOKUP($Y86,areaCercaPuntiClassificaSquadra,3,FALSE),-2)),SUMIFS(Dati!$B$2:$B$451,Dati!$A$2:$A$451,$H86,Dati!$H$2:$H$451,$Y86)+SUMIFS(Dati!$I$2:$I$451,Dati!$H$2:$H$451,$H86,Dati!$A$2:$A$451,$Y86),"-")</f>
        <v/>
      </c>
      <c r="AL86" s="22">
        <f>IF(AND($H86&lt;&gt;"",$Z86&lt;&gt;"",$H86&lt;&gt;$Z86,IFERROR(VLOOKUP($H86,areaCercaPuntiClassificaSquadra,3,FALSE),-1)=IFERROR(VLOOKUP($Z86,areaCercaPuntiClassificaSquadra,3,FALSE),-2)),SUMIFS(Dati!$B$2:$B$451,Dati!$A$2:$A$451,$H86,Dati!$H$2:$H$451,$Z86)+SUMIFS(Dati!$I$2:$I$451,Dati!$H$2:$H$451,$H86,Dati!$A$2:$A$451,$Z86),"-")</f>
        <v/>
      </c>
      <c r="AM86" s="22">
        <f>IF(AND($H86&lt;&gt;"",$AA86&lt;&gt;"",$H86&lt;&gt;$AA86,IFERROR(VLOOKUP($H86,areaCercaPuntiClassificaSquadra,3,FALSE),-1)=IFERROR(VLOOKUP($AA86,areaCercaPuntiClassificaSquadra,3,FALSE),-2)),SUMIFS(Dati!$B$2:$B$451,Dati!$A$2:$A$451,$H86,Dati!$H$2:$H$451,$AA86)+SUMIFS(Dati!$I$2:$I$451,Dati!$H$2:$H$451,$H86,Dati!$A$2:$A$451,$AA86),"-")</f>
        <v/>
      </c>
      <c r="AN86" s="22">
        <f>IF(AND($H86&lt;&gt;"",$AB86&lt;&gt;"",$H86&lt;&gt;$AB86,IFERROR(VLOOKUP($H86,areaCercaPuntiClassificaSquadra,3,FALSE),-1)=IFERROR(VLOOKUP($AB86,areaCercaPuntiClassificaSquadra,3,FALSE),-2)),SUMIFS(Dati!$B$2:$B$451,Dati!$A$2:$A$451,$H86,Dati!$H$2:$H$451,$AB86)+SUMIFS(Dati!$I$2:$I$451,Dati!$H$2:$H$451,$H86,Dati!$A$2:$A$451,$AB86),"-")</f>
        <v/>
      </c>
      <c r="AO86" s="22">
        <f>IF(AND($H86&lt;&gt;"",$AC86&lt;&gt;"",$H86&lt;&gt;$AC86,IFERROR(VLOOKUP($H86,areaCercaPuntiClassificaSquadra,3,FALSE),-1)=IFERROR(VLOOKUP($AC86,areaCercaPuntiClassificaSquadra,3,FALSE),-2)),SUMIFS(Dati!$B$2:$B$451,Dati!$A$2:$A$451,$H86,Dati!$H$2:$H$451,$AC86)+SUMIFS(Dati!$I$2:$I$451,Dati!$H$2:$H$451,$H86,Dati!$A$2:$A$451,$AC86),"-")</f>
        <v/>
      </c>
      <c r="AP86" s="22">
        <f>IF(AND($H86&lt;&gt;"",$AD86&lt;&gt;"",$H86&lt;&gt;$AD86,IFERROR(VLOOKUP($H86,areaCercaPuntiClassificaSquadra,3,FALSE),-1)=IFERROR(VLOOKUP($AD86,areaCercaPuntiClassificaSquadra,3,FALSE),-2)),SUMIFS(Dati!$B$2:$B$451,Dati!$A$2:$A$451,$H86,Dati!$H$2:$H$451,$AD86)+SUMIFS(Dati!$I$2:$I$451,Dati!$H$2:$H$451,$H86,Dati!$A$2:$A$451,$AD86),"-")</f>
        <v/>
      </c>
      <c r="AQ86" s="22">
        <f>IF(AND($H86&lt;&gt;"",$AE86&lt;&gt;"",$H86&lt;&gt;$AE86,IFERROR(VLOOKUP($H86,areaCercaPuntiClassificaSquadra,3,FALSE),-1)=IFERROR(VLOOKUP($AE86,areaCercaPuntiClassificaSquadra,3,FALSE),-2)),SUMIFS(Dati!$B$2:$B$451,Dati!$A$2:$A$451,$H86,Dati!$H$2:$H$451,$AE86)+SUMIFS(Dati!$I$2:$I$451,Dati!$H$2:$H$451,$H86,Dati!$A$2:$A$451,$AE86),"-")</f>
        <v/>
      </c>
      <c r="AR86" s="22">
        <f>IF(AND($H86&lt;&gt;"",$AF86&lt;&gt;"",$H86&lt;&gt;$AF86,IFERROR(VLOOKUP($H86,areaCercaPuntiClassificaSquadra,3,FALSE),-1)=IFERROR(VLOOKUP($AF86,areaCercaPuntiClassificaSquadra,3,FALSE),-2)),SUMIFS(Dati!$B$2:$B$451,Dati!$A$2:$A$451,$H86,Dati!$H$2:$H$451,$AF86)+SUMIFS(Dati!$I$2:$I$451,Dati!$H$2:$H$451,$H86,Dati!$A$2:$A$451,$AF86),"-")</f>
        <v/>
      </c>
      <c r="AS86" s="22">
        <f>IF(AND($H86&lt;&gt;"",$AG86&lt;&gt;"",$H86&lt;&gt;$AG86,IFERROR(VLOOKUP($H86,areaCercaPuntiClassificaSquadra,3,FALSE),-1)=IFERROR(VLOOKUP($AG86,areaCercaPuntiClassificaSquadra,3,FALSE),-2)),SUMIFS(Dati!$B$2:$B$451,Dati!$A$2:$A$451,$H86,Dati!$H$2:$H$451,$AG86)+SUMIFS(Dati!$I$2:$I$451,Dati!$H$2:$H$451,$H86,Dati!$A$2:$A$451,$AG86),"-")</f>
        <v/>
      </c>
      <c r="AT86" s="22">
        <f>IF(AND($H86&lt;&gt;"",$AH86&lt;&gt;"",$H86&lt;&gt;$AH86,IFERROR(VLOOKUP($H86,areaCercaPuntiClassificaSquadra,3,FALSE),-1)=IFERROR(VLOOKUP($AH86,areaCercaPuntiClassificaSquadra,3,FALSE),-2)),SUMIFS(Dati!$B$2:$B$451,Dati!$A$2:$A$451,$H86,Dati!$H$2:$H$451,$AH86)+SUMIFS(Dati!$I$2:$I$451,Dati!$H$2:$H$451,$H86,Dati!$A$2:$A$451,$AH86),"-")</f>
        <v/>
      </c>
      <c r="AV86" s="21">
        <f>$C86</f>
        <v/>
      </c>
      <c r="AW86" s="22">
        <f>IF(AND($H86&lt;&gt;"",$Y86&lt;&gt;"",$H86&lt;&gt;$Y86,IFERROR(VLOOKUP($H86,areaCercaPuntiClassificaSquadra,3,FALSE),-1)=IFERROR(VLOOKUP($Y86,areaCercaPuntiClassificaSquadra,3,FALSE),-2)),SUMIFS(Dati!$D$2:$D$451,Dati!$A$2:$A$451,$H86,Dati!$H$2:$H$451,$Y86)+SUMIFS(Dati!$K$2:$K$451,Dati!$H$2:$H$451,$H86,Dati!$A$2:$A$451,$Y86)+SUMIFS(Dati!$C$2:$C$451,Dati!$A$2:$A$451,$H86,Dati!$H$2:$H$451,$Y86)+SUMIFS(Dati!$J$2:$J$451,Dati!$H$2:$H$451,$H86,Dati!$A$2:$A$451,$Y86),"-")</f>
        <v/>
      </c>
      <c r="AX86" s="22">
        <f>IF(AND($H86&lt;&gt;"",$Z86&lt;&gt;"",$H86&lt;&gt;$Z86,IFERROR(VLOOKUP($H86,areaCercaPuntiClassificaSquadra,3,FALSE),-1)=IFERROR(VLOOKUP($Z86,areaCercaPuntiClassificaSquadra,3,FALSE),-2)),SUMIFS(Dati!$D$2:$D$451,Dati!$A$2:$A$451,$H86,Dati!$H$2:$H$451,$Z86)+SUMIFS(Dati!$K$2:$K$451,Dati!$H$2:$H$451,$H86,Dati!$A$2:$A$451,$Z86)+SUMIFS(Dati!$C$2:$C$451,Dati!$A$2:$A$451,$H86,Dati!$H$2:$H$451,$Z86)+SUMIFS(Dati!$J$2:$J$451,Dati!$H$2:$H$451,$H86,Dati!$A$2:$A$451,$Z86),"-")</f>
        <v/>
      </c>
      <c r="AY86" s="22">
        <f>IF(AND($H86&lt;&gt;"",$AA86&lt;&gt;"",$H86&lt;&gt;$AA86,IFERROR(VLOOKUP($H86,areaCercaPuntiClassificaSquadra,3,FALSE),-1)=IFERROR(VLOOKUP($AA86,areaCercaPuntiClassificaSquadra,3,FALSE),-2)),SUMIFS(Dati!$D$2:$D$451,Dati!$A$2:$A$451,$H86,Dati!$H$2:$H$451,$AA86)+SUMIFS(Dati!$K$2:$K$451,Dati!$H$2:$H$451,$H86,Dati!$A$2:$A$451,$AA86)+SUMIFS(Dati!$C$2:$C$451,Dati!$A$2:$A$451,$H86,Dati!$H$2:$H$451,$AA86)+SUMIFS(Dati!$J$2:$J$451,Dati!$H$2:$H$451,$H86,Dati!$A$2:$A$451,$AA86),"-")</f>
        <v/>
      </c>
      <c r="AZ86" s="22">
        <f>IF(AND($H86&lt;&gt;"",$AB86&lt;&gt;"",$H86&lt;&gt;$AB86,IFERROR(VLOOKUP($H86,areaCercaPuntiClassificaSquadra,3,FALSE),-1)=IFERROR(VLOOKUP($AB86,areaCercaPuntiClassificaSquadra,3,FALSE),-2)),SUMIFS(Dati!$D$2:$D$451,Dati!$A$2:$A$451,$H86,Dati!$H$2:$H$451,$AB86)+SUMIFS(Dati!$K$2:$K$451,Dati!$H$2:$H$451,$H86,Dati!$A$2:$A$451,$AB86)+SUMIFS(Dati!$C$2:$C$451,Dati!$A$2:$A$451,$H86,Dati!$H$2:$H$451,$AB86)+SUMIFS(Dati!$J$2:$J$451,Dati!$H$2:$H$451,$H86,Dati!$A$2:$A$451,$AB86),"-")</f>
        <v/>
      </c>
      <c r="BA86" s="22">
        <f>IF(AND($H86&lt;&gt;"",$AC86&lt;&gt;"",$H86&lt;&gt;$AC86,IFERROR(VLOOKUP($H86,areaCercaPuntiClassificaSquadra,3,FALSE),-1)=IFERROR(VLOOKUP($AC86,areaCercaPuntiClassificaSquadra,3,FALSE),-2)),SUMIFS(Dati!$D$2:$D$451,Dati!$A$2:$A$451,$H86,Dati!$H$2:$H$451,$AC86)+SUMIFS(Dati!$K$2:$K$451,Dati!$H$2:$H$451,$H86,Dati!$A$2:$A$451,$AC86)+SUMIFS(Dati!$C$2:$C$451,Dati!$A$2:$A$451,$H86,Dati!$H$2:$H$451,$AC86)+SUMIFS(Dati!$J$2:$J$451,Dati!$H$2:$H$451,$H86,Dati!$A$2:$A$451,$AC86),"-")</f>
        <v/>
      </c>
      <c r="BB86" s="22">
        <f>IF(AND($H86&lt;&gt;"",$AD86&lt;&gt;"",$H86&lt;&gt;$AD86,IFERROR(VLOOKUP($H86,areaCercaPuntiClassificaSquadra,3,FALSE),-1)=IFERROR(VLOOKUP($AD86,areaCercaPuntiClassificaSquadra,3,FALSE),-2)),SUMIFS(Dati!$D$2:$D$451,Dati!$A$2:$A$451,$H86,Dati!$H$2:$H$451,$AD86)+SUMIFS(Dati!$K$2:$K$451,Dati!$H$2:$H$451,$H86,Dati!$A$2:$A$451,$AD86)+SUMIFS(Dati!$C$2:$C$451,Dati!$A$2:$A$451,$H86,Dati!$H$2:$H$451,$AD86)+SUMIFS(Dati!$J$2:$J$451,Dati!$H$2:$H$451,$H86,Dati!$A$2:$A$451,$AD86),"-")</f>
        <v/>
      </c>
      <c r="BC86" s="22">
        <f>IF(AND($H86&lt;&gt;"",$AE86&lt;&gt;"",$H86&lt;&gt;$AE86,IFERROR(VLOOKUP($H86,areaCercaPuntiClassificaSquadra,3,FALSE),-1)=IFERROR(VLOOKUP($AE86,areaCercaPuntiClassificaSquadra,3,FALSE),-2)),SUMIFS(Dati!$D$2:$D$451,Dati!$A$2:$A$451,$H86,Dati!$H$2:$H$451,$AE86)+SUMIFS(Dati!$K$2:$K$451,Dati!$H$2:$H$451,$H86,Dati!$A$2:$A$451,$AE86)+SUMIFS(Dati!$C$2:$C$451,Dati!$A$2:$A$451,$H86,Dati!$H$2:$H$451,$AE86)+SUMIFS(Dati!$J$2:$J$451,Dati!$H$2:$H$451,$H86,Dati!$A$2:$A$451,$AE86),"-")</f>
        <v/>
      </c>
      <c r="BD86" s="22">
        <f>IF(AND($H86&lt;&gt;"",$AF86&lt;&gt;"",$H86&lt;&gt;$AF86,IFERROR(VLOOKUP($H86,areaCercaPuntiClassificaSquadra,3,FALSE),-1)=IFERROR(VLOOKUP($AF86,areaCercaPuntiClassificaSquadra,3,FALSE),-2)),SUMIFS(Dati!$D$2:$D$451,Dati!$A$2:$A$451,$H86,Dati!$H$2:$H$451,$AF86)+SUMIFS(Dati!$K$2:$K$451,Dati!$H$2:$H$451,$H86,Dati!$A$2:$A$451,$AF86)+SUMIFS(Dati!$C$2:$C$451,Dati!$A$2:$A$451,$H86,Dati!$H$2:$H$451,$AF86)+SUMIFS(Dati!$J$2:$J$451,Dati!$H$2:$H$451,$H86,Dati!$A$2:$A$451,$AF86),"-")</f>
        <v/>
      </c>
      <c r="BE86" s="22">
        <f>IF(AND($H86&lt;&gt;"",$AG86&lt;&gt;"",$H86&lt;&gt;$AG86,IFERROR(VLOOKUP($H86,areaCercaPuntiClassificaSquadra,3,FALSE),-1)=IFERROR(VLOOKUP($AG86,areaCercaPuntiClassificaSquadra,3,FALSE),-2)),SUMIFS(Dati!$D$2:$D$451,Dati!$A$2:$A$451,$H86,Dati!$H$2:$H$451,$AG86)+SUMIFS(Dati!$K$2:$K$451,Dati!$H$2:$H$451,$H86,Dati!$A$2:$A$451,$AG86)+SUMIFS(Dati!$C$2:$C$451,Dati!$A$2:$A$451,$H86,Dati!$H$2:$H$451,$AG86)+SUMIFS(Dati!$J$2:$J$451,Dati!$H$2:$H$451,$H86,Dati!$A$2:$A$451,$AG86),"-")</f>
        <v/>
      </c>
      <c r="BF86" s="22">
        <f>IF(AND($H86&lt;&gt;"",$AH86&lt;&gt;"",$H86&lt;&gt;$AH86,IFERROR(VLOOKUP($H86,areaCercaPuntiClassificaSquadra,3,FALSE),-1)=IFERROR(VLOOKUP($AH86,areaCercaPuntiClassificaSquadra,3,FALSE),-2)),SUMIFS(Dati!$D$2:$D$451,Dati!$A$2:$A$451,$H86,Dati!$H$2:$H$451,$AH86)+SUMIFS(Dati!$K$2:$K$451,Dati!$H$2:$H$451,$H86,Dati!$A$2:$A$451,$AH86)+SUMIFS(Dati!$C$2:$C$451,Dati!$A$2:$A$451,$H86,Dati!$H$2:$H$451,$AH86)+SUMIFS(Dati!$J$2:$J$451,Dati!$H$2:$H$451,$H86,Dati!$A$2:$A$451,$AH86),"-")</f>
        <v/>
      </c>
      <c r="BH86" s="21">
        <f>$C86</f>
        <v/>
      </c>
      <c r="BI86" s="22">
        <f>IF(AND($H86&lt;&gt;"",$Y86&lt;&gt;"",$H86&lt;&gt;$Y86,IFERROR(VLOOKUP($H86,areaCercaPuntiClassificaSquadra,3,FALSE),-1)=IFERROR(VLOOKUP($Y86,areaCercaPuntiClassificaSquadra,3,FALSE),-2)),SUMIFS(Dati!$E$2:$E$451,Dati!$A$2:$A$451,$H86,Dati!$H$2:$H$451,$Y86)+SUMIFS(Dati!$L$2:$L$451,Dati!$H$2:$H$451,$H86,Dati!$A$2:$A$451,$Y86),"-")</f>
        <v/>
      </c>
      <c r="BJ86" s="22">
        <f>IF(AND($H86&lt;&gt;"",$Z86&lt;&gt;"",$H86&lt;&gt;$Z86,IFERROR(VLOOKUP($H86,areaCercaPuntiClassificaSquadra,3,FALSE),-1)=IFERROR(VLOOKUP($Z86,areaCercaPuntiClassificaSquadra,3,FALSE),-2)),SUMIFS(Dati!$E$2:$E$451,Dati!$A$2:$A$451,$H86,Dati!$H$2:$H$451,$Z86)+SUMIFS(Dati!$L$2:$L$451,Dati!$H$2:$H$451,$H86,Dati!$A$2:$A$451,$Z86),"-")</f>
        <v/>
      </c>
      <c r="BK86" s="22">
        <f>IF(AND($H86&lt;&gt;"",$AA86&lt;&gt;"",$H86&lt;&gt;$AA86,IFERROR(VLOOKUP($H86,areaCercaPuntiClassificaSquadra,3,FALSE),-1)=IFERROR(VLOOKUP($AA86,areaCercaPuntiClassificaSquadra,3,FALSE),-2)),SUMIFS(Dati!$E$2:$E$451,Dati!$A$2:$A$451,$H86,Dati!$H$2:$H$451,$AA86)+SUMIFS(Dati!$L$2:$L$451,Dati!$H$2:$H$451,$H86,Dati!$A$2:$A$451,$AA86),"-")</f>
        <v/>
      </c>
      <c r="BL86" s="22">
        <f>IF(AND($H86&lt;&gt;"",$AB86&lt;&gt;"",$H86&lt;&gt;$AB86,IFERROR(VLOOKUP($H86,areaCercaPuntiClassificaSquadra,3,FALSE),-1)=IFERROR(VLOOKUP($AB86,areaCercaPuntiClassificaSquadra,3,FALSE),-2)),SUMIFS(Dati!$E$2:$E$451,Dati!$A$2:$A$451,$H86,Dati!$H$2:$H$451,$AB86)+SUMIFS(Dati!$L$2:$L$451,Dati!$H$2:$H$451,$H86,Dati!$A$2:$A$451,$AB86),"-")</f>
        <v/>
      </c>
      <c r="BM86" s="22">
        <f>IF(AND($H86&lt;&gt;"",$AC86&lt;&gt;"",$H86&lt;&gt;$AC86,IFERROR(VLOOKUP($H86,areaCercaPuntiClassificaSquadra,3,FALSE),-1)=IFERROR(VLOOKUP($AC86,areaCercaPuntiClassificaSquadra,3,FALSE),-2)),SUMIFS(Dati!$E$2:$E$451,Dati!$A$2:$A$451,$H86,Dati!$H$2:$H$451,$AC86)+SUMIFS(Dati!$L$2:$L$451,Dati!$H$2:$H$451,$H86,Dati!$A$2:$A$451,$AC86),"-")</f>
        <v/>
      </c>
      <c r="BN86" s="22">
        <f>IF(AND($H86&lt;&gt;"",$AD86&lt;&gt;"",$H86&lt;&gt;$AD86,IFERROR(VLOOKUP($H86,areaCercaPuntiClassificaSquadra,3,FALSE),-1)=IFERROR(VLOOKUP($AD86,areaCercaPuntiClassificaSquadra,3,FALSE),-2)),SUMIFS(Dati!$E$2:$E$451,Dati!$A$2:$A$451,$H86,Dati!$H$2:$H$451,$AD86)+SUMIFS(Dati!$L$2:$L$451,Dati!$H$2:$H$451,$H86,Dati!$A$2:$A$451,$AD86),"-")</f>
        <v/>
      </c>
      <c r="BO86" s="22">
        <f>IF(AND($H86&lt;&gt;"",$AE86&lt;&gt;"",$H86&lt;&gt;$AE86,IFERROR(VLOOKUP($H86,areaCercaPuntiClassificaSquadra,3,FALSE),-1)=IFERROR(VLOOKUP($AE86,areaCercaPuntiClassificaSquadra,3,FALSE),-2)),SUMIFS(Dati!$E$2:$E$451,Dati!$A$2:$A$451,$H86,Dati!$H$2:$H$451,$AE86)+SUMIFS(Dati!$L$2:$L$451,Dati!$H$2:$H$451,$H86,Dati!$A$2:$A$451,$AE86),"-")</f>
        <v/>
      </c>
      <c r="BP86" s="22">
        <f>IF(AND($H86&lt;&gt;"",$AF86&lt;&gt;"",$H86&lt;&gt;$AF86,IFERROR(VLOOKUP($H86,areaCercaPuntiClassificaSquadra,3,FALSE),-1)=IFERROR(VLOOKUP($AF86,areaCercaPuntiClassificaSquadra,3,FALSE),-2)),SUMIFS(Dati!$E$2:$E$451,Dati!$A$2:$A$451,$H86,Dati!$H$2:$H$451,$AF86)+SUMIFS(Dati!$L$2:$L$451,Dati!$H$2:$H$451,$H86,Dati!$A$2:$A$451,$AF86),"-")</f>
        <v/>
      </c>
      <c r="BQ86" s="22">
        <f>IF(AND($H86&lt;&gt;"",$AG86&lt;&gt;"",$H86&lt;&gt;$AG86,IFERROR(VLOOKUP($H86,areaCercaPuntiClassificaSquadra,3,FALSE),-1)=IFERROR(VLOOKUP($AG86,areaCercaPuntiClassificaSquadra,3,FALSE),-2)),SUMIFS(Dati!$E$2:$E$451,Dati!$A$2:$A$451,$H86,Dati!$H$2:$H$451,$AG86)+SUMIFS(Dati!$L$2:$L$451,Dati!$H$2:$H$451,$H86,Dati!$A$2:$A$451,$AG86),"-")</f>
        <v/>
      </c>
      <c r="BR86" s="22">
        <f>IF(AND($H86&lt;&gt;"",$AH86&lt;&gt;"",$H86&lt;&gt;$AH86,IFERROR(VLOOKUP($H86,areaCercaPuntiClassificaSquadra,3,FALSE),-1)=IFERROR(VLOOKUP($AH86,areaCercaPuntiClassificaSquadra,3,FALSE),-2)),SUMIFS(Dati!$E$2:$E$451,Dati!$A$2:$A$451,$H86,Dati!$H$2:$H$451,$AH86)+SUMIFS(Dati!$L$2:$L$451,Dati!$H$2:$H$451,$H86,Dati!$A$2:$A$451,$AH86),"-")</f>
        <v/>
      </c>
      <c r="BT86" s="21">
        <f>$C86</f>
        <v/>
      </c>
      <c r="BU86" s="22">
        <f>IF(AND($H86&lt;&gt;"",$Y86&lt;&gt;"",$H86&lt;&gt;$Y86,IFERROR(VLOOKUP($H86,areaCercaPuntiClassificaSquadra,3,FALSE),-1)=IFERROR(VLOOKUP($Y86,areaCercaPuntiClassificaSquadra,3,FALSE),-2)),SUMIFS(Dati!$F$2:$F$451,Dati!$A$2:$A$451,$H86,Dati!$H$2:$H$451,$Y86)+SUMIFS(Dati!$M$2:$M$451,Dati!$H$2:$H$451,$H86,Dati!$A$2:$A$451,$Y86),"-")</f>
        <v/>
      </c>
      <c r="BV86" s="22">
        <f>IF(AND($H86&lt;&gt;"",$Z86&lt;&gt;"",$H86&lt;&gt;$Z86,IFERROR(VLOOKUP($H86,areaCercaPuntiClassificaSquadra,3,FALSE),-1)=IFERROR(VLOOKUP($Z86,areaCercaPuntiClassificaSquadra,3,FALSE),-2)),SUMIFS(Dati!$F$2:$F$451,Dati!$A$2:$A$451,$H86,Dati!$H$2:$H$451,$Z86)+SUMIFS(Dati!$M$2:$M$451,Dati!$H$2:$H$451,$H86,Dati!$A$2:$A$451,$Z86),"-")</f>
        <v/>
      </c>
      <c r="BW86" s="22">
        <f>IF(AND($H86&lt;&gt;"",$AA86&lt;&gt;"",$H86&lt;&gt;$AA86,IFERROR(VLOOKUP($H86,areaCercaPuntiClassificaSquadra,3,FALSE),-1)=IFERROR(VLOOKUP($AA86,areaCercaPuntiClassificaSquadra,3,FALSE),-2)),SUMIFS(Dati!$F$2:$F$451,Dati!$A$2:$A$451,$H86,Dati!$H$2:$H$451,$AA86)+SUMIFS(Dati!$M$2:$M$451,Dati!$H$2:$H$451,$H86,Dati!$A$2:$A$451,$AA86),"-")</f>
        <v/>
      </c>
      <c r="BX86" s="22">
        <f>IF(AND($H86&lt;&gt;"",$AB86&lt;&gt;"",$H86&lt;&gt;$AB86,IFERROR(VLOOKUP($H86,areaCercaPuntiClassificaSquadra,3,FALSE),-1)=IFERROR(VLOOKUP($AB86,areaCercaPuntiClassificaSquadra,3,FALSE),-2)),SUMIFS(Dati!$F$2:$F$451,Dati!$A$2:$A$451,$H86,Dati!$H$2:$H$451,$AB86)+SUMIFS(Dati!$M$2:$M$451,Dati!$H$2:$H$451,$H86,Dati!$A$2:$A$451,$AB86),"-")</f>
        <v/>
      </c>
      <c r="BY86" s="22">
        <f>IF(AND($H86&lt;&gt;"",$AC86&lt;&gt;"",$H86&lt;&gt;$AC86,IFERROR(VLOOKUP($H86,areaCercaPuntiClassificaSquadra,3,FALSE),-1)=IFERROR(VLOOKUP($AC86,areaCercaPuntiClassificaSquadra,3,FALSE),-2)),SUMIFS(Dati!$F$2:$F$451,Dati!$A$2:$A$451,$H86,Dati!$H$2:$H$451,$AC86)+SUMIFS(Dati!$M$2:$M$451,Dati!$H$2:$H$451,$H86,Dati!$A$2:$A$451,$AC86),"-")</f>
        <v/>
      </c>
      <c r="BZ86" s="22">
        <f>IF(AND($H86&lt;&gt;"",$AD86&lt;&gt;"",$H86&lt;&gt;$AD86,IFERROR(VLOOKUP($H86,areaCercaPuntiClassificaSquadra,3,FALSE),-1)=IFERROR(VLOOKUP($AD86,areaCercaPuntiClassificaSquadra,3,FALSE),-2)),SUMIFS(Dati!$F$2:$F$451,Dati!$A$2:$A$451,$H86,Dati!$H$2:$H$451,$AD86)+SUMIFS(Dati!$M$2:$M$451,Dati!$H$2:$H$451,$H86,Dati!$A$2:$A$451,$AD86),"-")</f>
        <v/>
      </c>
      <c r="CA86" s="22">
        <f>IF(AND($H86&lt;&gt;"",$AE86&lt;&gt;"",$H86&lt;&gt;$AE86,IFERROR(VLOOKUP($H86,areaCercaPuntiClassificaSquadra,3,FALSE),-1)=IFERROR(VLOOKUP($AE86,areaCercaPuntiClassificaSquadra,3,FALSE),-2)),SUMIFS(Dati!$F$2:$F$451,Dati!$A$2:$A$451,$H86,Dati!$H$2:$H$451,$AE86)+SUMIFS(Dati!$M$2:$M$451,Dati!$H$2:$H$451,$H86,Dati!$A$2:$A$451,$AE86),"-")</f>
        <v/>
      </c>
      <c r="CB86" s="22">
        <f>IF(AND($H86&lt;&gt;"",$AF86&lt;&gt;"",$H86&lt;&gt;$AF86,IFERROR(VLOOKUP($H86,areaCercaPuntiClassificaSquadra,3,FALSE),-1)=IFERROR(VLOOKUP($AF86,areaCercaPuntiClassificaSquadra,3,FALSE),-2)),SUMIFS(Dati!$F$2:$F$451,Dati!$A$2:$A$451,$H86,Dati!$H$2:$H$451,$AF86)+SUMIFS(Dati!$M$2:$M$451,Dati!$H$2:$H$451,$H86,Dati!$A$2:$A$451,$AF86),"-")</f>
        <v/>
      </c>
      <c r="CC86" s="22">
        <f>IF(AND($H86&lt;&gt;"",$AG86&lt;&gt;"",$H86&lt;&gt;$AG86,IFERROR(VLOOKUP($H86,areaCercaPuntiClassificaSquadra,3,FALSE),-1)=IFERROR(VLOOKUP($AG86,areaCercaPuntiClassificaSquadra,3,FALSE),-2)),SUMIFS(Dati!$F$2:$F$451,Dati!$A$2:$A$451,$H86,Dati!$H$2:$H$451,$AG86)+SUMIFS(Dati!$M$2:$M$451,Dati!$H$2:$H$451,$H86,Dati!$A$2:$A$451,$AG86),"-")</f>
        <v/>
      </c>
      <c r="CD86" s="22">
        <f>IF(AND($H86&lt;&gt;"",$AH86&lt;&gt;"",$H86&lt;&gt;$AH86,IFERROR(VLOOKUP($H86,areaCercaPuntiClassificaSquadra,3,FALSE),-1)=IFERROR(VLOOKUP($AH86,areaCercaPuntiClassificaSquadra,3,FALSE),-2)),SUMIFS(Dati!$F$2:$F$451,Dati!$A$2:$A$451,$H86,Dati!$H$2:$H$451,$AH86)+SUMIFS(Dati!$M$2:$M$451,Dati!$H$2:$H$451,$H86,Dati!$A$2:$A$451,$AH86),"-")</f>
        <v/>
      </c>
      <c r="CF86" s="22">
        <f>IF($C86="","",SUM(AK86:AT86))</f>
        <v/>
      </c>
    </row>
    <row r="87">
      <c r="B87" s="12" t="inlineStr">
        <is>
          <t>H04</t>
        </is>
      </c>
      <c r="C87" s="13" t="n"/>
      <c r="D87" s="14" t="n"/>
      <c r="E87" s="35" t="inlineStr">
        <is>
          <t>H</t>
        </is>
      </c>
      <c r="G87" s="36">
        <f>IF($C87="","",$E87&amp;(COUNTIFS(I$14:I$113,"&gt;"&amp;I87,E$14:E$113,"="&amp;E87,C$14:C$113,"&lt;&gt;")+COUNTIFS(I$14:I$113,"="&amp;I87,H$14:H$113,"&lt;="&amp;H87,E$14:E$113,"="&amp;E87,C$14:C$113,"&lt;&gt;")))</f>
        <v/>
      </c>
      <c r="H87" s="17">
        <f>IF($C87="","",IFERROR(LEFT($C87,FIND("-",$C87)-1),$C87))</f>
        <v/>
      </c>
      <c r="I87" s="12">
        <f>TEXT(1000000000+J87,"|0000000000|")&amp;TEXT(SUM(AK87:AT87),"0000000000|")&amp;IF(SUM(BU87:CD87)=0,"0000000000|",TEXT(ROUND(SUM(BI87:BR87)/SUM(BU87:CD87),4)*100000,"0000000000|"))&amp;IF(P87=0,"0000000000|",TEXT(ROUND(O87/P87,4)*100000,"0000000000|"))</f>
        <v/>
      </c>
      <c r="J87" s="36">
        <f>L87*constPuntiVittoria+M87*constPuntiSconfitta+N87*constPuntiForfait+IF(D87="",0,D87)</f>
        <v/>
      </c>
      <c r="K87" s="12">
        <f>SUM(L87:N87)</f>
        <v/>
      </c>
      <c r="L87" s="12">
        <f>IF($H87="",0,SUMIF(Dati!$A$2:$A$451,$H87,Dati!$B$2:$B$451)+SUMIF(Dati!$H$2:$H$451,$H87,Dati!$I$2:$I$451))</f>
        <v/>
      </c>
      <c r="M87" s="12">
        <f>IF($H87="",0,SUMIF(Dati!$A$2:$A$451,$H87,Dati!$D$2:$D$451)+SUMIF(Dati!$H$2:$H$451,$H87,Dati!$K$2:$K$451))</f>
        <v/>
      </c>
      <c r="N87" s="12">
        <f>IF($H87="",0,SUMIF(Dati!$A$2:$A$451,$H87,Dati!$C$2:$C$451)+SUMIF(Dati!$H$2:$H$451,$H87,Dati!$J$2:$J$451))</f>
        <v/>
      </c>
      <c r="O87" s="12">
        <f>IF($H87="",0,SUMIF(Dati!$A$2:$A$451,$H87,Dati!$E$2:$E$451)+SUMIF(Dati!$H$2:$H$451,$H87,Dati!$L$2:$L$451))</f>
        <v/>
      </c>
      <c r="P87" s="12">
        <f>IF($H87="",0,SUMIF(Dati!$A$2:$A$451,$H87,Dati!$F$2:$F$451)+SUMIF(Dati!$H$2:$H$451,$H87,Dati!$M$2:$M$451))</f>
        <v/>
      </c>
      <c r="Q87" s="12">
        <f>IF($H87="",0,SUMIF(Dati!$A$2:$A$451,$H87,Dati!$G$2:$G$451)+SUMIF(Dati!$H$2:$H$451,$H87,Dati!$N$2:$N$451))</f>
        <v/>
      </c>
      <c r="R87" s="12">
        <f>IF(K87=0,0,ROUND(O87/K87,2))</f>
        <v/>
      </c>
      <c r="S87" s="12">
        <f>IF(K87=0,0,ROUND(P87/K87,2))</f>
        <v/>
      </c>
      <c r="T87" s="12">
        <f>IF(K87=0,0,ROUND(Q87/K87,2))</f>
        <v/>
      </c>
      <c r="U87" s="12">
        <f>IF(COUNTIFS($E$14:$E$113,$E87,$J$14:$J$113,$J87,$C$14:$C$113,"&lt;&gt;")&lt;=1,"-",SUM(AK87:AT87)&amp;"-"&amp;SUM(AW87:BF87))</f>
        <v/>
      </c>
      <c r="V87" s="18">
        <f>IF(COUNTIFS($E$14:$E$113,$E87,$J$14:$J$113,$J87,$C$14:$C$113,"&lt;&gt;",$CF$14:$CF$113,$CF87)&lt;=1,"-",IF(SUM(BU87:CD87)=0,0,ROUND(SUM(BI87:BR87)/SUM(BU87:CD87),3)))</f>
        <v/>
      </c>
      <c r="W87" s="18">
        <f>IF(COUNTIFS($E$14:$E$113,$E87,$J$14:$J$113,$J87,$C$14:$C$113,"&lt;&gt;",$CF$14:$CF$113,$CF87,$V$14:$V$113,$V87)&lt;=1,"-",IF(P87=0,0,ROUND(O87/P87,3)))</f>
        <v/>
      </c>
      <c r="X87" s="19">
        <f>IF($C87="","",$E87&amp;"#"&amp;COUNTIFS($E$14:$E87,$E87,$C$14:$C87,"&lt;&gt;"))</f>
        <v/>
      </c>
      <c r="Y87" s="20">
        <f>IFERROR(INDEX($H$14:$H$113,MATCH($E87&amp;"#1",$X$14:$X$113,0)),"")</f>
        <v/>
      </c>
      <c r="Z87" s="20">
        <f>IFERROR(INDEX($H$14:$H$113,MATCH($E87&amp;"#2",$X$14:$X$113,0)),"")</f>
        <v/>
      </c>
      <c r="AA87" s="20">
        <f>IFERROR(INDEX($H$14:$H$113,MATCH($E87&amp;"#3",$X$14:$X$113,0)),"")</f>
        <v/>
      </c>
      <c r="AB87" s="20">
        <f>IFERROR(INDEX($H$14:$H$113,MATCH($E87&amp;"#4",$X$14:$X$113,0)),"")</f>
        <v/>
      </c>
      <c r="AC87" s="20">
        <f>IFERROR(INDEX($H$14:$H$113,MATCH($E87&amp;"#5",$X$14:$X$113,0)),"")</f>
        <v/>
      </c>
      <c r="AD87" s="20">
        <f>IFERROR(INDEX($H$14:$H$113,MATCH($E87&amp;"#6",$X$14:$X$113,0)),"")</f>
        <v/>
      </c>
      <c r="AE87" s="20">
        <f>IFERROR(INDEX($H$14:$H$113,MATCH($E87&amp;"#7",$X$14:$X$113,0)),"")</f>
        <v/>
      </c>
      <c r="AF87" s="20">
        <f>IFERROR(INDEX($H$14:$H$113,MATCH($E87&amp;"#8",$X$14:$X$113,0)),"")</f>
        <v/>
      </c>
      <c r="AG87" s="20">
        <f>IFERROR(INDEX($H$14:$H$113,MATCH($E87&amp;"#9",$X$14:$X$113,0)),"")</f>
        <v/>
      </c>
      <c r="AH87" s="20">
        <f>IFERROR(INDEX($H$14:$H$113,MATCH($E87&amp;"#10",$X$14:$X$113,0)),"")</f>
        <v/>
      </c>
      <c r="AJ87" s="21">
        <f>$C87</f>
        <v/>
      </c>
      <c r="AK87" s="22">
        <f>IF(AND($H87&lt;&gt;"",$Y87&lt;&gt;"",$H87&lt;&gt;$Y87,IFERROR(VLOOKUP($H87,areaCercaPuntiClassificaSquadra,3,FALSE),-1)=IFERROR(VLOOKUP($Y87,areaCercaPuntiClassificaSquadra,3,FALSE),-2)),SUMIFS(Dati!$B$2:$B$451,Dati!$A$2:$A$451,$H87,Dati!$H$2:$H$451,$Y87)+SUMIFS(Dati!$I$2:$I$451,Dati!$H$2:$H$451,$H87,Dati!$A$2:$A$451,$Y87),"-")</f>
        <v/>
      </c>
      <c r="AL87" s="22">
        <f>IF(AND($H87&lt;&gt;"",$Z87&lt;&gt;"",$H87&lt;&gt;$Z87,IFERROR(VLOOKUP($H87,areaCercaPuntiClassificaSquadra,3,FALSE),-1)=IFERROR(VLOOKUP($Z87,areaCercaPuntiClassificaSquadra,3,FALSE),-2)),SUMIFS(Dati!$B$2:$B$451,Dati!$A$2:$A$451,$H87,Dati!$H$2:$H$451,$Z87)+SUMIFS(Dati!$I$2:$I$451,Dati!$H$2:$H$451,$H87,Dati!$A$2:$A$451,$Z87),"-")</f>
        <v/>
      </c>
      <c r="AM87" s="22">
        <f>IF(AND($H87&lt;&gt;"",$AA87&lt;&gt;"",$H87&lt;&gt;$AA87,IFERROR(VLOOKUP($H87,areaCercaPuntiClassificaSquadra,3,FALSE),-1)=IFERROR(VLOOKUP($AA87,areaCercaPuntiClassificaSquadra,3,FALSE),-2)),SUMIFS(Dati!$B$2:$B$451,Dati!$A$2:$A$451,$H87,Dati!$H$2:$H$451,$AA87)+SUMIFS(Dati!$I$2:$I$451,Dati!$H$2:$H$451,$H87,Dati!$A$2:$A$451,$AA87),"-")</f>
        <v/>
      </c>
      <c r="AN87" s="22">
        <f>IF(AND($H87&lt;&gt;"",$AB87&lt;&gt;"",$H87&lt;&gt;$AB87,IFERROR(VLOOKUP($H87,areaCercaPuntiClassificaSquadra,3,FALSE),-1)=IFERROR(VLOOKUP($AB87,areaCercaPuntiClassificaSquadra,3,FALSE),-2)),SUMIFS(Dati!$B$2:$B$451,Dati!$A$2:$A$451,$H87,Dati!$H$2:$H$451,$AB87)+SUMIFS(Dati!$I$2:$I$451,Dati!$H$2:$H$451,$H87,Dati!$A$2:$A$451,$AB87),"-")</f>
        <v/>
      </c>
      <c r="AO87" s="22">
        <f>IF(AND($H87&lt;&gt;"",$AC87&lt;&gt;"",$H87&lt;&gt;$AC87,IFERROR(VLOOKUP($H87,areaCercaPuntiClassificaSquadra,3,FALSE),-1)=IFERROR(VLOOKUP($AC87,areaCercaPuntiClassificaSquadra,3,FALSE),-2)),SUMIFS(Dati!$B$2:$B$451,Dati!$A$2:$A$451,$H87,Dati!$H$2:$H$451,$AC87)+SUMIFS(Dati!$I$2:$I$451,Dati!$H$2:$H$451,$H87,Dati!$A$2:$A$451,$AC87),"-")</f>
        <v/>
      </c>
      <c r="AP87" s="22">
        <f>IF(AND($H87&lt;&gt;"",$AD87&lt;&gt;"",$H87&lt;&gt;$AD87,IFERROR(VLOOKUP($H87,areaCercaPuntiClassificaSquadra,3,FALSE),-1)=IFERROR(VLOOKUP($AD87,areaCercaPuntiClassificaSquadra,3,FALSE),-2)),SUMIFS(Dati!$B$2:$B$451,Dati!$A$2:$A$451,$H87,Dati!$H$2:$H$451,$AD87)+SUMIFS(Dati!$I$2:$I$451,Dati!$H$2:$H$451,$H87,Dati!$A$2:$A$451,$AD87),"-")</f>
        <v/>
      </c>
      <c r="AQ87" s="22">
        <f>IF(AND($H87&lt;&gt;"",$AE87&lt;&gt;"",$H87&lt;&gt;$AE87,IFERROR(VLOOKUP($H87,areaCercaPuntiClassificaSquadra,3,FALSE),-1)=IFERROR(VLOOKUP($AE87,areaCercaPuntiClassificaSquadra,3,FALSE),-2)),SUMIFS(Dati!$B$2:$B$451,Dati!$A$2:$A$451,$H87,Dati!$H$2:$H$451,$AE87)+SUMIFS(Dati!$I$2:$I$451,Dati!$H$2:$H$451,$H87,Dati!$A$2:$A$451,$AE87),"-")</f>
        <v/>
      </c>
      <c r="AR87" s="22">
        <f>IF(AND($H87&lt;&gt;"",$AF87&lt;&gt;"",$H87&lt;&gt;$AF87,IFERROR(VLOOKUP($H87,areaCercaPuntiClassificaSquadra,3,FALSE),-1)=IFERROR(VLOOKUP($AF87,areaCercaPuntiClassificaSquadra,3,FALSE),-2)),SUMIFS(Dati!$B$2:$B$451,Dati!$A$2:$A$451,$H87,Dati!$H$2:$H$451,$AF87)+SUMIFS(Dati!$I$2:$I$451,Dati!$H$2:$H$451,$H87,Dati!$A$2:$A$451,$AF87),"-")</f>
        <v/>
      </c>
      <c r="AS87" s="22">
        <f>IF(AND($H87&lt;&gt;"",$AG87&lt;&gt;"",$H87&lt;&gt;$AG87,IFERROR(VLOOKUP($H87,areaCercaPuntiClassificaSquadra,3,FALSE),-1)=IFERROR(VLOOKUP($AG87,areaCercaPuntiClassificaSquadra,3,FALSE),-2)),SUMIFS(Dati!$B$2:$B$451,Dati!$A$2:$A$451,$H87,Dati!$H$2:$H$451,$AG87)+SUMIFS(Dati!$I$2:$I$451,Dati!$H$2:$H$451,$H87,Dati!$A$2:$A$451,$AG87),"-")</f>
        <v/>
      </c>
      <c r="AT87" s="22">
        <f>IF(AND($H87&lt;&gt;"",$AH87&lt;&gt;"",$H87&lt;&gt;$AH87,IFERROR(VLOOKUP($H87,areaCercaPuntiClassificaSquadra,3,FALSE),-1)=IFERROR(VLOOKUP($AH87,areaCercaPuntiClassificaSquadra,3,FALSE),-2)),SUMIFS(Dati!$B$2:$B$451,Dati!$A$2:$A$451,$H87,Dati!$H$2:$H$451,$AH87)+SUMIFS(Dati!$I$2:$I$451,Dati!$H$2:$H$451,$H87,Dati!$A$2:$A$451,$AH87),"-")</f>
        <v/>
      </c>
      <c r="AV87" s="21">
        <f>$C87</f>
        <v/>
      </c>
      <c r="AW87" s="22">
        <f>IF(AND($H87&lt;&gt;"",$Y87&lt;&gt;"",$H87&lt;&gt;$Y87,IFERROR(VLOOKUP($H87,areaCercaPuntiClassificaSquadra,3,FALSE),-1)=IFERROR(VLOOKUP($Y87,areaCercaPuntiClassificaSquadra,3,FALSE),-2)),SUMIFS(Dati!$D$2:$D$451,Dati!$A$2:$A$451,$H87,Dati!$H$2:$H$451,$Y87)+SUMIFS(Dati!$K$2:$K$451,Dati!$H$2:$H$451,$H87,Dati!$A$2:$A$451,$Y87)+SUMIFS(Dati!$C$2:$C$451,Dati!$A$2:$A$451,$H87,Dati!$H$2:$H$451,$Y87)+SUMIFS(Dati!$J$2:$J$451,Dati!$H$2:$H$451,$H87,Dati!$A$2:$A$451,$Y87),"-")</f>
        <v/>
      </c>
      <c r="AX87" s="22">
        <f>IF(AND($H87&lt;&gt;"",$Z87&lt;&gt;"",$H87&lt;&gt;$Z87,IFERROR(VLOOKUP($H87,areaCercaPuntiClassificaSquadra,3,FALSE),-1)=IFERROR(VLOOKUP($Z87,areaCercaPuntiClassificaSquadra,3,FALSE),-2)),SUMIFS(Dati!$D$2:$D$451,Dati!$A$2:$A$451,$H87,Dati!$H$2:$H$451,$Z87)+SUMIFS(Dati!$K$2:$K$451,Dati!$H$2:$H$451,$H87,Dati!$A$2:$A$451,$Z87)+SUMIFS(Dati!$C$2:$C$451,Dati!$A$2:$A$451,$H87,Dati!$H$2:$H$451,$Z87)+SUMIFS(Dati!$J$2:$J$451,Dati!$H$2:$H$451,$H87,Dati!$A$2:$A$451,$Z87),"-")</f>
        <v/>
      </c>
      <c r="AY87" s="22">
        <f>IF(AND($H87&lt;&gt;"",$AA87&lt;&gt;"",$H87&lt;&gt;$AA87,IFERROR(VLOOKUP($H87,areaCercaPuntiClassificaSquadra,3,FALSE),-1)=IFERROR(VLOOKUP($AA87,areaCercaPuntiClassificaSquadra,3,FALSE),-2)),SUMIFS(Dati!$D$2:$D$451,Dati!$A$2:$A$451,$H87,Dati!$H$2:$H$451,$AA87)+SUMIFS(Dati!$K$2:$K$451,Dati!$H$2:$H$451,$H87,Dati!$A$2:$A$451,$AA87)+SUMIFS(Dati!$C$2:$C$451,Dati!$A$2:$A$451,$H87,Dati!$H$2:$H$451,$AA87)+SUMIFS(Dati!$J$2:$J$451,Dati!$H$2:$H$451,$H87,Dati!$A$2:$A$451,$AA87),"-")</f>
        <v/>
      </c>
      <c r="AZ87" s="22">
        <f>IF(AND($H87&lt;&gt;"",$AB87&lt;&gt;"",$H87&lt;&gt;$AB87,IFERROR(VLOOKUP($H87,areaCercaPuntiClassificaSquadra,3,FALSE),-1)=IFERROR(VLOOKUP($AB87,areaCercaPuntiClassificaSquadra,3,FALSE),-2)),SUMIFS(Dati!$D$2:$D$451,Dati!$A$2:$A$451,$H87,Dati!$H$2:$H$451,$AB87)+SUMIFS(Dati!$K$2:$K$451,Dati!$H$2:$H$451,$H87,Dati!$A$2:$A$451,$AB87)+SUMIFS(Dati!$C$2:$C$451,Dati!$A$2:$A$451,$H87,Dati!$H$2:$H$451,$AB87)+SUMIFS(Dati!$J$2:$J$451,Dati!$H$2:$H$451,$H87,Dati!$A$2:$A$451,$AB87),"-")</f>
        <v/>
      </c>
      <c r="BA87" s="22">
        <f>IF(AND($H87&lt;&gt;"",$AC87&lt;&gt;"",$H87&lt;&gt;$AC87,IFERROR(VLOOKUP($H87,areaCercaPuntiClassificaSquadra,3,FALSE),-1)=IFERROR(VLOOKUP($AC87,areaCercaPuntiClassificaSquadra,3,FALSE),-2)),SUMIFS(Dati!$D$2:$D$451,Dati!$A$2:$A$451,$H87,Dati!$H$2:$H$451,$AC87)+SUMIFS(Dati!$K$2:$K$451,Dati!$H$2:$H$451,$H87,Dati!$A$2:$A$451,$AC87)+SUMIFS(Dati!$C$2:$C$451,Dati!$A$2:$A$451,$H87,Dati!$H$2:$H$451,$AC87)+SUMIFS(Dati!$J$2:$J$451,Dati!$H$2:$H$451,$H87,Dati!$A$2:$A$451,$AC87),"-")</f>
        <v/>
      </c>
      <c r="BB87" s="22">
        <f>IF(AND($H87&lt;&gt;"",$AD87&lt;&gt;"",$H87&lt;&gt;$AD87,IFERROR(VLOOKUP($H87,areaCercaPuntiClassificaSquadra,3,FALSE),-1)=IFERROR(VLOOKUP($AD87,areaCercaPuntiClassificaSquadra,3,FALSE),-2)),SUMIFS(Dati!$D$2:$D$451,Dati!$A$2:$A$451,$H87,Dati!$H$2:$H$451,$AD87)+SUMIFS(Dati!$K$2:$K$451,Dati!$H$2:$H$451,$H87,Dati!$A$2:$A$451,$AD87)+SUMIFS(Dati!$C$2:$C$451,Dati!$A$2:$A$451,$H87,Dati!$H$2:$H$451,$AD87)+SUMIFS(Dati!$J$2:$J$451,Dati!$H$2:$H$451,$H87,Dati!$A$2:$A$451,$AD87),"-")</f>
        <v/>
      </c>
      <c r="BC87" s="22">
        <f>IF(AND($H87&lt;&gt;"",$AE87&lt;&gt;"",$H87&lt;&gt;$AE87,IFERROR(VLOOKUP($H87,areaCercaPuntiClassificaSquadra,3,FALSE),-1)=IFERROR(VLOOKUP($AE87,areaCercaPuntiClassificaSquadra,3,FALSE),-2)),SUMIFS(Dati!$D$2:$D$451,Dati!$A$2:$A$451,$H87,Dati!$H$2:$H$451,$AE87)+SUMIFS(Dati!$K$2:$K$451,Dati!$H$2:$H$451,$H87,Dati!$A$2:$A$451,$AE87)+SUMIFS(Dati!$C$2:$C$451,Dati!$A$2:$A$451,$H87,Dati!$H$2:$H$451,$AE87)+SUMIFS(Dati!$J$2:$J$451,Dati!$H$2:$H$451,$H87,Dati!$A$2:$A$451,$AE87),"-")</f>
        <v/>
      </c>
      <c r="BD87" s="22">
        <f>IF(AND($H87&lt;&gt;"",$AF87&lt;&gt;"",$H87&lt;&gt;$AF87,IFERROR(VLOOKUP($H87,areaCercaPuntiClassificaSquadra,3,FALSE),-1)=IFERROR(VLOOKUP($AF87,areaCercaPuntiClassificaSquadra,3,FALSE),-2)),SUMIFS(Dati!$D$2:$D$451,Dati!$A$2:$A$451,$H87,Dati!$H$2:$H$451,$AF87)+SUMIFS(Dati!$K$2:$K$451,Dati!$H$2:$H$451,$H87,Dati!$A$2:$A$451,$AF87)+SUMIFS(Dati!$C$2:$C$451,Dati!$A$2:$A$451,$H87,Dati!$H$2:$H$451,$AF87)+SUMIFS(Dati!$J$2:$J$451,Dati!$H$2:$H$451,$H87,Dati!$A$2:$A$451,$AF87),"-")</f>
        <v/>
      </c>
      <c r="BE87" s="22">
        <f>IF(AND($H87&lt;&gt;"",$AG87&lt;&gt;"",$H87&lt;&gt;$AG87,IFERROR(VLOOKUP($H87,areaCercaPuntiClassificaSquadra,3,FALSE),-1)=IFERROR(VLOOKUP($AG87,areaCercaPuntiClassificaSquadra,3,FALSE),-2)),SUMIFS(Dati!$D$2:$D$451,Dati!$A$2:$A$451,$H87,Dati!$H$2:$H$451,$AG87)+SUMIFS(Dati!$K$2:$K$451,Dati!$H$2:$H$451,$H87,Dati!$A$2:$A$451,$AG87)+SUMIFS(Dati!$C$2:$C$451,Dati!$A$2:$A$451,$H87,Dati!$H$2:$H$451,$AG87)+SUMIFS(Dati!$J$2:$J$451,Dati!$H$2:$H$451,$H87,Dati!$A$2:$A$451,$AG87),"-")</f>
        <v/>
      </c>
      <c r="BF87" s="22">
        <f>IF(AND($H87&lt;&gt;"",$AH87&lt;&gt;"",$H87&lt;&gt;$AH87,IFERROR(VLOOKUP($H87,areaCercaPuntiClassificaSquadra,3,FALSE),-1)=IFERROR(VLOOKUP($AH87,areaCercaPuntiClassificaSquadra,3,FALSE),-2)),SUMIFS(Dati!$D$2:$D$451,Dati!$A$2:$A$451,$H87,Dati!$H$2:$H$451,$AH87)+SUMIFS(Dati!$K$2:$K$451,Dati!$H$2:$H$451,$H87,Dati!$A$2:$A$451,$AH87)+SUMIFS(Dati!$C$2:$C$451,Dati!$A$2:$A$451,$H87,Dati!$H$2:$H$451,$AH87)+SUMIFS(Dati!$J$2:$J$451,Dati!$H$2:$H$451,$H87,Dati!$A$2:$A$451,$AH87),"-")</f>
        <v/>
      </c>
      <c r="BH87" s="21">
        <f>$C87</f>
        <v/>
      </c>
      <c r="BI87" s="22">
        <f>IF(AND($H87&lt;&gt;"",$Y87&lt;&gt;"",$H87&lt;&gt;$Y87,IFERROR(VLOOKUP($H87,areaCercaPuntiClassificaSquadra,3,FALSE),-1)=IFERROR(VLOOKUP($Y87,areaCercaPuntiClassificaSquadra,3,FALSE),-2)),SUMIFS(Dati!$E$2:$E$451,Dati!$A$2:$A$451,$H87,Dati!$H$2:$H$451,$Y87)+SUMIFS(Dati!$L$2:$L$451,Dati!$H$2:$H$451,$H87,Dati!$A$2:$A$451,$Y87),"-")</f>
        <v/>
      </c>
      <c r="BJ87" s="22">
        <f>IF(AND($H87&lt;&gt;"",$Z87&lt;&gt;"",$H87&lt;&gt;$Z87,IFERROR(VLOOKUP($H87,areaCercaPuntiClassificaSquadra,3,FALSE),-1)=IFERROR(VLOOKUP($Z87,areaCercaPuntiClassificaSquadra,3,FALSE),-2)),SUMIFS(Dati!$E$2:$E$451,Dati!$A$2:$A$451,$H87,Dati!$H$2:$H$451,$Z87)+SUMIFS(Dati!$L$2:$L$451,Dati!$H$2:$H$451,$H87,Dati!$A$2:$A$451,$Z87),"-")</f>
        <v/>
      </c>
      <c r="BK87" s="22">
        <f>IF(AND($H87&lt;&gt;"",$AA87&lt;&gt;"",$H87&lt;&gt;$AA87,IFERROR(VLOOKUP($H87,areaCercaPuntiClassificaSquadra,3,FALSE),-1)=IFERROR(VLOOKUP($AA87,areaCercaPuntiClassificaSquadra,3,FALSE),-2)),SUMIFS(Dati!$E$2:$E$451,Dati!$A$2:$A$451,$H87,Dati!$H$2:$H$451,$AA87)+SUMIFS(Dati!$L$2:$L$451,Dati!$H$2:$H$451,$H87,Dati!$A$2:$A$451,$AA87),"-")</f>
        <v/>
      </c>
      <c r="BL87" s="22">
        <f>IF(AND($H87&lt;&gt;"",$AB87&lt;&gt;"",$H87&lt;&gt;$AB87,IFERROR(VLOOKUP($H87,areaCercaPuntiClassificaSquadra,3,FALSE),-1)=IFERROR(VLOOKUP($AB87,areaCercaPuntiClassificaSquadra,3,FALSE),-2)),SUMIFS(Dati!$E$2:$E$451,Dati!$A$2:$A$451,$H87,Dati!$H$2:$H$451,$AB87)+SUMIFS(Dati!$L$2:$L$451,Dati!$H$2:$H$451,$H87,Dati!$A$2:$A$451,$AB87),"-")</f>
        <v/>
      </c>
      <c r="BM87" s="22">
        <f>IF(AND($H87&lt;&gt;"",$AC87&lt;&gt;"",$H87&lt;&gt;$AC87,IFERROR(VLOOKUP($H87,areaCercaPuntiClassificaSquadra,3,FALSE),-1)=IFERROR(VLOOKUP($AC87,areaCercaPuntiClassificaSquadra,3,FALSE),-2)),SUMIFS(Dati!$E$2:$E$451,Dati!$A$2:$A$451,$H87,Dati!$H$2:$H$451,$AC87)+SUMIFS(Dati!$L$2:$L$451,Dati!$H$2:$H$451,$H87,Dati!$A$2:$A$451,$AC87),"-")</f>
        <v/>
      </c>
      <c r="BN87" s="22">
        <f>IF(AND($H87&lt;&gt;"",$AD87&lt;&gt;"",$H87&lt;&gt;$AD87,IFERROR(VLOOKUP($H87,areaCercaPuntiClassificaSquadra,3,FALSE),-1)=IFERROR(VLOOKUP($AD87,areaCercaPuntiClassificaSquadra,3,FALSE),-2)),SUMIFS(Dati!$E$2:$E$451,Dati!$A$2:$A$451,$H87,Dati!$H$2:$H$451,$AD87)+SUMIFS(Dati!$L$2:$L$451,Dati!$H$2:$H$451,$H87,Dati!$A$2:$A$451,$AD87),"-")</f>
        <v/>
      </c>
      <c r="BO87" s="22">
        <f>IF(AND($H87&lt;&gt;"",$AE87&lt;&gt;"",$H87&lt;&gt;$AE87,IFERROR(VLOOKUP($H87,areaCercaPuntiClassificaSquadra,3,FALSE),-1)=IFERROR(VLOOKUP($AE87,areaCercaPuntiClassificaSquadra,3,FALSE),-2)),SUMIFS(Dati!$E$2:$E$451,Dati!$A$2:$A$451,$H87,Dati!$H$2:$H$451,$AE87)+SUMIFS(Dati!$L$2:$L$451,Dati!$H$2:$H$451,$H87,Dati!$A$2:$A$451,$AE87),"-")</f>
        <v/>
      </c>
      <c r="BP87" s="22">
        <f>IF(AND($H87&lt;&gt;"",$AF87&lt;&gt;"",$H87&lt;&gt;$AF87,IFERROR(VLOOKUP($H87,areaCercaPuntiClassificaSquadra,3,FALSE),-1)=IFERROR(VLOOKUP($AF87,areaCercaPuntiClassificaSquadra,3,FALSE),-2)),SUMIFS(Dati!$E$2:$E$451,Dati!$A$2:$A$451,$H87,Dati!$H$2:$H$451,$AF87)+SUMIFS(Dati!$L$2:$L$451,Dati!$H$2:$H$451,$H87,Dati!$A$2:$A$451,$AF87),"-")</f>
        <v/>
      </c>
      <c r="BQ87" s="22">
        <f>IF(AND($H87&lt;&gt;"",$AG87&lt;&gt;"",$H87&lt;&gt;$AG87,IFERROR(VLOOKUP($H87,areaCercaPuntiClassificaSquadra,3,FALSE),-1)=IFERROR(VLOOKUP($AG87,areaCercaPuntiClassificaSquadra,3,FALSE),-2)),SUMIFS(Dati!$E$2:$E$451,Dati!$A$2:$A$451,$H87,Dati!$H$2:$H$451,$AG87)+SUMIFS(Dati!$L$2:$L$451,Dati!$H$2:$H$451,$H87,Dati!$A$2:$A$451,$AG87),"-")</f>
        <v/>
      </c>
      <c r="BR87" s="22">
        <f>IF(AND($H87&lt;&gt;"",$AH87&lt;&gt;"",$H87&lt;&gt;$AH87,IFERROR(VLOOKUP($H87,areaCercaPuntiClassificaSquadra,3,FALSE),-1)=IFERROR(VLOOKUP($AH87,areaCercaPuntiClassificaSquadra,3,FALSE),-2)),SUMIFS(Dati!$E$2:$E$451,Dati!$A$2:$A$451,$H87,Dati!$H$2:$H$451,$AH87)+SUMIFS(Dati!$L$2:$L$451,Dati!$H$2:$H$451,$H87,Dati!$A$2:$A$451,$AH87),"-")</f>
        <v/>
      </c>
      <c r="BT87" s="21">
        <f>$C87</f>
        <v/>
      </c>
      <c r="BU87" s="22">
        <f>IF(AND($H87&lt;&gt;"",$Y87&lt;&gt;"",$H87&lt;&gt;$Y87,IFERROR(VLOOKUP($H87,areaCercaPuntiClassificaSquadra,3,FALSE),-1)=IFERROR(VLOOKUP($Y87,areaCercaPuntiClassificaSquadra,3,FALSE),-2)),SUMIFS(Dati!$F$2:$F$451,Dati!$A$2:$A$451,$H87,Dati!$H$2:$H$451,$Y87)+SUMIFS(Dati!$M$2:$M$451,Dati!$H$2:$H$451,$H87,Dati!$A$2:$A$451,$Y87),"-")</f>
        <v/>
      </c>
      <c r="BV87" s="22">
        <f>IF(AND($H87&lt;&gt;"",$Z87&lt;&gt;"",$H87&lt;&gt;$Z87,IFERROR(VLOOKUP($H87,areaCercaPuntiClassificaSquadra,3,FALSE),-1)=IFERROR(VLOOKUP($Z87,areaCercaPuntiClassificaSquadra,3,FALSE),-2)),SUMIFS(Dati!$F$2:$F$451,Dati!$A$2:$A$451,$H87,Dati!$H$2:$H$451,$Z87)+SUMIFS(Dati!$M$2:$M$451,Dati!$H$2:$H$451,$H87,Dati!$A$2:$A$451,$Z87),"-")</f>
        <v/>
      </c>
      <c r="BW87" s="22">
        <f>IF(AND($H87&lt;&gt;"",$AA87&lt;&gt;"",$H87&lt;&gt;$AA87,IFERROR(VLOOKUP($H87,areaCercaPuntiClassificaSquadra,3,FALSE),-1)=IFERROR(VLOOKUP($AA87,areaCercaPuntiClassificaSquadra,3,FALSE),-2)),SUMIFS(Dati!$F$2:$F$451,Dati!$A$2:$A$451,$H87,Dati!$H$2:$H$451,$AA87)+SUMIFS(Dati!$M$2:$M$451,Dati!$H$2:$H$451,$H87,Dati!$A$2:$A$451,$AA87),"-")</f>
        <v/>
      </c>
      <c r="BX87" s="22">
        <f>IF(AND($H87&lt;&gt;"",$AB87&lt;&gt;"",$H87&lt;&gt;$AB87,IFERROR(VLOOKUP($H87,areaCercaPuntiClassificaSquadra,3,FALSE),-1)=IFERROR(VLOOKUP($AB87,areaCercaPuntiClassificaSquadra,3,FALSE),-2)),SUMIFS(Dati!$F$2:$F$451,Dati!$A$2:$A$451,$H87,Dati!$H$2:$H$451,$AB87)+SUMIFS(Dati!$M$2:$M$451,Dati!$H$2:$H$451,$H87,Dati!$A$2:$A$451,$AB87),"-")</f>
        <v/>
      </c>
      <c r="BY87" s="22">
        <f>IF(AND($H87&lt;&gt;"",$AC87&lt;&gt;"",$H87&lt;&gt;$AC87,IFERROR(VLOOKUP($H87,areaCercaPuntiClassificaSquadra,3,FALSE),-1)=IFERROR(VLOOKUP($AC87,areaCercaPuntiClassificaSquadra,3,FALSE),-2)),SUMIFS(Dati!$F$2:$F$451,Dati!$A$2:$A$451,$H87,Dati!$H$2:$H$451,$AC87)+SUMIFS(Dati!$M$2:$M$451,Dati!$H$2:$H$451,$H87,Dati!$A$2:$A$451,$AC87),"-")</f>
        <v/>
      </c>
      <c r="BZ87" s="22">
        <f>IF(AND($H87&lt;&gt;"",$AD87&lt;&gt;"",$H87&lt;&gt;$AD87,IFERROR(VLOOKUP($H87,areaCercaPuntiClassificaSquadra,3,FALSE),-1)=IFERROR(VLOOKUP($AD87,areaCercaPuntiClassificaSquadra,3,FALSE),-2)),SUMIFS(Dati!$F$2:$F$451,Dati!$A$2:$A$451,$H87,Dati!$H$2:$H$451,$AD87)+SUMIFS(Dati!$M$2:$M$451,Dati!$H$2:$H$451,$H87,Dati!$A$2:$A$451,$AD87),"-")</f>
        <v/>
      </c>
      <c r="CA87" s="22">
        <f>IF(AND($H87&lt;&gt;"",$AE87&lt;&gt;"",$H87&lt;&gt;$AE87,IFERROR(VLOOKUP($H87,areaCercaPuntiClassificaSquadra,3,FALSE),-1)=IFERROR(VLOOKUP($AE87,areaCercaPuntiClassificaSquadra,3,FALSE),-2)),SUMIFS(Dati!$F$2:$F$451,Dati!$A$2:$A$451,$H87,Dati!$H$2:$H$451,$AE87)+SUMIFS(Dati!$M$2:$M$451,Dati!$H$2:$H$451,$H87,Dati!$A$2:$A$451,$AE87),"-")</f>
        <v/>
      </c>
      <c r="CB87" s="22">
        <f>IF(AND($H87&lt;&gt;"",$AF87&lt;&gt;"",$H87&lt;&gt;$AF87,IFERROR(VLOOKUP($H87,areaCercaPuntiClassificaSquadra,3,FALSE),-1)=IFERROR(VLOOKUP($AF87,areaCercaPuntiClassificaSquadra,3,FALSE),-2)),SUMIFS(Dati!$F$2:$F$451,Dati!$A$2:$A$451,$H87,Dati!$H$2:$H$451,$AF87)+SUMIFS(Dati!$M$2:$M$451,Dati!$H$2:$H$451,$H87,Dati!$A$2:$A$451,$AF87),"-")</f>
        <v/>
      </c>
      <c r="CC87" s="22">
        <f>IF(AND($H87&lt;&gt;"",$AG87&lt;&gt;"",$H87&lt;&gt;$AG87,IFERROR(VLOOKUP($H87,areaCercaPuntiClassificaSquadra,3,FALSE),-1)=IFERROR(VLOOKUP($AG87,areaCercaPuntiClassificaSquadra,3,FALSE),-2)),SUMIFS(Dati!$F$2:$F$451,Dati!$A$2:$A$451,$H87,Dati!$H$2:$H$451,$AG87)+SUMIFS(Dati!$M$2:$M$451,Dati!$H$2:$H$451,$H87,Dati!$A$2:$A$451,$AG87),"-")</f>
        <v/>
      </c>
      <c r="CD87" s="22">
        <f>IF(AND($H87&lt;&gt;"",$AH87&lt;&gt;"",$H87&lt;&gt;$AH87,IFERROR(VLOOKUP($H87,areaCercaPuntiClassificaSquadra,3,FALSE),-1)=IFERROR(VLOOKUP($AH87,areaCercaPuntiClassificaSquadra,3,FALSE),-2)),SUMIFS(Dati!$F$2:$F$451,Dati!$A$2:$A$451,$H87,Dati!$H$2:$H$451,$AH87)+SUMIFS(Dati!$M$2:$M$451,Dati!$H$2:$H$451,$H87,Dati!$A$2:$A$451,$AH87),"-")</f>
        <v/>
      </c>
      <c r="CF87" s="22">
        <f>IF($C87="","",SUM(AK87:AT87))</f>
        <v/>
      </c>
    </row>
    <row r="88">
      <c r="B88" s="12" t="inlineStr">
        <is>
          <t>H05</t>
        </is>
      </c>
      <c r="C88" s="13" t="n"/>
      <c r="D88" s="14" t="n"/>
      <c r="E88" s="35" t="inlineStr">
        <is>
          <t>H</t>
        </is>
      </c>
      <c r="G88" s="36">
        <f>IF($C88="","",$E88&amp;(COUNTIFS(I$14:I$113,"&gt;"&amp;I88,E$14:E$113,"="&amp;E88,C$14:C$113,"&lt;&gt;")+COUNTIFS(I$14:I$113,"="&amp;I88,H$14:H$113,"&lt;="&amp;H88,E$14:E$113,"="&amp;E88,C$14:C$113,"&lt;&gt;")))</f>
        <v/>
      </c>
      <c r="H88" s="17">
        <f>IF($C88="","",IFERROR(LEFT($C88,FIND("-",$C88)-1),$C88))</f>
        <v/>
      </c>
      <c r="I88" s="12">
        <f>TEXT(1000000000+J88,"|0000000000|")&amp;TEXT(SUM(AK88:AT88),"0000000000|")&amp;IF(SUM(BU88:CD88)=0,"0000000000|",TEXT(ROUND(SUM(BI88:BR88)/SUM(BU88:CD88),4)*100000,"0000000000|"))&amp;IF(P88=0,"0000000000|",TEXT(ROUND(O88/P88,4)*100000,"0000000000|"))</f>
        <v/>
      </c>
      <c r="J88" s="36">
        <f>L88*constPuntiVittoria+M88*constPuntiSconfitta+N88*constPuntiForfait+IF(D88="",0,D88)</f>
        <v/>
      </c>
      <c r="K88" s="12">
        <f>SUM(L88:N88)</f>
        <v/>
      </c>
      <c r="L88" s="12">
        <f>IF($H88="",0,SUMIF(Dati!$A$2:$A$451,$H88,Dati!$B$2:$B$451)+SUMIF(Dati!$H$2:$H$451,$H88,Dati!$I$2:$I$451))</f>
        <v/>
      </c>
      <c r="M88" s="12">
        <f>IF($H88="",0,SUMIF(Dati!$A$2:$A$451,$H88,Dati!$D$2:$D$451)+SUMIF(Dati!$H$2:$H$451,$H88,Dati!$K$2:$K$451))</f>
        <v/>
      </c>
      <c r="N88" s="12">
        <f>IF($H88="",0,SUMIF(Dati!$A$2:$A$451,$H88,Dati!$C$2:$C$451)+SUMIF(Dati!$H$2:$H$451,$H88,Dati!$J$2:$J$451))</f>
        <v/>
      </c>
      <c r="O88" s="12">
        <f>IF($H88="",0,SUMIF(Dati!$A$2:$A$451,$H88,Dati!$E$2:$E$451)+SUMIF(Dati!$H$2:$H$451,$H88,Dati!$L$2:$L$451))</f>
        <v/>
      </c>
      <c r="P88" s="12">
        <f>IF($H88="",0,SUMIF(Dati!$A$2:$A$451,$H88,Dati!$F$2:$F$451)+SUMIF(Dati!$H$2:$H$451,$H88,Dati!$M$2:$M$451))</f>
        <v/>
      </c>
      <c r="Q88" s="12">
        <f>IF($H88="",0,SUMIF(Dati!$A$2:$A$451,$H88,Dati!$G$2:$G$451)+SUMIF(Dati!$H$2:$H$451,$H88,Dati!$N$2:$N$451))</f>
        <v/>
      </c>
      <c r="R88" s="12">
        <f>IF(K88=0,0,ROUND(O88/K88,2))</f>
        <v/>
      </c>
      <c r="S88" s="12">
        <f>IF(K88=0,0,ROUND(P88/K88,2))</f>
        <v/>
      </c>
      <c r="T88" s="12">
        <f>IF(K88=0,0,ROUND(Q88/K88,2))</f>
        <v/>
      </c>
      <c r="U88" s="12">
        <f>IF(COUNTIFS($E$14:$E$113,$E88,$J$14:$J$113,$J88,$C$14:$C$113,"&lt;&gt;")&lt;=1,"-",SUM(AK88:AT88)&amp;"-"&amp;SUM(AW88:BF88))</f>
        <v/>
      </c>
      <c r="V88" s="18">
        <f>IF(COUNTIFS($E$14:$E$113,$E88,$J$14:$J$113,$J88,$C$14:$C$113,"&lt;&gt;",$CF$14:$CF$113,$CF88)&lt;=1,"-",IF(SUM(BU88:CD88)=0,0,ROUND(SUM(BI88:BR88)/SUM(BU88:CD88),3)))</f>
        <v/>
      </c>
      <c r="W88" s="18">
        <f>IF(COUNTIFS($E$14:$E$113,$E88,$J$14:$J$113,$J88,$C$14:$C$113,"&lt;&gt;",$CF$14:$CF$113,$CF88,$V$14:$V$113,$V88)&lt;=1,"-",IF(P88=0,0,ROUND(O88/P88,3)))</f>
        <v/>
      </c>
      <c r="X88" s="19">
        <f>IF($C88="","",$E88&amp;"#"&amp;COUNTIFS($E$14:$E88,$E88,$C$14:$C88,"&lt;&gt;"))</f>
        <v/>
      </c>
      <c r="Y88" s="20">
        <f>IFERROR(INDEX($H$14:$H$113,MATCH($E88&amp;"#1",$X$14:$X$113,0)),"")</f>
        <v/>
      </c>
      <c r="Z88" s="20">
        <f>IFERROR(INDEX($H$14:$H$113,MATCH($E88&amp;"#2",$X$14:$X$113,0)),"")</f>
        <v/>
      </c>
      <c r="AA88" s="20">
        <f>IFERROR(INDEX($H$14:$H$113,MATCH($E88&amp;"#3",$X$14:$X$113,0)),"")</f>
        <v/>
      </c>
      <c r="AB88" s="20">
        <f>IFERROR(INDEX($H$14:$H$113,MATCH($E88&amp;"#4",$X$14:$X$113,0)),"")</f>
        <v/>
      </c>
      <c r="AC88" s="20">
        <f>IFERROR(INDEX($H$14:$H$113,MATCH($E88&amp;"#5",$X$14:$X$113,0)),"")</f>
        <v/>
      </c>
      <c r="AD88" s="20">
        <f>IFERROR(INDEX($H$14:$H$113,MATCH($E88&amp;"#6",$X$14:$X$113,0)),"")</f>
        <v/>
      </c>
      <c r="AE88" s="20">
        <f>IFERROR(INDEX($H$14:$H$113,MATCH($E88&amp;"#7",$X$14:$X$113,0)),"")</f>
        <v/>
      </c>
      <c r="AF88" s="20">
        <f>IFERROR(INDEX($H$14:$H$113,MATCH($E88&amp;"#8",$X$14:$X$113,0)),"")</f>
        <v/>
      </c>
      <c r="AG88" s="20">
        <f>IFERROR(INDEX($H$14:$H$113,MATCH($E88&amp;"#9",$X$14:$X$113,0)),"")</f>
        <v/>
      </c>
      <c r="AH88" s="20">
        <f>IFERROR(INDEX($H$14:$H$113,MATCH($E88&amp;"#10",$X$14:$X$113,0)),"")</f>
        <v/>
      </c>
      <c r="AJ88" s="21">
        <f>$C88</f>
        <v/>
      </c>
      <c r="AK88" s="22">
        <f>IF(AND($H88&lt;&gt;"",$Y88&lt;&gt;"",$H88&lt;&gt;$Y88,IFERROR(VLOOKUP($H88,areaCercaPuntiClassificaSquadra,3,FALSE),-1)=IFERROR(VLOOKUP($Y88,areaCercaPuntiClassificaSquadra,3,FALSE),-2)),SUMIFS(Dati!$B$2:$B$451,Dati!$A$2:$A$451,$H88,Dati!$H$2:$H$451,$Y88)+SUMIFS(Dati!$I$2:$I$451,Dati!$H$2:$H$451,$H88,Dati!$A$2:$A$451,$Y88),"-")</f>
        <v/>
      </c>
      <c r="AL88" s="22">
        <f>IF(AND($H88&lt;&gt;"",$Z88&lt;&gt;"",$H88&lt;&gt;$Z88,IFERROR(VLOOKUP($H88,areaCercaPuntiClassificaSquadra,3,FALSE),-1)=IFERROR(VLOOKUP($Z88,areaCercaPuntiClassificaSquadra,3,FALSE),-2)),SUMIFS(Dati!$B$2:$B$451,Dati!$A$2:$A$451,$H88,Dati!$H$2:$H$451,$Z88)+SUMIFS(Dati!$I$2:$I$451,Dati!$H$2:$H$451,$H88,Dati!$A$2:$A$451,$Z88),"-")</f>
        <v/>
      </c>
      <c r="AM88" s="22">
        <f>IF(AND($H88&lt;&gt;"",$AA88&lt;&gt;"",$H88&lt;&gt;$AA88,IFERROR(VLOOKUP($H88,areaCercaPuntiClassificaSquadra,3,FALSE),-1)=IFERROR(VLOOKUP($AA88,areaCercaPuntiClassificaSquadra,3,FALSE),-2)),SUMIFS(Dati!$B$2:$B$451,Dati!$A$2:$A$451,$H88,Dati!$H$2:$H$451,$AA88)+SUMIFS(Dati!$I$2:$I$451,Dati!$H$2:$H$451,$H88,Dati!$A$2:$A$451,$AA88),"-")</f>
        <v/>
      </c>
      <c r="AN88" s="22">
        <f>IF(AND($H88&lt;&gt;"",$AB88&lt;&gt;"",$H88&lt;&gt;$AB88,IFERROR(VLOOKUP($H88,areaCercaPuntiClassificaSquadra,3,FALSE),-1)=IFERROR(VLOOKUP($AB88,areaCercaPuntiClassificaSquadra,3,FALSE),-2)),SUMIFS(Dati!$B$2:$B$451,Dati!$A$2:$A$451,$H88,Dati!$H$2:$H$451,$AB88)+SUMIFS(Dati!$I$2:$I$451,Dati!$H$2:$H$451,$H88,Dati!$A$2:$A$451,$AB88),"-")</f>
        <v/>
      </c>
      <c r="AO88" s="22">
        <f>IF(AND($H88&lt;&gt;"",$AC88&lt;&gt;"",$H88&lt;&gt;$AC88,IFERROR(VLOOKUP($H88,areaCercaPuntiClassificaSquadra,3,FALSE),-1)=IFERROR(VLOOKUP($AC88,areaCercaPuntiClassificaSquadra,3,FALSE),-2)),SUMIFS(Dati!$B$2:$B$451,Dati!$A$2:$A$451,$H88,Dati!$H$2:$H$451,$AC88)+SUMIFS(Dati!$I$2:$I$451,Dati!$H$2:$H$451,$H88,Dati!$A$2:$A$451,$AC88),"-")</f>
        <v/>
      </c>
      <c r="AP88" s="22">
        <f>IF(AND($H88&lt;&gt;"",$AD88&lt;&gt;"",$H88&lt;&gt;$AD88,IFERROR(VLOOKUP($H88,areaCercaPuntiClassificaSquadra,3,FALSE),-1)=IFERROR(VLOOKUP($AD88,areaCercaPuntiClassificaSquadra,3,FALSE),-2)),SUMIFS(Dati!$B$2:$B$451,Dati!$A$2:$A$451,$H88,Dati!$H$2:$H$451,$AD88)+SUMIFS(Dati!$I$2:$I$451,Dati!$H$2:$H$451,$H88,Dati!$A$2:$A$451,$AD88),"-")</f>
        <v/>
      </c>
      <c r="AQ88" s="22">
        <f>IF(AND($H88&lt;&gt;"",$AE88&lt;&gt;"",$H88&lt;&gt;$AE88,IFERROR(VLOOKUP($H88,areaCercaPuntiClassificaSquadra,3,FALSE),-1)=IFERROR(VLOOKUP($AE88,areaCercaPuntiClassificaSquadra,3,FALSE),-2)),SUMIFS(Dati!$B$2:$B$451,Dati!$A$2:$A$451,$H88,Dati!$H$2:$H$451,$AE88)+SUMIFS(Dati!$I$2:$I$451,Dati!$H$2:$H$451,$H88,Dati!$A$2:$A$451,$AE88),"-")</f>
        <v/>
      </c>
      <c r="AR88" s="22">
        <f>IF(AND($H88&lt;&gt;"",$AF88&lt;&gt;"",$H88&lt;&gt;$AF88,IFERROR(VLOOKUP($H88,areaCercaPuntiClassificaSquadra,3,FALSE),-1)=IFERROR(VLOOKUP($AF88,areaCercaPuntiClassificaSquadra,3,FALSE),-2)),SUMIFS(Dati!$B$2:$B$451,Dati!$A$2:$A$451,$H88,Dati!$H$2:$H$451,$AF88)+SUMIFS(Dati!$I$2:$I$451,Dati!$H$2:$H$451,$H88,Dati!$A$2:$A$451,$AF88),"-")</f>
        <v/>
      </c>
      <c r="AS88" s="22">
        <f>IF(AND($H88&lt;&gt;"",$AG88&lt;&gt;"",$H88&lt;&gt;$AG88,IFERROR(VLOOKUP($H88,areaCercaPuntiClassificaSquadra,3,FALSE),-1)=IFERROR(VLOOKUP($AG88,areaCercaPuntiClassificaSquadra,3,FALSE),-2)),SUMIFS(Dati!$B$2:$B$451,Dati!$A$2:$A$451,$H88,Dati!$H$2:$H$451,$AG88)+SUMIFS(Dati!$I$2:$I$451,Dati!$H$2:$H$451,$H88,Dati!$A$2:$A$451,$AG88),"-")</f>
        <v/>
      </c>
      <c r="AT88" s="22">
        <f>IF(AND($H88&lt;&gt;"",$AH88&lt;&gt;"",$H88&lt;&gt;$AH88,IFERROR(VLOOKUP($H88,areaCercaPuntiClassificaSquadra,3,FALSE),-1)=IFERROR(VLOOKUP($AH88,areaCercaPuntiClassificaSquadra,3,FALSE),-2)),SUMIFS(Dati!$B$2:$B$451,Dati!$A$2:$A$451,$H88,Dati!$H$2:$H$451,$AH88)+SUMIFS(Dati!$I$2:$I$451,Dati!$H$2:$H$451,$H88,Dati!$A$2:$A$451,$AH88),"-")</f>
        <v/>
      </c>
      <c r="AV88" s="21">
        <f>$C88</f>
        <v/>
      </c>
      <c r="AW88" s="22">
        <f>IF(AND($H88&lt;&gt;"",$Y88&lt;&gt;"",$H88&lt;&gt;$Y88,IFERROR(VLOOKUP($H88,areaCercaPuntiClassificaSquadra,3,FALSE),-1)=IFERROR(VLOOKUP($Y88,areaCercaPuntiClassificaSquadra,3,FALSE),-2)),SUMIFS(Dati!$D$2:$D$451,Dati!$A$2:$A$451,$H88,Dati!$H$2:$H$451,$Y88)+SUMIFS(Dati!$K$2:$K$451,Dati!$H$2:$H$451,$H88,Dati!$A$2:$A$451,$Y88)+SUMIFS(Dati!$C$2:$C$451,Dati!$A$2:$A$451,$H88,Dati!$H$2:$H$451,$Y88)+SUMIFS(Dati!$J$2:$J$451,Dati!$H$2:$H$451,$H88,Dati!$A$2:$A$451,$Y88),"-")</f>
        <v/>
      </c>
      <c r="AX88" s="22">
        <f>IF(AND($H88&lt;&gt;"",$Z88&lt;&gt;"",$H88&lt;&gt;$Z88,IFERROR(VLOOKUP($H88,areaCercaPuntiClassificaSquadra,3,FALSE),-1)=IFERROR(VLOOKUP($Z88,areaCercaPuntiClassificaSquadra,3,FALSE),-2)),SUMIFS(Dati!$D$2:$D$451,Dati!$A$2:$A$451,$H88,Dati!$H$2:$H$451,$Z88)+SUMIFS(Dati!$K$2:$K$451,Dati!$H$2:$H$451,$H88,Dati!$A$2:$A$451,$Z88)+SUMIFS(Dati!$C$2:$C$451,Dati!$A$2:$A$451,$H88,Dati!$H$2:$H$451,$Z88)+SUMIFS(Dati!$J$2:$J$451,Dati!$H$2:$H$451,$H88,Dati!$A$2:$A$451,$Z88),"-")</f>
        <v/>
      </c>
      <c r="AY88" s="22">
        <f>IF(AND($H88&lt;&gt;"",$AA88&lt;&gt;"",$H88&lt;&gt;$AA88,IFERROR(VLOOKUP($H88,areaCercaPuntiClassificaSquadra,3,FALSE),-1)=IFERROR(VLOOKUP($AA88,areaCercaPuntiClassificaSquadra,3,FALSE),-2)),SUMIFS(Dati!$D$2:$D$451,Dati!$A$2:$A$451,$H88,Dati!$H$2:$H$451,$AA88)+SUMIFS(Dati!$K$2:$K$451,Dati!$H$2:$H$451,$H88,Dati!$A$2:$A$451,$AA88)+SUMIFS(Dati!$C$2:$C$451,Dati!$A$2:$A$451,$H88,Dati!$H$2:$H$451,$AA88)+SUMIFS(Dati!$J$2:$J$451,Dati!$H$2:$H$451,$H88,Dati!$A$2:$A$451,$AA88),"-")</f>
        <v/>
      </c>
      <c r="AZ88" s="22">
        <f>IF(AND($H88&lt;&gt;"",$AB88&lt;&gt;"",$H88&lt;&gt;$AB88,IFERROR(VLOOKUP($H88,areaCercaPuntiClassificaSquadra,3,FALSE),-1)=IFERROR(VLOOKUP($AB88,areaCercaPuntiClassificaSquadra,3,FALSE),-2)),SUMIFS(Dati!$D$2:$D$451,Dati!$A$2:$A$451,$H88,Dati!$H$2:$H$451,$AB88)+SUMIFS(Dati!$K$2:$K$451,Dati!$H$2:$H$451,$H88,Dati!$A$2:$A$451,$AB88)+SUMIFS(Dati!$C$2:$C$451,Dati!$A$2:$A$451,$H88,Dati!$H$2:$H$451,$AB88)+SUMIFS(Dati!$J$2:$J$451,Dati!$H$2:$H$451,$H88,Dati!$A$2:$A$451,$AB88),"-")</f>
        <v/>
      </c>
      <c r="BA88" s="22">
        <f>IF(AND($H88&lt;&gt;"",$AC88&lt;&gt;"",$H88&lt;&gt;$AC88,IFERROR(VLOOKUP($H88,areaCercaPuntiClassificaSquadra,3,FALSE),-1)=IFERROR(VLOOKUP($AC88,areaCercaPuntiClassificaSquadra,3,FALSE),-2)),SUMIFS(Dati!$D$2:$D$451,Dati!$A$2:$A$451,$H88,Dati!$H$2:$H$451,$AC88)+SUMIFS(Dati!$K$2:$K$451,Dati!$H$2:$H$451,$H88,Dati!$A$2:$A$451,$AC88)+SUMIFS(Dati!$C$2:$C$451,Dati!$A$2:$A$451,$H88,Dati!$H$2:$H$451,$AC88)+SUMIFS(Dati!$J$2:$J$451,Dati!$H$2:$H$451,$H88,Dati!$A$2:$A$451,$AC88),"-")</f>
        <v/>
      </c>
      <c r="BB88" s="22">
        <f>IF(AND($H88&lt;&gt;"",$AD88&lt;&gt;"",$H88&lt;&gt;$AD88,IFERROR(VLOOKUP($H88,areaCercaPuntiClassificaSquadra,3,FALSE),-1)=IFERROR(VLOOKUP($AD88,areaCercaPuntiClassificaSquadra,3,FALSE),-2)),SUMIFS(Dati!$D$2:$D$451,Dati!$A$2:$A$451,$H88,Dati!$H$2:$H$451,$AD88)+SUMIFS(Dati!$K$2:$K$451,Dati!$H$2:$H$451,$H88,Dati!$A$2:$A$451,$AD88)+SUMIFS(Dati!$C$2:$C$451,Dati!$A$2:$A$451,$H88,Dati!$H$2:$H$451,$AD88)+SUMIFS(Dati!$J$2:$J$451,Dati!$H$2:$H$451,$H88,Dati!$A$2:$A$451,$AD88),"-")</f>
        <v/>
      </c>
      <c r="BC88" s="22">
        <f>IF(AND($H88&lt;&gt;"",$AE88&lt;&gt;"",$H88&lt;&gt;$AE88,IFERROR(VLOOKUP($H88,areaCercaPuntiClassificaSquadra,3,FALSE),-1)=IFERROR(VLOOKUP($AE88,areaCercaPuntiClassificaSquadra,3,FALSE),-2)),SUMIFS(Dati!$D$2:$D$451,Dati!$A$2:$A$451,$H88,Dati!$H$2:$H$451,$AE88)+SUMIFS(Dati!$K$2:$K$451,Dati!$H$2:$H$451,$H88,Dati!$A$2:$A$451,$AE88)+SUMIFS(Dati!$C$2:$C$451,Dati!$A$2:$A$451,$H88,Dati!$H$2:$H$451,$AE88)+SUMIFS(Dati!$J$2:$J$451,Dati!$H$2:$H$451,$H88,Dati!$A$2:$A$451,$AE88),"-")</f>
        <v/>
      </c>
      <c r="BD88" s="22">
        <f>IF(AND($H88&lt;&gt;"",$AF88&lt;&gt;"",$H88&lt;&gt;$AF88,IFERROR(VLOOKUP($H88,areaCercaPuntiClassificaSquadra,3,FALSE),-1)=IFERROR(VLOOKUP($AF88,areaCercaPuntiClassificaSquadra,3,FALSE),-2)),SUMIFS(Dati!$D$2:$D$451,Dati!$A$2:$A$451,$H88,Dati!$H$2:$H$451,$AF88)+SUMIFS(Dati!$K$2:$K$451,Dati!$H$2:$H$451,$H88,Dati!$A$2:$A$451,$AF88)+SUMIFS(Dati!$C$2:$C$451,Dati!$A$2:$A$451,$H88,Dati!$H$2:$H$451,$AF88)+SUMIFS(Dati!$J$2:$J$451,Dati!$H$2:$H$451,$H88,Dati!$A$2:$A$451,$AF88),"-")</f>
        <v/>
      </c>
      <c r="BE88" s="22">
        <f>IF(AND($H88&lt;&gt;"",$AG88&lt;&gt;"",$H88&lt;&gt;$AG88,IFERROR(VLOOKUP($H88,areaCercaPuntiClassificaSquadra,3,FALSE),-1)=IFERROR(VLOOKUP($AG88,areaCercaPuntiClassificaSquadra,3,FALSE),-2)),SUMIFS(Dati!$D$2:$D$451,Dati!$A$2:$A$451,$H88,Dati!$H$2:$H$451,$AG88)+SUMIFS(Dati!$K$2:$K$451,Dati!$H$2:$H$451,$H88,Dati!$A$2:$A$451,$AG88)+SUMIFS(Dati!$C$2:$C$451,Dati!$A$2:$A$451,$H88,Dati!$H$2:$H$451,$AG88)+SUMIFS(Dati!$J$2:$J$451,Dati!$H$2:$H$451,$H88,Dati!$A$2:$A$451,$AG88),"-")</f>
        <v/>
      </c>
      <c r="BF88" s="22">
        <f>IF(AND($H88&lt;&gt;"",$AH88&lt;&gt;"",$H88&lt;&gt;$AH88,IFERROR(VLOOKUP($H88,areaCercaPuntiClassificaSquadra,3,FALSE),-1)=IFERROR(VLOOKUP($AH88,areaCercaPuntiClassificaSquadra,3,FALSE),-2)),SUMIFS(Dati!$D$2:$D$451,Dati!$A$2:$A$451,$H88,Dati!$H$2:$H$451,$AH88)+SUMIFS(Dati!$K$2:$K$451,Dati!$H$2:$H$451,$H88,Dati!$A$2:$A$451,$AH88)+SUMIFS(Dati!$C$2:$C$451,Dati!$A$2:$A$451,$H88,Dati!$H$2:$H$451,$AH88)+SUMIFS(Dati!$J$2:$J$451,Dati!$H$2:$H$451,$H88,Dati!$A$2:$A$451,$AH88),"-")</f>
        <v/>
      </c>
      <c r="BH88" s="21">
        <f>$C88</f>
        <v/>
      </c>
      <c r="BI88" s="22">
        <f>IF(AND($H88&lt;&gt;"",$Y88&lt;&gt;"",$H88&lt;&gt;$Y88,IFERROR(VLOOKUP($H88,areaCercaPuntiClassificaSquadra,3,FALSE),-1)=IFERROR(VLOOKUP($Y88,areaCercaPuntiClassificaSquadra,3,FALSE),-2)),SUMIFS(Dati!$E$2:$E$451,Dati!$A$2:$A$451,$H88,Dati!$H$2:$H$451,$Y88)+SUMIFS(Dati!$L$2:$L$451,Dati!$H$2:$H$451,$H88,Dati!$A$2:$A$451,$Y88),"-")</f>
        <v/>
      </c>
      <c r="BJ88" s="22">
        <f>IF(AND($H88&lt;&gt;"",$Z88&lt;&gt;"",$H88&lt;&gt;$Z88,IFERROR(VLOOKUP($H88,areaCercaPuntiClassificaSquadra,3,FALSE),-1)=IFERROR(VLOOKUP($Z88,areaCercaPuntiClassificaSquadra,3,FALSE),-2)),SUMIFS(Dati!$E$2:$E$451,Dati!$A$2:$A$451,$H88,Dati!$H$2:$H$451,$Z88)+SUMIFS(Dati!$L$2:$L$451,Dati!$H$2:$H$451,$H88,Dati!$A$2:$A$451,$Z88),"-")</f>
        <v/>
      </c>
      <c r="BK88" s="22">
        <f>IF(AND($H88&lt;&gt;"",$AA88&lt;&gt;"",$H88&lt;&gt;$AA88,IFERROR(VLOOKUP($H88,areaCercaPuntiClassificaSquadra,3,FALSE),-1)=IFERROR(VLOOKUP($AA88,areaCercaPuntiClassificaSquadra,3,FALSE),-2)),SUMIFS(Dati!$E$2:$E$451,Dati!$A$2:$A$451,$H88,Dati!$H$2:$H$451,$AA88)+SUMIFS(Dati!$L$2:$L$451,Dati!$H$2:$H$451,$H88,Dati!$A$2:$A$451,$AA88),"-")</f>
        <v/>
      </c>
      <c r="BL88" s="22">
        <f>IF(AND($H88&lt;&gt;"",$AB88&lt;&gt;"",$H88&lt;&gt;$AB88,IFERROR(VLOOKUP($H88,areaCercaPuntiClassificaSquadra,3,FALSE),-1)=IFERROR(VLOOKUP($AB88,areaCercaPuntiClassificaSquadra,3,FALSE),-2)),SUMIFS(Dati!$E$2:$E$451,Dati!$A$2:$A$451,$H88,Dati!$H$2:$H$451,$AB88)+SUMIFS(Dati!$L$2:$L$451,Dati!$H$2:$H$451,$H88,Dati!$A$2:$A$451,$AB88),"-")</f>
        <v/>
      </c>
      <c r="BM88" s="22">
        <f>IF(AND($H88&lt;&gt;"",$AC88&lt;&gt;"",$H88&lt;&gt;$AC88,IFERROR(VLOOKUP($H88,areaCercaPuntiClassificaSquadra,3,FALSE),-1)=IFERROR(VLOOKUP($AC88,areaCercaPuntiClassificaSquadra,3,FALSE),-2)),SUMIFS(Dati!$E$2:$E$451,Dati!$A$2:$A$451,$H88,Dati!$H$2:$H$451,$AC88)+SUMIFS(Dati!$L$2:$L$451,Dati!$H$2:$H$451,$H88,Dati!$A$2:$A$451,$AC88),"-")</f>
        <v/>
      </c>
      <c r="BN88" s="22">
        <f>IF(AND($H88&lt;&gt;"",$AD88&lt;&gt;"",$H88&lt;&gt;$AD88,IFERROR(VLOOKUP($H88,areaCercaPuntiClassificaSquadra,3,FALSE),-1)=IFERROR(VLOOKUP($AD88,areaCercaPuntiClassificaSquadra,3,FALSE),-2)),SUMIFS(Dati!$E$2:$E$451,Dati!$A$2:$A$451,$H88,Dati!$H$2:$H$451,$AD88)+SUMIFS(Dati!$L$2:$L$451,Dati!$H$2:$H$451,$H88,Dati!$A$2:$A$451,$AD88),"-")</f>
        <v/>
      </c>
      <c r="BO88" s="22">
        <f>IF(AND($H88&lt;&gt;"",$AE88&lt;&gt;"",$H88&lt;&gt;$AE88,IFERROR(VLOOKUP($H88,areaCercaPuntiClassificaSquadra,3,FALSE),-1)=IFERROR(VLOOKUP($AE88,areaCercaPuntiClassificaSquadra,3,FALSE),-2)),SUMIFS(Dati!$E$2:$E$451,Dati!$A$2:$A$451,$H88,Dati!$H$2:$H$451,$AE88)+SUMIFS(Dati!$L$2:$L$451,Dati!$H$2:$H$451,$H88,Dati!$A$2:$A$451,$AE88),"-")</f>
        <v/>
      </c>
      <c r="BP88" s="22">
        <f>IF(AND($H88&lt;&gt;"",$AF88&lt;&gt;"",$H88&lt;&gt;$AF88,IFERROR(VLOOKUP($H88,areaCercaPuntiClassificaSquadra,3,FALSE),-1)=IFERROR(VLOOKUP($AF88,areaCercaPuntiClassificaSquadra,3,FALSE),-2)),SUMIFS(Dati!$E$2:$E$451,Dati!$A$2:$A$451,$H88,Dati!$H$2:$H$451,$AF88)+SUMIFS(Dati!$L$2:$L$451,Dati!$H$2:$H$451,$H88,Dati!$A$2:$A$451,$AF88),"-")</f>
        <v/>
      </c>
      <c r="BQ88" s="22">
        <f>IF(AND($H88&lt;&gt;"",$AG88&lt;&gt;"",$H88&lt;&gt;$AG88,IFERROR(VLOOKUP($H88,areaCercaPuntiClassificaSquadra,3,FALSE),-1)=IFERROR(VLOOKUP($AG88,areaCercaPuntiClassificaSquadra,3,FALSE),-2)),SUMIFS(Dati!$E$2:$E$451,Dati!$A$2:$A$451,$H88,Dati!$H$2:$H$451,$AG88)+SUMIFS(Dati!$L$2:$L$451,Dati!$H$2:$H$451,$H88,Dati!$A$2:$A$451,$AG88),"-")</f>
        <v/>
      </c>
      <c r="BR88" s="22">
        <f>IF(AND($H88&lt;&gt;"",$AH88&lt;&gt;"",$H88&lt;&gt;$AH88,IFERROR(VLOOKUP($H88,areaCercaPuntiClassificaSquadra,3,FALSE),-1)=IFERROR(VLOOKUP($AH88,areaCercaPuntiClassificaSquadra,3,FALSE),-2)),SUMIFS(Dati!$E$2:$E$451,Dati!$A$2:$A$451,$H88,Dati!$H$2:$H$451,$AH88)+SUMIFS(Dati!$L$2:$L$451,Dati!$H$2:$H$451,$H88,Dati!$A$2:$A$451,$AH88),"-")</f>
        <v/>
      </c>
      <c r="BT88" s="21">
        <f>$C88</f>
        <v/>
      </c>
      <c r="BU88" s="22">
        <f>IF(AND($H88&lt;&gt;"",$Y88&lt;&gt;"",$H88&lt;&gt;$Y88,IFERROR(VLOOKUP($H88,areaCercaPuntiClassificaSquadra,3,FALSE),-1)=IFERROR(VLOOKUP($Y88,areaCercaPuntiClassificaSquadra,3,FALSE),-2)),SUMIFS(Dati!$F$2:$F$451,Dati!$A$2:$A$451,$H88,Dati!$H$2:$H$451,$Y88)+SUMIFS(Dati!$M$2:$M$451,Dati!$H$2:$H$451,$H88,Dati!$A$2:$A$451,$Y88),"-")</f>
        <v/>
      </c>
      <c r="BV88" s="22">
        <f>IF(AND($H88&lt;&gt;"",$Z88&lt;&gt;"",$H88&lt;&gt;$Z88,IFERROR(VLOOKUP($H88,areaCercaPuntiClassificaSquadra,3,FALSE),-1)=IFERROR(VLOOKUP($Z88,areaCercaPuntiClassificaSquadra,3,FALSE),-2)),SUMIFS(Dati!$F$2:$F$451,Dati!$A$2:$A$451,$H88,Dati!$H$2:$H$451,$Z88)+SUMIFS(Dati!$M$2:$M$451,Dati!$H$2:$H$451,$H88,Dati!$A$2:$A$451,$Z88),"-")</f>
        <v/>
      </c>
      <c r="BW88" s="22">
        <f>IF(AND($H88&lt;&gt;"",$AA88&lt;&gt;"",$H88&lt;&gt;$AA88,IFERROR(VLOOKUP($H88,areaCercaPuntiClassificaSquadra,3,FALSE),-1)=IFERROR(VLOOKUP($AA88,areaCercaPuntiClassificaSquadra,3,FALSE),-2)),SUMIFS(Dati!$F$2:$F$451,Dati!$A$2:$A$451,$H88,Dati!$H$2:$H$451,$AA88)+SUMIFS(Dati!$M$2:$M$451,Dati!$H$2:$H$451,$H88,Dati!$A$2:$A$451,$AA88),"-")</f>
        <v/>
      </c>
      <c r="BX88" s="22">
        <f>IF(AND($H88&lt;&gt;"",$AB88&lt;&gt;"",$H88&lt;&gt;$AB88,IFERROR(VLOOKUP($H88,areaCercaPuntiClassificaSquadra,3,FALSE),-1)=IFERROR(VLOOKUP($AB88,areaCercaPuntiClassificaSquadra,3,FALSE),-2)),SUMIFS(Dati!$F$2:$F$451,Dati!$A$2:$A$451,$H88,Dati!$H$2:$H$451,$AB88)+SUMIFS(Dati!$M$2:$M$451,Dati!$H$2:$H$451,$H88,Dati!$A$2:$A$451,$AB88),"-")</f>
        <v/>
      </c>
      <c r="BY88" s="22">
        <f>IF(AND($H88&lt;&gt;"",$AC88&lt;&gt;"",$H88&lt;&gt;$AC88,IFERROR(VLOOKUP($H88,areaCercaPuntiClassificaSquadra,3,FALSE),-1)=IFERROR(VLOOKUP($AC88,areaCercaPuntiClassificaSquadra,3,FALSE),-2)),SUMIFS(Dati!$F$2:$F$451,Dati!$A$2:$A$451,$H88,Dati!$H$2:$H$451,$AC88)+SUMIFS(Dati!$M$2:$M$451,Dati!$H$2:$H$451,$H88,Dati!$A$2:$A$451,$AC88),"-")</f>
        <v/>
      </c>
      <c r="BZ88" s="22">
        <f>IF(AND($H88&lt;&gt;"",$AD88&lt;&gt;"",$H88&lt;&gt;$AD88,IFERROR(VLOOKUP($H88,areaCercaPuntiClassificaSquadra,3,FALSE),-1)=IFERROR(VLOOKUP($AD88,areaCercaPuntiClassificaSquadra,3,FALSE),-2)),SUMIFS(Dati!$F$2:$F$451,Dati!$A$2:$A$451,$H88,Dati!$H$2:$H$451,$AD88)+SUMIFS(Dati!$M$2:$M$451,Dati!$H$2:$H$451,$H88,Dati!$A$2:$A$451,$AD88),"-")</f>
        <v/>
      </c>
      <c r="CA88" s="22">
        <f>IF(AND($H88&lt;&gt;"",$AE88&lt;&gt;"",$H88&lt;&gt;$AE88,IFERROR(VLOOKUP($H88,areaCercaPuntiClassificaSquadra,3,FALSE),-1)=IFERROR(VLOOKUP($AE88,areaCercaPuntiClassificaSquadra,3,FALSE),-2)),SUMIFS(Dati!$F$2:$F$451,Dati!$A$2:$A$451,$H88,Dati!$H$2:$H$451,$AE88)+SUMIFS(Dati!$M$2:$M$451,Dati!$H$2:$H$451,$H88,Dati!$A$2:$A$451,$AE88),"-")</f>
        <v/>
      </c>
      <c r="CB88" s="22">
        <f>IF(AND($H88&lt;&gt;"",$AF88&lt;&gt;"",$H88&lt;&gt;$AF88,IFERROR(VLOOKUP($H88,areaCercaPuntiClassificaSquadra,3,FALSE),-1)=IFERROR(VLOOKUP($AF88,areaCercaPuntiClassificaSquadra,3,FALSE),-2)),SUMIFS(Dati!$F$2:$F$451,Dati!$A$2:$A$451,$H88,Dati!$H$2:$H$451,$AF88)+SUMIFS(Dati!$M$2:$M$451,Dati!$H$2:$H$451,$H88,Dati!$A$2:$A$451,$AF88),"-")</f>
        <v/>
      </c>
      <c r="CC88" s="22">
        <f>IF(AND($H88&lt;&gt;"",$AG88&lt;&gt;"",$H88&lt;&gt;$AG88,IFERROR(VLOOKUP($H88,areaCercaPuntiClassificaSquadra,3,FALSE),-1)=IFERROR(VLOOKUP($AG88,areaCercaPuntiClassificaSquadra,3,FALSE),-2)),SUMIFS(Dati!$F$2:$F$451,Dati!$A$2:$A$451,$H88,Dati!$H$2:$H$451,$AG88)+SUMIFS(Dati!$M$2:$M$451,Dati!$H$2:$H$451,$H88,Dati!$A$2:$A$451,$AG88),"-")</f>
        <v/>
      </c>
      <c r="CD88" s="22">
        <f>IF(AND($H88&lt;&gt;"",$AH88&lt;&gt;"",$H88&lt;&gt;$AH88,IFERROR(VLOOKUP($H88,areaCercaPuntiClassificaSquadra,3,FALSE),-1)=IFERROR(VLOOKUP($AH88,areaCercaPuntiClassificaSquadra,3,FALSE),-2)),SUMIFS(Dati!$F$2:$F$451,Dati!$A$2:$A$451,$H88,Dati!$H$2:$H$451,$AH88)+SUMIFS(Dati!$M$2:$M$451,Dati!$H$2:$H$451,$H88,Dati!$A$2:$A$451,$AH88),"-")</f>
        <v/>
      </c>
      <c r="CF88" s="22">
        <f>IF($C88="","",SUM(AK88:AT88))</f>
        <v/>
      </c>
    </row>
    <row r="89">
      <c r="B89" s="12" t="inlineStr">
        <is>
          <t>H06</t>
        </is>
      </c>
      <c r="C89" s="13" t="n"/>
      <c r="D89" s="14" t="n"/>
      <c r="E89" s="35" t="inlineStr">
        <is>
          <t>H</t>
        </is>
      </c>
      <c r="G89" s="36">
        <f>IF($C89="","",$E89&amp;(COUNTIFS(I$14:I$113,"&gt;"&amp;I89,E$14:E$113,"="&amp;E89,C$14:C$113,"&lt;&gt;")+COUNTIFS(I$14:I$113,"="&amp;I89,H$14:H$113,"&lt;="&amp;H89,E$14:E$113,"="&amp;E89,C$14:C$113,"&lt;&gt;")))</f>
        <v/>
      </c>
      <c r="H89" s="17">
        <f>IF($C89="","",IFERROR(LEFT($C89,FIND("-",$C89)-1),$C89))</f>
        <v/>
      </c>
      <c r="I89" s="12">
        <f>TEXT(1000000000+J89,"|0000000000|")&amp;TEXT(SUM(AK89:AT89),"0000000000|")&amp;IF(SUM(BU89:CD89)=0,"0000000000|",TEXT(ROUND(SUM(BI89:BR89)/SUM(BU89:CD89),4)*100000,"0000000000|"))&amp;IF(P89=0,"0000000000|",TEXT(ROUND(O89/P89,4)*100000,"0000000000|"))</f>
        <v/>
      </c>
      <c r="J89" s="36">
        <f>L89*constPuntiVittoria+M89*constPuntiSconfitta+N89*constPuntiForfait+IF(D89="",0,D89)</f>
        <v/>
      </c>
      <c r="K89" s="12">
        <f>SUM(L89:N89)</f>
        <v/>
      </c>
      <c r="L89" s="12">
        <f>IF($H89="",0,SUMIF(Dati!$A$2:$A$451,$H89,Dati!$B$2:$B$451)+SUMIF(Dati!$H$2:$H$451,$H89,Dati!$I$2:$I$451))</f>
        <v/>
      </c>
      <c r="M89" s="12">
        <f>IF($H89="",0,SUMIF(Dati!$A$2:$A$451,$H89,Dati!$D$2:$D$451)+SUMIF(Dati!$H$2:$H$451,$H89,Dati!$K$2:$K$451))</f>
        <v/>
      </c>
      <c r="N89" s="12">
        <f>IF($H89="",0,SUMIF(Dati!$A$2:$A$451,$H89,Dati!$C$2:$C$451)+SUMIF(Dati!$H$2:$H$451,$H89,Dati!$J$2:$J$451))</f>
        <v/>
      </c>
      <c r="O89" s="12">
        <f>IF($H89="",0,SUMIF(Dati!$A$2:$A$451,$H89,Dati!$E$2:$E$451)+SUMIF(Dati!$H$2:$H$451,$H89,Dati!$L$2:$L$451))</f>
        <v/>
      </c>
      <c r="P89" s="12">
        <f>IF($H89="",0,SUMIF(Dati!$A$2:$A$451,$H89,Dati!$F$2:$F$451)+SUMIF(Dati!$H$2:$H$451,$H89,Dati!$M$2:$M$451))</f>
        <v/>
      </c>
      <c r="Q89" s="12">
        <f>IF($H89="",0,SUMIF(Dati!$A$2:$A$451,$H89,Dati!$G$2:$G$451)+SUMIF(Dati!$H$2:$H$451,$H89,Dati!$N$2:$N$451))</f>
        <v/>
      </c>
      <c r="R89" s="12">
        <f>IF(K89=0,0,ROUND(O89/K89,2))</f>
        <v/>
      </c>
      <c r="S89" s="12">
        <f>IF(K89=0,0,ROUND(P89/K89,2))</f>
        <v/>
      </c>
      <c r="T89" s="12">
        <f>IF(K89=0,0,ROUND(Q89/K89,2))</f>
        <v/>
      </c>
      <c r="U89" s="12">
        <f>IF(COUNTIFS($E$14:$E$113,$E89,$J$14:$J$113,$J89,$C$14:$C$113,"&lt;&gt;")&lt;=1,"-",SUM(AK89:AT89)&amp;"-"&amp;SUM(AW89:BF89))</f>
        <v/>
      </c>
      <c r="V89" s="18">
        <f>IF(COUNTIFS($E$14:$E$113,$E89,$J$14:$J$113,$J89,$C$14:$C$113,"&lt;&gt;",$CF$14:$CF$113,$CF89)&lt;=1,"-",IF(SUM(BU89:CD89)=0,0,ROUND(SUM(BI89:BR89)/SUM(BU89:CD89),3)))</f>
        <v/>
      </c>
      <c r="W89" s="18">
        <f>IF(COUNTIFS($E$14:$E$113,$E89,$J$14:$J$113,$J89,$C$14:$C$113,"&lt;&gt;",$CF$14:$CF$113,$CF89,$V$14:$V$113,$V89)&lt;=1,"-",IF(P89=0,0,ROUND(O89/P89,3)))</f>
        <v/>
      </c>
      <c r="X89" s="19">
        <f>IF($C89="","",$E89&amp;"#"&amp;COUNTIFS($E$14:$E89,$E89,$C$14:$C89,"&lt;&gt;"))</f>
        <v/>
      </c>
      <c r="Y89" s="20">
        <f>IFERROR(INDEX($H$14:$H$113,MATCH($E89&amp;"#1",$X$14:$X$113,0)),"")</f>
        <v/>
      </c>
      <c r="Z89" s="20">
        <f>IFERROR(INDEX($H$14:$H$113,MATCH($E89&amp;"#2",$X$14:$X$113,0)),"")</f>
        <v/>
      </c>
      <c r="AA89" s="20">
        <f>IFERROR(INDEX($H$14:$H$113,MATCH($E89&amp;"#3",$X$14:$X$113,0)),"")</f>
        <v/>
      </c>
      <c r="AB89" s="20">
        <f>IFERROR(INDEX($H$14:$H$113,MATCH($E89&amp;"#4",$X$14:$X$113,0)),"")</f>
        <v/>
      </c>
      <c r="AC89" s="20">
        <f>IFERROR(INDEX($H$14:$H$113,MATCH($E89&amp;"#5",$X$14:$X$113,0)),"")</f>
        <v/>
      </c>
      <c r="AD89" s="20">
        <f>IFERROR(INDEX($H$14:$H$113,MATCH($E89&amp;"#6",$X$14:$X$113,0)),"")</f>
        <v/>
      </c>
      <c r="AE89" s="20">
        <f>IFERROR(INDEX($H$14:$H$113,MATCH($E89&amp;"#7",$X$14:$X$113,0)),"")</f>
        <v/>
      </c>
      <c r="AF89" s="20">
        <f>IFERROR(INDEX($H$14:$H$113,MATCH($E89&amp;"#8",$X$14:$X$113,0)),"")</f>
        <v/>
      </c>
      <c r="AG89" s="20">
        <f>IFERROR(INDEX($H$14:$H$113,MATCH($E89&amp;"#9",$X$14:$X$113,0)),"")</f>
        <v/>
      </c>
      <c r="AH89" s="20">
        <f>IFERROR(INDEX($H$14:$H$113,MATCH($E89&amp;"#10",$X$14:$X$113,0)),"")</f>
        <v/>
      </c>
      <c r="AJ89" s="21">
        <f>$C89</f>
        <v/>
      </c>
      <c r="AK89" s="22">
        <f>IF(AND($H89&lt;&gt;"",$Y89&lt;&gt;"",$H89&lt;&gt;$Y89,IFERROR(VLOOKUP($H89,areaCercaPuntiClassificaSquadra,3,FALSE),-1)=IFERROR(VLOOKUP($Y89,areaCercaPuntiClassificaSquadra,3,FALSE),-2)),SUMIFS(Dati!$B$2:$B$451,Dati!$A$2:$A$451,$H89,Dati!$H$2:$H$451,$Y89)+SUMIFS(Dati!$I$2:$I$451,Dati!$H$2:$H$451,$H89,Dati!$A$2:$A$451,$Y89),"-")</f>
        <v/>
      </c>
      <c r="AL89" s="22">
        <f>IF(AND($H89&lt;&gt;"",$Z89&lt;&gt;"",$H89&lt;&gt;$Z89,IFERROR(VLOOKUP($H89,areaCercaPuntiClassificaSquadra,3,FALSE),-1)=IFERROR(VLOOKUP($Z89,areaCercaPuntiClassificaSquadra,3,FALSE),-2)),SUMIFS(Dati!$B$2:$B$451,Dati!$A$2:$A$451,$H89,Dati!$H$2:$H$451,$Z89)+SUMIFS(Dati!$I$2:$I$451,Dati!$H$2:$H$451,$H89,Dati!$A$2:$A$451,$Z89),"-")</f>
        <v/>
      </c>
      <c r="AM89" s="22">
        <f>IF(AND($H89&lt;&gt;"",$AA89&lt;&gt;"",$H89&lt;&gt;$AA89,IFERROR(VLOOKUP($H89,areaCercaPuntiClassificaSquadra,3,FALSE),-1)=IFERROR(VLOOKUP($AA89,areaCercaPuntiClassificaSquadra,3,FALSE),-2)),SUMIFS(Dati!$B$2:$B$451,Dati!$A$2:$A$451,$H89,Dati!$H$2:$H$451,$AA89)+SUMIFS(Dati!$I$2:$I$451,Dati!$H$2:$H$451,$H89,Dati!$A$2:$A$451,$AA89),"-")</f>
        <v/>
      </c>
      <c r="AN89" s="22">
        <f>IF(AND($H89&lt;&gt;"",$AB89&lt;&gt;"",$H89&lt;&gt;$AB89,IFERROR(VLOOKUP($H89,areaCercaPuntiClassificaSquadra,3,FALSE),-1)=IFERROR(VLOOKUP($AB89,areaCercaPuntiClassificaSquadra,3,FALSE),-2)),SUMIFS(Dati!$B$2:$B$451,Dati!$A$2:$A$451,$H89,Dati!$H$2:$H$451,$AB89)+SUMIFS(Dati!$I$2:$I$451,Dati!$H$2:$H$451,$H89,Dati!$A$2:$A$451,$AB89),"-")</f>
        <v/>
      </c>
      <c r="AO89" s="22">
        <f>IF(AND($H89&lt;&gt;"",$AC89&lt;&gt;"",$H89&lt;&gt;$AC89,IFERROR(VLOOKUP($H89,areaCercaPuntiClassificaSquadra,3,FALSE),-1)=IFERROR(VLOOKUP($AC89,areaCercaPuntiClassificaSquadra,3,FALSE),-2)),SUMIFS(Dati!$B$2:$B$451,Dati!$A$2:$A$451,$H89,Dati!$H$2:$H$451,$AC89)+SUMIFS(Dati!$I$2:$I$451,Dati!$H$2:$H$451,$H89,Dati!$A$2:$A$451,$AC89),"-")</f>
        <v/>
      </c>
      <c r="AP89" s="22">
        <f>IF(AND($H89&lt;&gt;"",$AD89&lt;&gt;"",$H89&lt;&gt;$AD89,IFERROR(VLOOKUP($H89,areaCercaPuntiClassificaSquadra,3,FALSE),-1)=IFERROR(VLOOKUP($AD89,areaCercaPuntiClassificaSquadra,3,FALSE),-2)),SUMIFS(Dati!$B$2:$B$451,Dati!$A$2:$A$451,$H89,Dati!$H$2:$H$451,$AD89)+SUMIFS(Dati!$I$2:$I$451,Dati!$H$2:$H$451,$H89,Dati!$A$2:$A$451,$AD89),"-")</f>
        <v/>
      </c>
      <c r="AQ89" s="22">
        <f>IF(AND($H89&lt;&gt;"",$AE89&lt;&gt;"",$H89&lt;&gt;$AE89,IFERROR(VLOOKUP($H89,areaCercaPuntiClassificaSquadra,3,FALSE),-1)=IFERROR(VLOOKUP($AE89,areaCercaPuntiClassificaSquadra,3,FALSE),-2)),SUMIFS(Dati!$B$2:$B$451,Dati!$A$2:$A$451,$H89,Dati!$H$2:$H$451,$AE89)+SUMIFS(Dati!$I$2:$I$451,Dati!$H$2:$H$451,$H89,Dati!$A$2:$A$451,$AE89),"-")</f>
        <v/>
      </c>
      <c r="AR89" s="22">
        <f>IF(AND($H89&lt;&gt;"",$AF89&lt;&gt;"",$H89&lt;&gt;$AF89,IFERROR(VLOOKUP($H89,areaCercaPuntiClassificaSquadra,3,FALSE),-1)=IFERROR(VLOOKUP($AF89,areaCercaPuntiClassificaSquadra,3,FALSE),-2)),SUMIFS(Dati!$B$2:$B$451,Dati!$A$2:$A$451,$H89,Dati!$H$2:$H$451,$AF89)+SUMIFS(Dati!$I$2:$I$451,Dati!$H$2:$H$451,$H89,Dati!$A$2:$A$451,$AF89),"-")</f>
        <v/>
      </c>
      <c r="AS89" s="22">
        <f>IF(AND($H89&lt;&gt;"",$AG89&lt;&gt;"",$H89&lt;&gt;$AG89,IFERROR(VLOOKUP($H89,areaCercaPuntiClassificaSquadra,3,FALSE),-1)=IFERROR(VLOOKUP($AG89,areaCercaPuntiClassificaSquadra,3,FALSE),-2)),SUMIFS(Dati!$B$2:$B$451,Dati!$A$2:$A$451,$H89,Dati!$H$2:$H$451,$AG89)+SUMIFS(Dati!$I$2:$I$451,Dati!$H$2:$H$451,$H89,Dati!$A$2:$A$451,$AG89),"-")</f>
        <v/>
      </c>
      <c r="AT89" s="22">
        <f>IF(AND($H89&lt;&gt;"",$AH89&lt;&gt;"",$H89&lt;&gt;$AH89,IFERROR(VLOOKUP($H89,areaCercaPuntiClassificaSquadra,3,FALSE),-1)=IFERROR(VLOOKUP($AH89,areaCercaPuntiClassificaSquadra,3,FALSE),-2)),SUMIFS(Dati!$B$2:$B$451,Dati!$A$2:$A$451,$H89,Dati!$H$2:$H$451,$AH89)+SUMIFS(Dati!$I$2:$I$451,Dati!$H$2:$H$451,$H89,Dati!$A$2:$A$451,$AH89),"-")</f>
        <v/>
      </c>
      <c r="AV89" s="21">
        <f>$C89</f>
        <v/>
      </c>
      <c r="AW89" s="22">
        <f>IF(AND($H89&lt;&gt;"",$Y89&lt;&gt;"",$H89&lt;&gt;$Y89,IFERROR(VLOOKUP($H89,areaCercaPuntiClassificaSquadra,3,FALSE),-1)=IFERROR(VLOOKUP($Y89,areaCercaPuntiClassificaSquadra,3,FALSE),-2)),SUMIFS(Dati!$D$2:$D$451,Dati!$A$2:$A$451,$H89,Dati!$H$2:$H$451,$Y89)+SUMIFS(Dati!$K$2:$K$451,Dati!$H$2:$H$451,$H89,Dati!$A$2:$A$451,$Y89)+SUMIFS(Dati!$C$2:$C$451,Dati!$A$2:$A$451,$H89,Dati!$H$2:$H$451,$Y89)+SUMIFS(Dati!$J$2:$J$451,Dati!$H$2:$H$451,$H89,Dati!$A$2:$A$451,$Y89),"-")</f>
        <v/>
      </c>
      <c r="AX89" s="22">
        <f>IF(AND($H89&lt;&gt;"",$Z89&lt;&gt;"",$H89&lt;&gt;$Z89,IFERROR(VLOOKUP($H89,areaCercaPuntiClassificaSquadra,3,FALSE),-1)=IFERROR(VLOOKUP($Z89,areaCercaPuntiClassificaSquadra,3,FALSE),-2)),SUMIFS(Dati!$D$2:$D$451,Dati!$A$2:$A$451,$H89,Dati!$H$2:$H$451,$Z89)+SUMIFS(Dati!$K$2:$K$451,Dati!$H$2:$H$451,$H89,Dati!$A$2:$A$451,$Z89)+SUMIFS(Dati!$C$2:$C$451,Dati!$A$2:$A$451,$H89,Dati!$H$2:$H$451,$Z89)+SUMIFS(Dati!$J$2:$J$451,Dati!$H$2:$H$451,$H89,Dati!$A$2:$A$451,$Z89),"-")</f>
        <v/>
      </c>
      <c r="AY89" s="22">
        <f>IF(AND($H89&lt;&gt;"",$AA89&lt;&gt;"",$H89&lt;&gt;$AA89,IFERROR(VLOOKUP($H89,areaCercaPuntiClassificaSquadra,3,FALSE),-1)=IFERROR(VLOOKUP($AA89,areaCercaPuntiClassificaSquadra,3,FALSE),-2)),SUMIFS(Dati!$D$2:$D$451,Dati!$A$2:$A$451,$H89,Dati!$H$2:$H$451,$AA89)+SUMIFS(Dati!$K$2:$K$451,Dati!$H$2:$H$451,$H89,Dati!$A$2:$A$451,$AA89)+SUMIFS(Dati!$C$2:$C$451,Dati!$A$2:$A$451,$H89,Dati!$H$2:$H$451,$AA89)+SUMIFS(Dati!$J$2:$J$451,Dati!$H$2:$H$451,$H89,Dati!$A$2:$A$451,$AA89),"-")</f>
        <v/>
      </c>
      <c r="AZ89" s="22">
        <f>IF(AND($H89&lt;&gt;"",$AB89&lt;&gt;"",$H89&lt;&gt;$AB89,IFERROR(VLOOKUP($H89,areaCercaPuntiClassificaSquadra,3,FALSE),-1)=IFERROR(VLOOKUP($AB89,areaCercaPuntiClassificaSquadra,3,FALSE),-2)),SUMIFS(Dati!$D$2:$D$451,Dati!$A$2:$A$451,$H89,Dati!$H$2:$H$451,$AB89)+SUMIFS(Dati!$K$2:$K$451,Dati!$H$2:$H$451,$H89,Dati!$A$2:$A$451,$AB89)+SUMIFS(Dati!$C$2:$C$451,Dati!$A$2:$A$451,$H89,Dati!$H$2:$H$451,$AB89)+SUMIFS(Dati!$J$2:$J$451,Dati!$H$2:$H$451,$H89,Dati!$A$2:$A$451,$AB89),"-")</f>
        <v/>
      </c>
      <c r="BA89" s="22">
        <f>IF(AND($H89&lt;&gt;"",$AC89&lt;&gt;"",$H89&lt;&gt;$AC89,IFERROR(VLOOKUP($H89,areaCercaPuntiClassificaSquadra,3,FALSE),-1)=IFERROR(VLOOKUP($AC89,areaCercaPuntiClassificaSquadra,3,FALSE),-2)),SUMIFS(Dati!$D$2:$D$451,Dati!$A$2:$A$451,$H89,Dati!$H$2:$H$451,$AC89)+SUMIFS(Dati!$K$2:$K$451,Dati!$H$2:$H$451,$H89,Dati!$A$2:$A$451,$AC89)+SUMIFS(Dati!$C$2:$C$451,Dati!$A$2:$A$451,$H89,Dati!$H$2:$H$451,$AC89)+SUMIFS(Dati!$J$2:$J$451,Dati!$H$2:$H$451,$H89,Dati!$A$2:$A$451,$AC89),"-")</f>
        <v/>
      </c>
      <c r="BB89" s="22">
        <f>IF(AND($H89&lt;&gt;"",$AD89&lt;&gt;"",$H89&lt;&gt;$AD89,IFERROR(VLOOKUP($H89,areaCercaPuntiClassificaSquadra,3,FALSE),-1)=IFERROR(VLOOKUP($AD89,areaCercaPuntiClassificaSquadra,3,FALSE),-2)),SUMIFS(Dati!$D$2:$D$451,Dati!$A$2:$A$451,$H89,Dati!$H$2:$H$451,$AD89)+SUMIFS(Dati!$K$2:$K$451,Dati!$H$2:$H$451,$H89,Dati!$A$2:$A$451,$AD89)+SUMIFS(Dati!$C$2:$C$451,Dati!$A$2:$A$451,$H89,Dati!$H$2:$H$451,$AD89)+SUMIFS(Dati!$J$2:$J$451,Dati!$H$2:$H$451,$H89,Dati!$A$2:$A$451,$AD89),"-")</f>
        <v/>
      </c>
      <c r="BC89" s="22">
        <f>IF(AND($H89&lt;&gt;"",$AE89&lt;&gt;"",$H89&lt;&gt;$AE89,IFERROR(VLOOKUP($H89,areaCercaPuntiClassificaSquadra,3,FALSE),-1)=IFERROR(VLOOKUP($AE89,areaCercaPuntiClassificaSquadra,3,FALSE),-2)),SUMIFS(Dati!$D$2:$D$451,Dati!$A$2:$A$451,$H89,Dati!$H$2:$H$451,$AE89)+SUMIFS(Dati!$K$2:$K$451,Dati!$H$2:$H$451,$H89,Dati!$A$2:$A$451,$AE89)+SUMIFS(Dati!$C$2:$C$451,Dati!$A$2:$A$451,$H89,Dati!$H$2:$H$451,$AE89)+SUMIFS(Dati!$J$2:$J$451,Dati!$H$2:$H$451,$H89,Dati!$A$2:$A$451,$AE89),"-")</f>
        <v/>
      </c>
      <c r="BD89" s="22">
        <f>IF(AND($H89&lt;&gt;"",$AF89&lt;&gt;"",$H89&lt;&gt;$AF89,IFERROR(VLOOKUP($H89,areaCercaPuntiClassificaSquadra,3,FALSE),-1)=IFERROR(VLOOKUP($AF89,areaCercaPuntiClassificaSquadra,3,FALSE),-2)),SUMIFS(Dati!$D$2:$D$451,Dati!$A$2:$A$451,$H89,Dati!$H$2:$H$451,$AF89)+SUMIFS(Dati!$K$2:$K$451,Dati!$H$2:$H$451,$H89,Dati!$A$2:$A$451,$AF89)+SUMIFS(Dati!$C$2:$C$451,Dati!$A$2:$A$451,$H89,Dati!$H$2:$H$451,$AF89)+SUMIFS(Dati!$J$2:$J$451,Dati!$H$2:$H$451,$H89,Dati!$A$2:$A$451,$AF89),"-")</f>
        <v/>
      </c>
      <c r="BE89" s="22">
        <f>IF(AND($H89&lt;&gt;"",$AG89&lt;&gt;"",$H89&lt;&gt;$AG89,IFERROR(VLOOKUP($H89,areaCercaPuntiClassificaSquadra,3,FALSE),-1)=IFERROR(VLOOKUP($AG89,areaCercaPuntiClassificaSquadra,3,FALSE),-2)),SUMIFS(Dati!$D$2:$D$451,Dati!$A$2:$A$451,$H89,Dati!$H$2:$H$451,$AG89)+SUMIFS(Dati!$K$2:$K$451,Dati!$H$2:$H$451,$H89,Dati!$A$2:$A$451,$AG89)+SUMIFS(Dati!$C$2:$C$451,Dati!$A$2:$A$451,$H89,Dati!$H$2:$H$451,$AG89)+SUMIFS(Dati!$J$2:$J$451,Dati!$H$2:$H$451,$H89,Dati!$A$2:$A$451,$AG89),"-")</f>
        <v/>
      </c>
      <c r="BF89" s="22">
        <f>IF(AND($H89&lt;&gt;"",$AH89&lt;&gt;"",$H89&lt;&gt;$AH89,IFERROR(VLOOKUP($H89,areaCercaPuntiClassificaSquadra,3,FALSE),-1)=IFERROR(VLOOKUP($AH89,areaCercaPuntiClassificaSquadra,3,FALSE),-2)),SUMIFS(Dati!$D$2:$D$451,Dati!$A$2:$A$451,$H89,Dati!$H$2:$H$451,$AH89)+SUMIFS(Dati!$K$2:$K$451,Dati!$H$2:$H$451,$H89,Dati!$A$2:$A$451,$AH89)+SUMIFS(Dati!$C$2:$C$451,Dati!$A$2:$A$451,$H89,Dati!$H$2:$H$451,$AH89)+SUMIFS(Dati!$J$2:$J$451,Dati!$H$2:$H$451,$H89,Dati!$A$2:$A$451,$AH89),"-")</f>
        <v/>
      </c>
      <c r="BH89" s="21">
        <f>$C89</f>
        <v/>
      </c>
      <c r="BI89" s="22">
        <f>IF(AND($H89&lt;&gt;"",$Y89&lt;&gt;"",$H89&lt;&gt;$Y89,IFERROR(VLOOKUP($H89,areaCercaPuntiClassificaSquadra,3,FALSE),-1)=IFERROR(VLOOKUP($Y89,areaCercaPuntiClassificaSquadra,3,FALSE),-2)),SUMIFS(Dati!$E$2:$E$451,Dati!$A$2:$A$451,$H89,Dati!$H$2:$H$451,$Y89)+SUMIFS(Dati!$L$2:$L$451,Dati!$H$2:$H$451,$H89,Dati!$A$2:$A$451,$Y89),"-")</f>
        <v/>
      </c>
      <c r="BJ89" s="22">
        <f>IF(AND($H89&lt;&gt;"",$Z89&lt;&gt;"",$H89&lt;&gt;$Z89,IFERROR(VLOOKUP($H89,areaCercaPuntiClassificaSquadra,3,FALSE),-1)=IFERROR(VLOOKUP($Z89,areaCercaPuntiClassificaSquadra,3,FALSE),-2)),SUMIFS(Dati!$E$2:$E$451,Dati!$A$2:$A$451,$H89,Dati!$H$2:$H$451,$Z89)+SUMIFS(Dati!$L$2:$L$451,Dati!$H$2:$H$451,$H89,Dati!$A$2:$A$451,$Z89),"-")</f>
        <v/>
      </c>
      <c r="BK89" s="22">
        <f>IF(AND($H89&lt;&gt;"",$AA89&lt;&gt;"",$H89&lt;&gt;$AA89,IFERROR(VLOOKUP($H89,areaCercaPuntiClassificaSquadra,3,FALSE),-1)=IFERROR(VLOOKUP($AA89,areaCercaPuntiClassificaSquadra,3,FALSE),-2)),SUMIFS(Dati!$E$2:$E$451,Dati!$A$2:$A$451,$H89,Dati!$H$2:$H$451,$AA89)+SUMIFS(Dati!$L$2:$L$451,Dati!$H$2:$H$451,$H89,Dati!$A$2:$A$451,$AA89),"-")</f>
        <v/>
      </c>
      <c r="BL89" s="22">
        <f>IF(AND($H89&lt;&gt;"",$AB89&lt;&gt;"",$H89&lt;&gt;$AB89,IFERROR(VLOOKUP($H89,areaCercaPuntiClassificaSquadra,3,FALSE),-1)=IFERROR(VLOOKUP($AB89,areaCercaPuntiClassificaSquadra,3,FALSE),-2)),SUMIFS(Dati!$E$2:$E$451,Dati!$A$2:$A$451,$H89,Dati!$H$2:$H$451,$AB89)+SUMIFS(Dati!$L$2:$L$451,Dati!$H$2:$H$451,$H89,Dati!$A$2:$A$451,$AB89),"-")</f>
        <v/>
      </c>
      <c r="BM89" s="22">
        <f>IF(AND($H89&lt;&gt;"",$AC89&lt;&gt;"",$H89&lt;&gt;$AC89,IFERROR(VLOOKUP($H89,areaCercaPuntiClassificaSquadra,3,FALSE),-1)=IFERROR(VLOOKUP($AC89,areaCercaPuntiClassificaSquadra,3,FALSE),-2)),SUMIFS(Dati!$E$2:$E$451,Dati!$A$2:$A$451,$H89,Dati!$H$2:$H$451,$AC89)+SUMIFS(Dati!$L$2:$L$451,Dati!$H$2:$H$451,$H89,Dati!$A$2:$A$451,$AC89),"-")</f>
        <v/>
      </c>
      <c r="BN89" s="22">
        <f>IF(AND($H89&lt;&gt;"",$AD89&lt;&gt;"",$H89&lt;&gt;$AD89,IFERROR(VLOOKUP($H89,areaCercaPuntiClassificaSquadra,3,FALSE),-1)=IFERROR(VLOOKUP($AD89,areaCercaPuntiClassificaSquadra,3,FALSE),-2)),SUMIFS(Dati!$E$2:$E$451,Dati!$A$2:$A$451,$H89,Dati!$H$2:$H$451,$AD89)+SUMIFS(Dati!$L$2:$L$451,Dati!$H$2:$H$451,$H89,Dati!$A$2:$A$451,$AD89),"-")</f>
        <v/>
      </c>
      <c r="BO89" s="22">
        <f>IF(AND($H89&lt;&gt;"",$AE89&lt;&gt;"",$H89&lt;&gt;$AE89,IFERROR(VLOOKUP($H89,areaCercaPuntiClassificaSquadra,3,FALSE),-1)=IFERROR(VLOOKUP($AE89,areaCercaPuntiClassificaSquadra,3,FALSE),-2)),SUMIFS(Dati!$E$2:$E$451,Dati!$A$2:$A$451,$H89,Dati!$H$2:$H$451,$AE89)+SUMIFS(Dati!$L$2:$L$451,Dati!$H$2:$H$451,$H89,Dati!$A$2:$A$451,$AE89),"-")</f>
        <v/>
      </c>
      <c r="BP89" s="22">
        <f>IF(AND($H89&lt;&gt;"",$AF89&lt;&gt;"",$H89&lt;&gt;$AF89,IFERROR(VLOOKUP($H89,areaCercaPuntiClassificaSquadra,3,FALSE),-1)=IFERROR(VLOOKUP($AF89,areaCercaPuntiClassificaSquadra,3,FALSE),-2)),SUMIFS(Dati!$E$2:$E$451,Dati!$A$2:$A$451,$H89,Dati!$H$2:$H$451,$AF89)+SUMIFS(Dati!$L$2:$L$451,Dati!$H$2:$H$451,$H89,Dati!$A$2:$A$451,$AF89),"-")</f>
        <v/>
      </c>
      <c r="BQ89" s="22">
        <f>IF(AND($H89&lt;&gt;"",$AG89&lt;&gt;"",$H89&lt;&gt;$AG89,IFERROR(VLOOKUP($H89,areaCercaPuntiClassificaSquadra,3,FALSE),-1)=IFERROR(VLOOKUP($AG89,areaCercaPuntiClassificaSquadra,3,FALSE),-2)),SUMIFS(Dati!$E$2:$E$451,Dati!$A$2:$A$451,$H89,Dati!$H$2:$H$451,$AG89)+SUMIFS(Dati!$L$2:$L$451,Dati!$H$2:$H$451,$H89,Dati!$A$2:$A$451,$AG89),"-")</f>
        <v/>
      </c>
      <c r="BR89" s="22">
        <f>IF(AND($H89&lt;&gt;"",$AH89&lt;&gt;"",$H89&lt;&gt;$AH89,IFERROR(VLOOKUP($H89,areaCercaPuntiClassificaSquadra,3,FALSE),-1)=IFERROR(VLOOKUP($AH89,areaCercaPuntiClassificaSquadra,3,FALSE),-2)),SUMIFS(Dati!$E$2:$E$451,Dati!$A$2:$A$451,$H89,Dati!$H$2:$H$451,$AH89)+SUMIFS(Dati!$L$2:$L$451,Dati!$H$2:$H$451,$H89,Dati!$A$2:$A$451,$AH89),"-")</f>
        <v/>
      </c>
      <c r="BT89" s="21">
        <f>$C89</f>
        <v/>
      </c>
      <c r="BU89" s="22">
        <f>IF(AND($H89&lt;&gt;"",$Y89&lt;&gt;"",$H89&lt;&gt;$Y89,IFERROR(VLOOKUP($H89,areaCercaPuntiClassificaSquadra,3,FALSE),-1)=IFERROR(VLOOKUP($Y89,areaCercaPuntiClassificaSquadra,3,FALSE),-2)),SUMIFS(Dati!$F$2:$F$451,Dati!$A$2:$A$451,$H89,Dati!$H$2:$H$451,$Y89)+SUMIFS(Dati!$M$2:$M$451,Dati!$H$2:$H$451,$H89,Dati!$A$2:$A$451,$Y89),"-")</f>
        <v/>
      </c>
      <c r="BV89" s="22">
        <f>IF(AND($H89&lt;&gt;"",$Z89&lt;&gt;"",$H89&lt;&gt;$Z89,IFERROR(VLOOKUP($H89,areaCercaPuntiClassificaSquadra,3,FALSE),-1)=IFERROR(VLOOKUP($Z89,areaCercaPuntiClassificaSquadra,3,FALSE),-2)),SUMIFS(Dati!$F$2:$F$451,Dati!$A$2:$A$451,$H89,Dati!$H$2:$H$451,$Z89)+SUMIFS(Dati!$M$2:$M$451,Dati!$H$2:$H$451,$H89,Dati!$A$2:$A$451,$Z89),"-")</f>
        <v/>
      </c>
      <c r="BW89" s="22">
        <f>IF(AND($H89&lt;&gt;"",$AA89&lt;&gt;"",$H89&lt;&gt;$AA89,IFERROR(VLOOKUP($H89,areaCercaPuntiClassificaSquadra,3,FALSE),-1)=IFERROR(VLOOKUP($AA89,areaCercaPuntiClassificaSquadra,3,FALSE),-2)),SUMIFS(Dati!$F$2:$F$451,Dati!$A$2:$A$451,$H89,Dati!$H$2:$H$451,$AA89)+SUMIFS(Dati!$M$2:$M$451,Dati!$H$2:$H$451,$H89,Dati!$A$2:$A$451,$AA89),"-")</f>
        <v/>
      </c>
      <c r="BX89" s="22">
        <f>IF(AND($H89&lt;&gt;"",$AB89&lt;&gt;"",$H89&lt;&gt;$AB89,IFERROR(VLOOKUP($H89,areaCercaPuntiClassificaSquadra,3,FALSE),-1)=IFERROR(VLOOKUP($AB89,areaCercaPuntiClassificaSquadra,3,FALSE),-2)),SUMIFS(Dati!$F$2:$F$451,Dati!$A$2:$A$451,$H89,Dati!$H$2:$H$451,$AB89)+SUMIFS(Dati!$M$2:$M$451,Dati!$H$2:$H$451,$H89,Dati!$A$2:$A$451,$AB89),"-")</f>
        <v/>
      </c>
      <c r="BY89" s="22">
        <f>IF(AND($H89&lt;&gt;"",$AC89&lt;&gt;"",$H89&lt;&gt;$AC89,IFERROR(VLOOKUP($H89,areaCercaPuntiClassificaSquadra,3,FALSE),-1)=IFERROR(VLOOKUP($AC89,areaCercaPuntiClassificaSquadra,3,FALSE),-2)),SUMIFS(Dati!$F$2:$F$451,Dati!$A$2:$A$451,$H89,Dati!$H$2:$H$451,$AC89)+SUMIFS(Dati!$M$2:$M$451,Dati!$H$2:$H$451,$H89,Dati!$A$2:$A$451,$AC89),"-")</f>
        <v/>
      </c>
      <c r="BZ89" s="22">
        <f>IF(AND($H89&lt;&gt;"",$AD89&lt;&gt;"",$H89&lt;&gt;$AD89,IFERROR(VLOOKUP($H89,areaCercaPuntiClassificaSquadra,3,FALSE),-1)=IFERROR(VLOOKUP($AD89,areaCercaPuntiClassificaSquadra,3,FALSE),-2)),SUMIFS(Dati!$F$2:$F$451,Dati!$A$2:$A$451,$H89,Dati!$H$2:$H$451,$AD89)+SUMIFS(Dati!$M$2:$M$451,Dati!$H$2:$H$451,$H89,Dati!$A$2:$A$451,$AD89),"-")</f>
        <v/>
      </c>
      <c r="CA89" s="22">
        <f>IF(AND($H89&lt;&gt;"",$AE89&lt;&gt;"",$H89&lt;&gt;$AE89,IFERROR(VLOOKUP($H89,areaCercaPuntiClassificaSquadra,3,FALSE),-1)=IFERROR(VLOOKUP($AE89,areaCercaPuntiClassificaSquadra,3,FALSE),-2)),SUMIFS(Dati!$F$2:$F$451,Dati!$A$2:$A$451,$H89,Dati!$H$2:$H$451,$AE89)+SUMIFS(Dati!$M$2:$M$451,Dati!$H$2:$H$451,$H89,Dati!$A$2:$A$451,$AE89),"-")</f>
        <v/>
      </c>
      <c r="CB89" s="22">
        <f>IF(AND($H89&lt;&gt;"",$AF89&lt;&gt;"",$H89&lt;&gt;$AF89,IFERROR(VLOOKUP($H89,areaCercaPuntiClassificaSquadra,3,FALSE),-1)=IFERROR(VLOOKUP($AF89,areaCercaPuntiClassificaSquadra,3,FALSE),-2)),SUMIFS(Dati!$F$2:$F$451,Dati!$A$2:$A$451,$H89,Dati!$H$2:$H$451,$AF89)+SUMIFS(Dati!$M$2:$M$451,Dati!$H$2:$H$451,$H89,Dati!$A$2:$A$451,$AF89),"-")</f>
        <v/>
      </c>
      <c r="CC89" s="22">
        <f>IF(AND($H89&lt;&gt;"",$AG89&lt;&gt;"",$H89&lt;&gt;$AG89,IFERROR(VLOOKUP($H89,areaCercaPuntiClassificaSquadra,3,FALSE),-1)=IFERROR(VLOOKUP($AG89,areaCercaPuntiClassificaSquadra,3,FALSE),-2)),SUMIFS(Dati!$F$2:$F$451,Dati!$A$2:$A$451,$H89,Dati!$H$2:$H$451,$AG89)+SUMIFS(Dati!$M$2:$M$451,Dati!$H$2:$H$451,$H89,Dati!$A$2:$A$451,$AG89),"-")</f>
        <v/>
      </c>
      <c r="CD89" s="22">
        <f>IF(AND($H89&lt;&gt;"",$AH89&lt;&gt;"",$H89&lt;&gt;$AH89,IFERROR(VLOOKUP($H89,areaCercaPuntiClassificaSquadra,3,FALSE),-1)=IFERROR(VLOOKUP($AH89,areaCercaPuntiClassificaSquadra,3,FALSE),-2)),SUMIFS(Dati!$F$2:$F$451,Dati!$A$2:$A$451,$H89,Dati!$H$2:$H$451,$AH89)+SUMIFS(Dati!$M$2:$M$451,Dati!$H$2:$H$451,$H89,Dati!$A$2:$A$451,$AH89),"-")</f>
        <v/>
      </c>
      <c r="CF89" s="22">
        <f>IF($C89="","",SUM(AK89:AT89))</f>
        <v/>
      </c>
    </row>
    <row r="90">
      <c r="B90" s="12" t="inlineStr">
        <is>
          <t>H07</t>
        </is>
      </c>
      <c r="C90" s="13" t="n"/>
      <c r="D90" s="14" t="n"/>
      <c r="E90" s="35" t="inlineStr">
        <is>
          <t>H</t>
        </is>
      </c>
      <c r="G90" s="36">
        <f>IF($C90="","",$E90&amp;(COUNTIFS(I$14:I$113,"&gt;"&amp;I90,E$14:E$113,"="&amp;E90,C$14:C$113,"&lt;&gt;")+COUNTIFS(I$14:I$113,"="&amp;I90,H$14:H$113,"&lt;="&amp;H90,E$14:E$113,"="&amp;E90,C$14:C$113,"&lt;&gt;")))</f>
        <v/>
      </c>
      <c r="H90" s="17">
        <f>IF($C90="","",IFERROR(LEFT($C90,FIND("-",$C90)-1),$C90))</f>
        <v/>
      </c>
      <c r="I90" s="12">
        <f>TEXT(1000000000+J90,"|0000000000|")&amp;TEXT(SUM(AK90:AT90),"0000000000|")&amp;IF(SUM(BU90:CD90)=0,"0000000000|",TEXT(ROUND(SUM(BI90:BR90)/SUM(BU90:CD90),4)*100000,"0000000000|"))&amp;IF(P90=0,"0000000000|",TEXT(ROUND(O90/P90,4)*100000,"0000000000|"))</f>
        <v/>
      </c>
      <c r="J90" s="36">
        <f>L90*constPuntiVittoria+M90*constPuntiSconfitta+N90*constPuntiForfait+IF(D90="",0,D90)</f>
        <v/>
      </c>
      <c r="K90" s="12">
        <f>SUM(L90:N90)</f>
        <v/>
      </c>
      <c r="L90" s="12">
        <f>IF($H90="",0,SUMIF(Dati!$A$2:$A$451,$H90,Dati!$B$2:$B$451)+SUMIF(Dati!$H$2:$H$451,$H90,Dati!$I$2:$I$451))</f>
        <v/>
      </c>
      <c r="M90" s="12">
        <f>IF($H90="",0,SUMIF(Dati!$A$2:$A$451,$H90,Dati!$D$2:$D$451)+SUMIF(Dati!$H$2:$H$451,$H90,Dati!$K$2:$K$451))</f>
        <v/>
      </c>
      <c r="N90" s="12">
        <f>IF($H90="",0,SUMIF(Dati!$A$2:$A$451,$H90,Dati!$C$2:$C$451)+SUMIF(Dati!$H$2:$H$451,$H90,Dati!$J$2:$J$451))</f>
        <v/>
      </c>
      <c r="O90" s="12">
        <f>IF($H90="",0,SUMIF(Dati!$A$2:$A$451,$H90,Dati!$E$2:$E$451)+SUMIF(Dati!$H$2:$H$451,$H90,Dati!$L$2:$L$451))</f>
        <v/>
      </c>
      <c r="P90" s="12">
        <f>IF($H90="",0,SUMIF(Dati!$A$2:$A$451,$H90,Dati!$F$2:$F$451)+SUMIF(Dati!$H$2:$H$451,$H90,Dati!$M$2:$M$451))</f>
        <v/>
      </c>
      <c r="Q90" s="12">
        <f>IF($H90="",0,SUMIF(Dati!$A$2:$A$451,$H90,Dati!$G$2:$G$451)+SUMIF(Dati!$H$2:$H$451,$H90,Dati!$N$2:$N$451))</f>
        <v/>
      </c>
      <c r="R90" s="12">
        <f>IF(K90=0,0,ROUND(O90/K90,2))</f>
        <v/>
      </c>
      <c r="S90" s="12">
        <f>IF(K90=0,0,ROUND(P90/K90,2))</f>
        <v/>
      </c>
      <c r="T90" s="12">
        <f>IF(K90=0,0,ROUND(Q90/K90,2))</f>
        <v/>
      </c>
      <c r="U90" s="12">
        <f>IF(COUNTIFS($E$14:$E$113,$E90,$J$14:$J$113,$J90,$C$14:$C$113,"&lt;&gt;")&lt;=1,"-",SUM(AK90:AT90)&amp;"-"&amp;SUM(AW90:BF90))</f>
        <v/>
      </c>
      <c r="V90" s="18">
        <f>IF(COUNTIFS($E$14:$E$113,$E90,$J$14:$J$113,$J90,$C$14:$C$113,"&lt;&gt;",$CF$14:$CF$113,$CF90)&lt;=1,"-",IF(SUM(BU90:CD90)=0,0,ROUND(SUM(BI90:BR90)/SUM(BU90:CD90),3)))</f>
        <v/>
      </c>
      <c r="W90" s="18">
        <f>IF(COUNTIFS($E$14:$E$113,$E90,$J$14:$J$113,$J90,$C$14:$C$113,"&lt;&gt;",$CF$14:$CF$113,$CF90,$V$14:$V$113,$V90)&lt;=1,"-",IF(P90=0,0,ROUND(O90/P90,3)))</f>
        <v/>
      </c>
      <c r="X90" s="19">
        <f>IF($C90="","",$E90&amp;"#"&amp;COUNTIFS($E$14:$E90,$E90,$C$14:$C90,"&lt;&gt;"))</f>
        <v/>
      </c>
      <c r="Y90" s="20">
        <f>IFERROR(INDEX($H$14:$H$113,MATCH($E90&amp;"#1",$X$14:$X$113,0)),"")</f>
        <v/>
      </c>
      <c r="Z90" s="20">
        <f>IFERROR(INDEX($H$14:$H$113,MATCH($E90&amp;"#2",$X$14:$X$113,0)),"")</f>
        <v/>
      </c>
      <c r="AA90" s="20">
        <f>IFERROR(INDEX($H$14:$H$113,MATCH($E90&amp;"#3",$X$14:$X$113,0)),"")</f>
        <v/>
      </c>
      <c r="AB90" s="20">
        <f>IFERROR(INDEX($H$14:$H$113,MATCH($E90&amp;"#4",$X$14:$X$113,0)),"")</f>
        <v/>
      </c>
      <c r="AC90" s="20">
        <f>IFERROR(INDEX($H$14:$H$113,MATCH($E90&amp;"#5",$X$14:$X$113,0)),"")</f>
        <v/>
      </c>
      <c r="AD90" s="20">
        <f>IFERROR(INDEX($H$14:$H$113,MATCH($E90&amp;"#6",$X$14:$X$113,0)),"")</f>
        <v/>
      </c>
      <c r="AE90" s="20">
        <f>IFERROR(INDEX($H$14:$H$113,MATCH($E90&amp;"#7",$X$14:$X$113,0)),"")</f>
        <v/>
      </c>
      <c r="AF90" s="20">
        <f>IFERROR(INDEX($H$14:$H$113,MATCH($E90&amp;"#8",$X$14:$X$113,0)),"")</f>
        <v/>
      </c>
      <c r="AG90" s="20">
        <f>IFERROR(INDEX($H$14:$H$113,MATCH($E90&amp;"#9",$X$14:$X$113,0)),"")</f>
        <v/>
      </c>
      <c r="AH90" s="20">
        <f>IFERROR(INDEX($H$14:$H$113,MATCH($E90&amp;"#10",$X$14:$X$113,0)),"")</f>
        <v/>
      </c>
      <c r="AJ90" s="21">
        <f>$C90</f>
        <v/>
      </c>
      <c r="AK90" s="22">
        <f>IF(AND($H90&lt;&gt;"",$Y90&lt;&gt;"",$H90&lt;&gt;$Y90,IFERROR(VLOOKUP($H90,areaCercaPuntiClassificaSquadra,3,FALSE),-1)=IFERROR(VLOOKUP($Y90,areaCercaPuntiClassificaSquadra,3,FALSE),-2)),SUMIFS(Dati!$B$2:$B$451,Dati!$A$2:$A$451,$H90,Dati!$H$2:$H$451,$Y90)+SUMIFS(Dati!$I$2:$I$451,Dati!$H$2:$H$451,$H90,Dati!$A$2:$A$451,$Y90),"-")</f>
        <v/>
      </c>
      <c r="AL90" s="22">
        <f>IF(AND($H90&lt;&gt;"",$Z90&lt;&gt;"",$H90&lt;&gt;$Z90,IFERROR(VLOOKUP($H90,areaCercaPuntiClassificaSquadra,3,FALSE),-1)=IFERROR(VLOOKUP($Z90,areaCercaPuntiClassificaSquadra,3,FALSE),-2)),SUMIFS(Dati!$B$2:$B$451,Dati!$A$2:$A$451,$H90,Dati!$H$2:$H$451,$Z90)+SUMIFS(Dati!$I$2:$I$451,Dati!$H$2:$H$451,$H90,Dati!$A$2:$A$451,$Z90),"-")</f>
        <v/>
      </c>
      <c r="AM90" s="22">
        <f>IF(AND($H90&lt;&gt;"",$AA90&lt;&gt;"",$H90&lt;&gt;$AA90,IFERROR(VLOOKUP($H90,areaCercaPuntiClassificaSquadra,3,FALSE),-1)=IFERROR(VLOOKUP($AA90,areaCercaPuntiClassificaSquadra,3,FALSE),-2)),SUMIFS(Dati!$B$2:$B$451,Dati!$A$2:$A$451,$H90,Dati!$H$2:$H$451,$AA90)+SUMIFS(Dati!$I$2:$I$451,Dati!$H$2:$H$451,$H90,Dati!$A$2:$A$451,$AA90),"-")</f>
        <v/>
      </c>
      <c r="AN90" s="22">
        <f>IF(AND($H90&lt;&gt;"",$AB90&lt;&gt;"",$H90&lt;&gt;$AB90,IFERROR(VLOOKUP($H90,areaCercaPuntiClassificaSquadra,3,FALSE),-1)=IFERROR(VLOOKUP($AB90,areaCercaPuntiClassificaSquadra,3,FALSE),-2)),SUMIFS(Dati!$B$2:$B$451,Dati!$A$2:$A$451,$H90,Dati!$H$2:$H$451,$AB90)+SUMIFS(Dati!$I$2:$I$451,Dati!$H$2:$H$451,$H90,Dati!$A$2:$A$451,$AB90),"-")</f>
        <v/>
      </c>
      <c r="AO90" s="22">
        <f>IF(AND($H90&lt;&gt;"",$AC90&lt;&gt;"",$H90&lt;&gt;$AC90,IFERROR(VLOOKUP($H90,areaCercaPuntiClassificaSquadra,3,FALSE),-1)=IFERROR(VLOOKUP($AC90,areaCercaPuntiClassificaSquadra,3,FALSE),-2)),SUMIFS(Dati!$B$2:$B$451,Dati!$A$2:$A$451,$H90,Dati!$H$2:$H$451,$AC90)+SUMIFS(Dati!$I$2:$I$451,Dati!$H$2:$H$451,$H90,Dati!$A$2:$A$451,$AC90),"-")</f>
        <v/>
      </c>
      <c r="AP90" s="22">
        <f>IF(AND($H90&lt;&gt;"",$AD90&lt;&gt;"",$H90&lt;&gt;$AD90,IFERROR(VLOOKUP($H90,areaCercaPuntiClassificaSquadra,3,FALSE),-1)=IFERROR(VLOOKUP($AD90,areaCercaPuntiClassificaSquadra,3,FALSE),-2)),SUMIFS(Dati!$B$2:$B$451,Dati!$A$2:$A$451,$H90,Dati!$H$2:$H$451,$AD90)+SUMIFS(Dati!$I$2:$I$451,Dati!$H$2:$H$451,$H90,Dati!$A$2:$A$451,$AD90),"-")</f>
        <v/>
      </c>
      <c r="AQ90" s="22">
        <f>IF(AND($H90&lt;&gt;"",$AE90&lt;&gt;"",$H90&lt;&gt;$AE90,IFERROR(VLOOKUP($H90,areaCercaPuntiClassificaSquadra,3,FALSE),-1)=IFERROR(VLOOKUP($AE90,areaCercaPuntiClassificaSquadra,3,FALSE),-2)),SUMIFS(Dati!$B$2:$B$451,Dati!$A$2:$A$451,$H90,Dati!$H$2:$H$451,$AE90)+SUMIFS(Dati!$I$2:$I$451,Dati!$H$2:$H$451,$H90,Dati!$A$2:$A$451,$AE90),"-")</f>
        <v/>
      </c>
      <c r="AR90" s="22">
        <f>IF(AND($H90&lt;&gt;"",$AF90&lt;&gt;"",$H90&lt;&gt;$AF90,IFERROR(VLOOKUP($H90,areaCercaPuntiClassificaSquadra,3,FALSE),-1)=IFERROR(VLOOKUP($AF90,areaCercaPuntiClassificaSquadra,3,FALSE),-2)),SUMIFS(Dati!$B$2:$B$451,Dati!$A$2:$A$451,$H90,Dati!$H$2:$H$451,$AF90)+SUMIFS(Dati!$I$2:$I$451,Dati!$H$2:$H$451,$H90,Dati!$A$2:$A$451,$AF90),"-")</f>
        <v/>
      </c>
      <c r="AS90" s="22">
        <f>IF(AND($H90&lt;&gt;"",$AG90&lt;&gt;"",$H90&lt;&gt;$AG90,IFERROR(VLOOKUP($H90,areaCercaPuntiClassificaSquadra,3,FALSE),-1)=IFERROR(VLOOKUP($AG90,areaCercaPuntiClassificaSquadra,3,FALSE),-2)),SUMIFS(Dati!$B$2:$B$451,Dati!$A$2:$A$451,$H90,Dati!$H$2:$H$451,$AG90)+SUMIFS(Dati!$I$2:$I$451,Dati!$H$2:$H$451,$H90,Dati!$A$2:$A$451,$AG90),"-")</f>
        <v/>
      </c>
      <c r="AT90" s="22">
        <f>IF(AND($H90&lt;&gt;"",$AH90&lt;&gt;"",$H90&lt;&gt;$AH90,IFERROR(VLOOKUP($H90,areaCercaPuntiClassificaSquadra,3,FALSE),-1)=IFERROR(VLOOKUP($AH90,areaCercaPuntiClassificaSquadra,3,FALSE),-2)),SUMIFS(Dati!$B$2:$B$451,Dati!$A$2:$A$451,$H90,Dati!$H$2:$H$451,$AH90)+SUMIFS(Dati!$I$2:$I$451,Dati!$H$2:$H$451,$H90,Dati!$A$2:$A$451,$AH90),"-")</f>
        <v/>
      </c>
      <c r="AV90" s="21">
        <f>$C90</f>
        <v/>
      </c>
      <c r="AW90" s="22">
        <f>IF(AND($H90&lt;&gt;"",$Y90&lt;&gt;"",$H90&lt;&gt;$Y90,IFERROR(VLOOKUP($H90,areaCercaPuntiClassificaSquadra,3,FALSE),-1)=IFERROR(VLOOKUP($Y90,areaCercaPuntiClassificaSquadra,3,FALSE),-2)),SUMIFS(Dati!$D$2:$D$451,Dati!$A$2:$A$451,$H90,Dati!$H$2:$H$451,$Y90)+SUMIFS(Dati!$K$2:$K$451,Dati!$H$2:$H$451,$H90,Dati!$A$2:$A$451,$Y90)+SUMIFS(Dati!$C$2:$C$451,Dati!$A$2:$A$451,$H90,Dati!$H$2:$H$451,$Y90)+SUMIFS(Dati!$J$2:$J$451,Dati!$H$2:$H$451,$H90,Dati!$A$2:$A$451,$Y90),"-")</f>
        <v/>
      </c>
      <c r="AX90" s="22">
        <f>IF(AND($H90&lt;&gt;"",$Z90&lt;&gt;"",$H90&lt;&gt;$Z90,IFERROR(VLOOKUP($H90,areaCercaPuntiClassificaSquadra,3,FALSE),-1)=IFERROR(VLOOKUP($Z90,areaCercaPuntiClassificaSquadra,3,FALSE),-2)),SUMIFS(Dati!$D$2:$D$451,Dati!$A$2:$A$451,$H90,Dati!$H$2:$H$451,$Z90)+SUMIFS(Dati!$K$2:$K$451,Dati!$H$2:$H$451,$H90,Dati!$A$2:$A$451,$Z90)+SUMIFS(Dati!$C$2:$C$451,Dati!$A$2:$A$451,$H90,Dati!$H$2:$H$451,$Z90)+SUMIFS(Dati!$J$2:$J$451,Dati!$H$2:$H$451,$H90,Dati!$A$2:$A$451,$Z90),"-")</f>
        <v/>
      </c>
      <c r="AY90" s="22">
        <f>IF(AND($H90&lt;&gt;"",$AA90&lt;&gt;"",$H90&lt;&gt;$AA90,IFERROR(VLOOKUP($H90,areaCercaPuntiClassificaSquadra,3,FALSE),-1)=IFERROR(VLOOKUP($AA90,areaCercaPuntiClassificaSquadra,3,FALSE),-2)),SUMIFS(Dati!$D$2:$D$451,Dati!$A$2:$A$451,$H90,Dati!$H$2:$H$451,$AA90)+SUMIFS(Dati!$K$2:$K$451,Dati!$H$2:$H$451,$H90,Dati!$A$2:$A$451,$AA90)+SUMIFS(Dati!$C$2:$C$451,Dati!$A$2:$A$451,$H90,Dati!$H$2:$H$451,$AA90)+SUMIFS(Dati!$J$2:$J$451,Dati!$H$2:$H$451,$H90,Dati!$A$2:$A$451,$AA90),"-")</f>
        <v/>
      </c>
      <c r="AZ90" s="22">
        <f>IF(AND($H90&lt;&gt;"",$AB90&lt;&gt;"",$H90&lt;&gt;$AB90,IFERROR(VLOOKUP($H90,areaCercaPuntiClassificaSquadra,3,FALSE),-1)=IFERROR(VLOOKUP($AB90,areaCercaPuntiClassificaSquadra,3,FALSE),-2)),SUMIFS(Dati!$D$2:$D$451,Dati!$A$2:$A$451,$H90,Dati!$H$2:$H$451,$AB90)+SUMIFS(Dati!$K$2:$K$451,Dati!$H$2:$H$451,$H90,Dati!$A$2:$A$451,$AB90)+SUMIFS(Dati!$C$2:$C$451,Dati!$A$2:$A$451,$H90,Dati!$H$2:$H$451,$AB90)+SUMIFS(Dati!$J$2:$J$451,Dati!$H$2:$H$451,$H90,Dati!$A$2:$A$451,$AB90),"-")</f>
        <v/>
      </c>
      <c r="BA90" s="22">
        <f>IF(AND($H90&lt;&gt;"",$AC90&lt;&gt;"",$H90&lt;&gt;$AC90,IFERROR(VLOOKUP($H90,areaCercaPuntiClassificaSquadra,3,FALSE),-1)=IFERROR(VLOOKUP($AC90,areaCercaPuntiClassificaSquadra,3,FALSE),-2)),SUMIFS(Dati!$D$2:$D$451,Dati!$A$2:$A$451,$H90,Dati!$H$2:$H$451,$AC90)+SUMIFS(Dati!$K$2:$K$451,Dati!$H$2:$H$451,$H90,Dati!$A$2:$A$451,$AC90)+SUMIFS(Dati!$C$2:$C$451,Dati!$A$2:$A$451,$H90,Dati!$H$2:$H$451,$AC90)+SUMIFS(Dati!$J$2:$J$451,Dati!$H$2:$H$451,$H90,Dati!$A$2:$A$451,$AC90),"-")</f>
        <v/>
      </c>
      <c r="BB90" s="22">
        <f>IF(AND($H90&lt;&gt;"",$AD90&lt;&gt;"",$H90&lt;&gt;$AD90,IFERROR(VLOOKUP($H90,areaCercaPuntiClassificaSquadra,3,FALSE),-1)=IFERROR(VLOOKUP($AD90,areaCercaPuntiClassificaSquadra,3,FALSE),-2)),SUMIFS(Dati!$D$2:$D$451,Dati!$A$2:$A$451,$H90,Dati!$H$2:$H$451,$AD90)+SUMIFS(Dati!$K$2:$K$451,Dati!$H$2:$H$451,$H90,Dati!$A$2:$A$451,$AD90)+SUMIFS(Dati!$C$2:$C$451,Dati!$A$2:$A$451,$H90,Dati!$H$2:$H$451,$AD90)+SUMIFS(Dati!$J$2:$J$451,Dati!$H$2:$H$451,$H90,Dati!$A$2:$A$451,$AD90),"-")</f>
        <v/>
      </c>
      <c r="BC90" s="22">
        <f>IF(AND($H90&lt;&gt;"",$AE90&lt;&gt;"",$H90&lt;&gt;$AE90,IFERROR(VLOOKUP($H90,areaCercaPuntiClassificaSquadra,3,FALSE),-1)=IFERROR(VLOOKUP($AE90,areaCercaPuntiClassificaSquadra,3,FALSE),-2)),SUMIFS(Dati!$D$2:$D$451,Dati!$A$2:$A$451,$H90,Dati!$H$2:$H$451,$AE90)+SUMIFS(Dati!$K$2:$K$451,Dati!$H$2:$H$451,$H90,Dati!$A$2:$A$451,$AE90)+SUMIFS(Dati!$C$2:$C$451,Dati!$A$2:$A$451,$H90,Dati!$H$2:$H$451,$AE90)+SUMIFS(Dati!$J$2:$J$451,Dati!$H$2:$H$451,$H90,Dati!$A$2:$A$451,$AE90),"-")</f>
        <v/>
      </c>
      <c r="BD90" s="22">
        <f>IF(AND($H90&lt;&gt;"",$AF90&lt;&gt;"",$H90&lt;&gt;$AF90,IFERROR(VLOOKUP($H90,areaCercaPuntiClassificaSquadra,3,FALSE),-1)=IFERROR(VLOOKUP($AF90,areaCercaPuntiClassificaSquadra,3,FALSE),-2)),SUMIFS(Dati!$D$2:$D$451,Dati!$A$2:$A$451,$H90,Dati!$H$2:$H$451,$AF90)+SUMIFS(Dati!$K$2:$K$451,Dati!$H$2:$H$451,$H90,Dati!$A$2:$A$451,$AF90)+SUMIFS(Dati!$C$2:$C$451,Dati!$A$2:$A$451,$H90,Dati!$H$2:$H$451,$AF90)+SUMIFS(Dati!$J$2:$J$451,Dati!$H$2:$H$451,$H90,Dati!$A$2:$A$451,$AF90),"-")</f>
        <v/>
      </c>
      <c r="BE90" s="22">
        <f>IF(AND($H90&lt;&gt;"",$AG90&lt;&gt;"",$H90&lt;&gt;$AG90,IFERROR(VLOOKUP($H90,areaCercaPuntiClassificaSquadra,3,FALSE),-1)=IFERROR(VLOOKUP($AG90,areaCercaPuntiClassificaSquadra,3,FALSE),-2)),SUMIFS(Dati!$D$2:$D$451,Dati!$A$2:$A$451,$H90,Dati!$H$2:$H$451,$AG90)+SUMIFS(Dati!$K$2:$K$451,Dati!$H$2:$H$451,$H90,Dati!$A$2:$A$451,$AG90)+SUMIFS(Dati!$C$2:$C$451,Dati!$A$2:$A$451,$H90,Dati!$H$2:$H$451,$AG90)+SUMIFS(Dati!$J$2:$J$451,Dati!$H$2:$H$451,$H90,Dati!$A$2:$A$451,$AG90),"-")</f>
        <v/>
      </c>
      <c r="BF90" s="22">
        <f>IF(AND($H90&lt;&gt;"",$AH90&lt;&gt;"",$H90&lt;&gt;$AH90,IFERROR(VLOOKUP($H90,areaCercaPuntiClassificaSquadra,3,FALSE),-1)=IFERROR(VLOOKUP($AH90,areaCercaPuntiClassificaSquadra,3,FALSE),-2)),SUMIFS(Dati!$D$2:$D$451,Dati!$A$2:$A$451,$H90,Dati!$H$2:$H$451,$AH90)+SUMIFS(Dati!$K$2:$K$451,Dati!$H$2:$H$451,$H90,Dati!$A$2:$A$451,$AH90)+SUMIFS(Dati!$C$2:$C$451,Dati!$A$2:$A$451,$H90,Dati!$H$2:$H$451,$AH90)+SUMIFS(Dati!$J$2:$J$451,Dati!$H$2:$H$451,$H90,Dati!$A$2:$A$451,$AH90),"-")</f>
        <v/>
      </c>
      <c r="BH90" s="21">
        <f>$C90</f>
        <v/>
      </c>
      <c r="BI90" s="22">
        <f>IF(AND($H90&lt;&gt;"",$Y90&lt;&gt;"",$H90&lt;&gt;$Y90,IFERROR(VLOOKUP($H90,areaCercaPuntiClassificaSquadra,3,FALSE),-1)=IFERROR(VLOOKUP($Y90,areaCercaPuntiClassificaSquadra,3,FALSE),-2)),SUMIFS(Dati!$E$2:$E$451,Dati!$A$2:$A$451,$H90,Dati!$H$2:$H$451,$Y90)+SUMIFS(Dati!$L$2:$L$451,Dati!$H$2:$H$451,$H90,Dati!$A$2:$A$451,$Y90),"-")</f>
        <v/>
      </c>
      <c r="BJ90" s="22">
        <f>IF(AND($H90&lt;&gt;"",$Z90&lt;&gt;"",$H90&lt;&gt;$Z90,IFERROR(VLOOKUP($H90,areaCercaPuntiClassificaSquadra,3,FALSE),-1)=IFERROR(VLOOKUP($Z90,areaCercaPuntiClassificaSquadra,3,FALSE),-2)),SUMIFS(Dati!$E$2:$E$451,Dati!$A$2:$A$451,$H90,Dati!$H$2:$H$451,$Z90)+SUMIFS(Dati!$L$2:$L$451,Dati!$H$2:$H$451,$H90,Dati!$A$2:$A$451,$Z90),"-")</f>
        <v/>
      </c>
      <c r="BK90" s="22">
        <f>IF(AND($H90&lt;&gt;"",$AA90&lt;&gt;"",$H90&lt;&gt;$AA90,IFERROR(VLOOKUP($H90,areaCercaPuntiClassificaSquadra,3,FALSE),-1)=IFERROR(VLOOKUP($AA90,areaCercaPuntiClassificaSquadra,3,FALSE),-2)),SUMIFS(Dati!$E$2:$E$451,Dati!$A$2:$A$451,$H90,Dati!$H$2:$H$451,$AA90)+SUMIFS(Dati!$L$2:$L$451,Dati!$H$2:$H$451,$H90,Dati!$A$2:$A$451,$AA90),"-")</f>
        <v/>
      </c>
      <c r="BL90" s="22">
        <f>IF(AND($H90&lt;&gt;"",$AB90&lt;&gt;"",$H90&lt;&gt;$AB90,IFERROR(VLOOKUP($H90,areaCercaPuntiClassificaSquadra,3,FALSE),-1)=IFERROR(VLOOKUP($AB90,areaCercaPuntiClassificaSquadra,3,FALSE),-2)),SUMIFS(Dati!$E$2:$E$451,Dati!$A$2:$A$451,$H90,Dati!$H$2:$H$451,$AB90)+SUMIFS(Dati!$L$2:$L$451,Dati!$H$2:$H$451,$H90,Dati!$A$2:$A$451,$AB90),"-")</f>
        <v/>
      </c>
      <c r="BM90" s="22">
        <f>IF(AND($H90&lt;&gt;"",$AC90&lt;&gt;"",$H90&lt;&gt;$AC90,IFERROR(VLOOKUP($H90,areaCercaPuntiClassificaSquadra,3,FALSE),-1)=IFERROR(VLOOKUP($AC90,areaCercaPuntiClassificaSquadra,3,FALSE),-2)),SUMIFS(Dati!$E$2:$E$451,Dati!$A$2:$A$451,$H90,Dati!$H$2:$H$451,$AC90)+SUMIFS(Dati!$L$2:$L$451,Dati!$H$2:$H$451,$H90,Dati!$A$2:$A$451,$AC90),"-")</f>
        <v/>
      </c>
      <c r="BN90" s="22">
        <f>IF(AND($H90&lt;&gt;"",$AD90&lt;&gt;"",$H90&lt;&gt;$AD90,IFERROR(VLOOKUP($H90,areaCercaPuntiClassificaSquadra,3,FALSE),-1)=IFERROR(VLOOKUP($AD90,areaCercaPuntiClassificaSquadra,3,FALSE),-2)),SUMIFS(Dati!$E$2:$E$451,Dati!$A$2:$A$451,$H90,Dati!$H$2:$H$451,$AD90)+SUMIFS(Dati!$L$2:$L$451,Dati!$H$2:$H$451,$H90,Dati!$A$2:$A$451,$AD90),"-")</f>
        <v/>
      </c>
      <c r="BO90" s="22">
        <f>IF(AND($H90&lt;&gt;"",$AE90&lt;&gt;"",$H90&lt;&gt;$AE90,IFERROR(VLOOKUP($H90,areaCercaPuntiClassificaSquadra,3,FALSE),-1)=IFERROR(VLOOKUP($AE90,areaCercaPuntiClassificaSquadra,3,FALSE),-2)),SUMIFS(Dati!$E$2:$E$451,Dati!$A$2:$A$451,$H90,Dati!$H$2:$H$451,$AE90)+SUMIFS(Dati!$L$2:$L$451,Dati!$H$2:$H$451,$H90,Dati!$A$2:$A$451,$AE90),"-")</f>
        <v/>
      </c>
      <c r="BP90" s="22">
        <f>IF(AND($H90&lt;&gt;"",$AF90&lt;&gt;"",$H90&lt;&gt;$AF90,IFERROR(VLOOKUP($H90,areaCercaPuntiClassificaSquadra,3,FALSE),-1)=IFERROR(VLOOKUP($AF90,areaCercaPuntiClassificaSquadra,3,FALSE),-2)),SUMIFS(Dati!$E$2:$E$451,Dati!$A$2:$A$451,$H90,Dati!$H$2:$H$451,$AF90)+SUMIFS(Dati!$L$2:$L$451,Dati!$H$2:$H$451,$H90,Dati!$A$2:$A$451,$AF90),"-")</f>
        <v/>
      </c>
      <c r="BQ90" s="22">
        <f>IF(AND($H90&lt;&gt;"",$AG90&lt;&gt;"",$H90&lt;&gt;$AG90,IFERROR(VLOOKUP($H90,areaCercaPuntiClassificaSquadra,3,FALSE),-1)=IFERROR(VLOOKUP($AG90,areaCercaPuntiClassificaSquadra,3,FALSE),-2)),SUMIFS(Dati!$E$2:$E$451,Dati!$A$2:$A$451,$H90,Dati!$H$2:$H$451,$AG90)+SUMIFS(Dati!$L$2:$L$451,Dati!$H$2:$H$451,$H90,Dati!$A$2:$A$451,$AG90),"-")</f>
        <v/>
      </c>
      <c r="BR90" s="22">
        <f>IF(AND($H90&lt;&gt;"",$AH90&lt;&gt;"",$H90&lt;&gt;$AH90,IFERROR(VLOOKUP($H90,areaCercaPuntiClassificaSquadra,3,FALSE),-1)=IFERROR(VLOOKUP($AH90,areaCercaPuntiClassificaSquadra,3,FALSE),-2)),SUMIFS(Dati!$E$2:$E$451,Dati!$A$2:$A$451,$H90,Dati!$H$2:$H$451,$AH90)+SUMIFS(Dati!$L$2:$L$451,Dati!$H$2:$H$451,$H90,Dati!$A$2:$A$451,$AH90),"-")</f>
        <v/>
      </c>
      <c r="BT90" s="21">
        <f>$C90</f>
        <v/>
      </c>
      <c r="BU90" s="22">
        <f>IF(AND($H90&lt;&gt;"",$Y90&lt;&gt;"",$H90&lt;&gt;$Y90,IFERROR(VLOOKUP($H90,areaCercaPuntiClassificaSquadra,3,FALSE),-1)=IFERROR(VLOOKUP($Y90,areaCercaPuntiClassificaSquadra,3,FALSE),-2)),SUMIFS(Dati!$F$2:$F$451,Dati!$A$2:$A$451,$H90,Dati!$H$2:$H$451,$Y90)+SUMIFS(Dati!$M$2:$M$451,Dati!$H$2:$H$451,$H90,Dati!$A$2:$A$451,$Y90),"-")</f>
        <v/>
      </c>
      <c r="BV90" s="22">
        <f>IF(AND($H90&lt;&gt;"",$Z90&lt;&gt;"",$H90&lt;&gt;$Z90,IFERROR(VLOOKUP($H90,areaCercaPuntiClassificaSquadra,3,FALSE),-1)=IFERROR(VLOOKUP($Z90,areaCercaPuntiClassificaSquadra,3,FALSE),-2)),SUMIFS(Dati!$F$2:$F$451,Dati!$A$2:$A$451,$H90,Dati!$H$2:$H$451,$Z90)+SUMIFS(Dati!$M$2:$M$451,Dati!$H$2:$H$451,$H90,Dati!$A$2:$A$451,$Z90),"-")</f>
        <v/>
      </c>
      <c r="BW90" s="22">
        <f>IF(AND($H90&lt;&gt;"",$AA90&lt;&gt;"",$H90&lt;&gt;$AA90,IFERROR(VLOOKUP($H90,areaCercaPuntiClassificaSquadra,3,FALSE),-1)=IFERROR(VLOOKUP($AA90,areaCercaPuntiClassificaSquadra,3,FALSE),-2)),SUMIFS(Dati!$F$2:$F$451,Dati!$A$2:$A$451,$H90,Dati!$H$2:$H$451,$AA90)+SUMIFS(Dati!$M$2:$M$451,Dati!$H$2:$H$451,$H90,Dati!$A$2:$A$451,$AA90),"-")</f>
        <v/>
      </c>
      <c r="BX90" s="22">
        <f>IF(AND($H90&lt;&gt;"",$AB90&lt;&gt;"",$H90&lt;&gt;$AB90,IFERROR(VLOOKUP($H90,areaCercaPuntiClassificaSquadra,3,FALSE),-1)=IFERROR(VLOOKUP($AB90,areaCercaPuntiClassificaSquadra,3,FALSE),-2)),SUMIFS(Dati!$F$2:$F$451,Dati!$A$2:$A$451,$H90,Dati!$H$2:$H$451,$AB90)+SUMIFS(Dati!$M$2:$M$451,Dati!$H$2:$H$451,$H90,Dati!$A$2:$A$451,$AB90),"-")</f>
        <v/>
      </c>
      <c r="BY90" s="22">
        <f>IF(AND($H90&lt;&gt;"",$AC90&lt;&gt;"",$H90&lt;&gt;$AC90,IFERROR(VLOOKUP($H90,areaCercaPuntiClassificaSquadra,3,FALSE),-1)=IFERROR(VLOOKUP($AC90,areaCercaPuntiClassificaSquadra,3,FALSE),-2)),SUMIFS(Dati!$F$2:$F$451,Dati!$A$2:$A$451,$H90,Dati!$H$2:$H$451,$AC90)+SUMIFS(Dati!$M$2:$M$451,Dati!$H$2:$H$451,$H90,Dati!$A$2:$A$451,$AC90),"-")</f>
        <v/>
      </c>
      <c r="BZ90" s="22">
        <f>IF(AND($H90&lt;&gt;"",$AD90&lt;&gt;"",$H90&lt;&gt;$AD90,IFERROR(VLOOKUP($H90,areaCercaPuntiClassificaSquadra,3,FALSE),-1)=IFERROR(VLOOKUP($AD90,areaCercaPuntiClassificaSquadra,3,FALSE),-2)),SUMIFS(Dati!$F$2:$F$451,Dati!$A$2:$A$451,$H90,Dati!$H$2:$H$451,$AD90)+SUMIFS(Dati!$M$2:$M$451,Dati!$H$2:$H$451,$H90,Dati!$A$2:$A$451,$AD90),"-")</f>
        <v/>
      </c>
      <c r="CA90" s="22">
        <f>IF(AND($H90&lt;&gt;"",$AE90&lt;&gt;"",$H90&lt;&gt;$AE90,IFERROR(VLOOKUP($H90,areaCercaPuntiClassificaSquadra,3,FALSE),-1)=IFERROR(VLOOKUP($AE90,areaCercaPuntiClassificaSquadra,3,FALSE),-2)),SUMIFS(Dati!$F$2:$F$451,Dati!$A$2:$A$451,$H90,Dati!$H$2:$H$451,$AE90)+SUMIFS(Dati!$M$2:$M$451,Dati!$H$2:$H$451,$H90,Dati!$A$2:$A$451,$AE90),"-")</f>
        <v/>
      </c>
      <c r="CB90" s="22">
        <f>IF(AND($H90&lt;&gt;"",$AF90&lt;&gt;"",$H90&lt;&gt;$AF90,IFERROR(VLOOKUP($H90,areaCercaPuntiClassificaSquadra,3,FALSE),-1)=IFERROR(VLOOKUP($AF90,areaCercaPuntiClassificaSquadra,3,FALSE),-2)),SUMIFS(Dati!$F$2:$F$451,Dati!$A$2:$A$451,$H90,Dati!$H$2:$H$451,$AF90)+SUMIFS(Dati!$M$2:$M$451,Dati!$H$2:$H$451,$H90,Dati!$A$2:$A$451,$AF90),"-")</f>
        <v/>
      </c>
      <c r="CC90" s="22">
        <f>IF(AND($H90&lt;&gt;"",$AG90&lt;&gt;"",$H90&lt;&gt;$AG90,IFERROR(VLOOKUP($H90,areaCercaPuntiClassificaSquadra,3,FALSE),-1)=IFERROR(VLOOKUP($AG90,areaCercaPuntiClassificaSquadra,3,FALSE),-2)),SUMIFS(Dati!$F$2:$F$451,Dati!$A$2:$A$451,$H90,Dati!$H$2:$H$451,$AG90)+SUMIFS(Dati!$M$2:$M$451,Dati!$H$2:$H$451,$H90,Dati!$A$2:$A$451,$AG90),"-")</f>
        <v/>
      </c>
      <c r="CD90" s="22">
        <f>IF(AND($H90&lt;&gt;"",$AH90&lt;&gt;"",$H90&lt;&gt;$AH90,IFERROR(VLOOKUP($H90,areaCercaPuntiClassificaSquadra,3,FALSE),-1)=IFERROR(VLOOKUP($AH90,areaCercaPuntiClassificaSquadra,3,FALSE),-2)),SUMIFS(Dati!$F$2:$F$451,Dati!$A$2:$A$451,$H90,Dati!$H$2:$H$451,$AH90)+SUMIFS(Dati!$M$2:$M$451,Dati!$H$2:$H$451,$H90,Dati!$A$2:$A$451,$AH90),"-")</f>
        <v/>
      </c>
      <c r="CF90" s="22">
        <f>IF($C90="","",SUM(AK90:AT90))</f>
        <v/>
      </c>
    </row>
    <row r="91">
      <c r="B91" s="12" t="inlineStr">
        <is>
          <t>H08</t>
        </is>
      </c>
      <c r="C91" s="13" t="n"/>
      <c r="D91" s="14" t="n"/>
      <c r="E91" s="35" t="inlineStr">
        <is>
          <t>H</t>
        </is>
      </c>
      <c r="G91" s="36">
        <f>IF($C91="","",$E91&amp;(COUNTIFS(I$14:I$113,"&gt;"&amp;I91,E$14:E$113,"="&amp;E91,C$14:C$113,"&lt;&gt;")+COUNTIFS(I$14:I$113,"="&amp;I91,H$14:H$113,"&lt;="&amp;H91,E$14:E$113,"="&amp;E91,C$14:C$113,"&lt;&gt;")))</f>
        <v/>
      </c>
      <c r="H91" s="17">
        <f>IF($C91="","",IFERROR(LEFT($C91,FIND("-",$C91)-1),$C91))</f>
        <v/>
      </c>
      <c r="I91" s="12">
        <f>TEXT(1000000000+J91,"|0000000000|")&amp;TEXT(SUM(AK91:AT91),"0000000000|")&amp;IF(SUM(BU91:CD91)=0,"0000000000|",TEXT(ROUND(SUM(BI91:BR91)/SUM(BU91:CD91),4)*100000,"0000000000|"))&amp;IF(P91=0,"0000000000|",TEXT(ROUND(O91/P91,4)*100000,"0000000000|"))</f>
        <v/>
      </c>
      <c r="J91" s="36">
        <f>L91*constPuntiVittoria+M91*constPuntiSconfitta+N91*constPuntiForfait+IF(D91="",0,D91)</f>
        <v/>
      </c>
      <c r="K91" s="12">
        <f>SUM(L91:N91)</f>
        <v/>
      </c>
      <c r="L91" s="12">
        <f>IF($H91="",0,SUMIF(Dati!$A$2:$A$451,$H91,Dati!$B$2:$B$451)+SUMIF(Dati!$H$2:$H$451,$H91,Dati!$I$2:$I$451))</f>
        <v/>
      </c>
      <c r="M91" s="12">
        <f>IF($H91="",0,SUMIF(Dati!$A$2:$A$451,$H91,Dati!$D$2:$D$451)+SUMIF(Dati!$H$2:$H$451,$H91,Dati!$K$2:$K$451))</f>
        <v/>
      </c>
      <c r="N91" s="12">
        <f>IF($H91="",0,SUMIF(Dati!$A$2:$A$451,$H91,Dati!$C$2:$C$451)+SUMIF(Dati!$H$2:$H$451,$H91,Dati!$J$2:$J$451))</f>
        <v/>
      </c>
      <c r="O91" s="12">
        <f>IF($H91="",0,SUMIF(Dati!$A$2:$A$451,$H91,Dati!$E$2:$E$451)+SUMIF(Dati!$H$2:$H$451,$H91,Dati!$L$2:$L$451))</f>
        <v/>
      </c>
      <c r="P91" s="12">
        <f>IF($H91="",0,SUMIF(Dati!$A$2:$A$451,$H91,Dati!$F$2:$F$451)+SUMIF(Dati!$H$2:$H$451,$H91,Dati!$M$2:$M$451))</f>
        <v/>
      </c>
      <c r="Q91" s="12">
        <f>IF($H91="",0,SUMIF(Dati!$A$2:$A$451,$H91,Dati!$G$2:$G$451)+SUMIF(Dati!$H$2:$H$451,$H91,Dati!$N$2:$N$451))</f>
        <v/>
      </c>
      <c r="R91" s="12">
        <f>IF(K91=0,0,ROUND(O91/K91,2))</f>
        <v/>
      </c>
      <c r="S91" s="12">
        <f>IF(K91=0,0,ROUND(P91/K91,2))</f>
        <v/>
      </c>
      <c r="T91" s="12">
        <f>IF(K91=0,0,ROUND(Q91/K91,2))</f>
        <v/>
      </c>
      <c r="U91" s="12">
        <f>IF(COUNTIFS($E$14:$E$113,$E91,$J$14:$J$113,$J91,$C$14:$C$113,"&lt;&gt;")&lt;=1,"-",SUM(AK91:AT91)&amp;"-"&amp;SUM(AW91:BF91))</f>
        <v/>
      </c>
      <c r="V91" s="18">
        <f>IF(COUNTIFS($E$14:$E$113,$E91,$J$14:$J$113,$J91,$C$14:$C$113,"&lt;&gt;",$CF$14:$CF$113,$CF91)&lt;=1,"-",IF(SUM(BU91:CD91)=0,0,ROUND(SUM(BI91:BR91)/SUM(BU91:CD91),3)))</f>
        <v/>
      </c>
      <c r="W91" s="18">
        <f>IF(COUNTIFS($E$14:$E$113,$E91,$J$14:$J$113,$J91,$C$14:$C$113,"&lt;&gt;",$CF$14:$CF$113,$CF91,$V$14:$V$113,$V91)&lt;=1,"-",IF(P91=0,0,ROUND(O91/P91,3)))</f>
        <v/>
      </c>
      <c r="X91" s="19">
        <f>IF($C91="","",$E91&amp;"#"&amp;COUNTIFS($E$14:$E91,$E91,$C$14:$C91,"&lt;&gt;"))</f>
        <v/>
      </c>
      <c r="Y91" s="20">
        <f>IFERROR(INDEX($H$14:$H$113,MATCH($E91&amp;"#1",$X$14:$X$113,0)),"")</f>
        <v/>
      </c>
      <c r="Z91" s="20">
        <f>IFERROR(INDEX($H$14:$H$113,MATCH($E91&amp;"#2",$X$14:$X$113,0)),"")</f>
        <v/>
      </c>
      <c r="AA91" s="20">
        <f>IFERROR(INDEX($H$14:$H$113,MATCH($E91&amp;"#3",$X$14:$X$113,0)),"")</f>
        <v/>
      </c>
      <c r="AB91" s="20">
        <f>IFERROR(INDEX($H$14:$H$113,MATCH($E91&amp;"#4",$X$14:$X$113,0)),"")</f>
        <v/>
      </c>
      <c r="AC91" s="20">
        <f>IFERROR(INDEX($H$14:$H$113,MATCH($E91&amp;"#5",$X$14:$X$113,0)),"")</f>
        <v/>
      </c>
      <c r="AD91" s="20">
        <f>IFERROR(INDEX($H$14:$H$113,MATCH($E91&amp;"#6",$X$14:$X$113,0)),"")</f>
        <v/>
      </c>
      <c r="AE91" s="20">
        <f>IFERROR(INDEX($H$14:$H$113,MATCH($E91&amp;"#7",$X$14:$X$113,0)),"")</f>
        <v/>
      </c>
      <c r="AF91" s="20">
        <f>IFERROR(INDEX($H$14:$H$113,MATCH($E91&amp;"#8",$X$14:$X$113,0)),"")</f>
        <v/>
      </c>
      <c r="AG91" s="20">
        <f>IFERROR(INDEX($H$14:$H$113,MATCH($E91&amp;"#9",$X$14:$X$113,0)),"")</f>
        <v/>
      </c>
      <c r="AH91" s="20">
        <f>IFERROR(INDEX($H$14:$H$113,MATCH($E91&amp;"#10",$X$14:$X$113,0)),"")</f>
        <v/>
      </c>
      <c r="AJ91" s="21">
        <f>$C91</f>
        <v/>
      </c>
      <c r="AK91" s="22">
        <f>IF(AND($H91&lt;&gt;"",$Y91&lt;&gt;"",$H91&lt;&gt;$Y91,IFERROR(VLOOKUP($H91,areaCercaPuntiClassificaSquadra,3,FALSE),-1)=IFERROR(VLOOKUP($Y91,areaCercaPuntiClassificaSquadra,3,FALSE),-2)),SUMIFS(Dati!$B$2:$B$451,Dati!$A$2:$A$451,$H91,Dati!$H$2:$H$451,$Y91)+SUMIFS(Dati!$I$2:$I$451,Dati!$H$2:$H$451,$H91,Dati!$A$2:$A$451,$Y91),"-")</f>
        <v/>
      </c>
      <c r="AL91" s="22">
        <f>IF(AND($H91&lt;&gt;"",$Z91&lt;&gt;"",$H91&lt;&gt;$Z91,IFERROR(VLOOKUP($H91,areaCercaPuntiClassificaSquadra,3,FALSE),-1)=IFERROR(VLOOKUP($Z91,areaCercaPuntiClassificaSquadra,3,FALSE),-2)),SUMIFS(Dati!$B$2:$B$451,Dati!$A$2:$A$451,$H91,Dati!$H$2:$H$451,$Z91)+SUMIFS(Dati!$I$2:$I$451,Dati!$H$2:$H$451,$H91,Dati!$A$2:$A$451,$Z91),"-")</f>
        <v/>
      </c>
      <c r="AM91" s="22">
        <f>IF(AND($H91&lt;&gt;"",$AA91&lt;&gt;"",$H91&lt;&gt;$AA91,IFERROR(VLOOKUP($H91,areaCercaPuntiClassificaSquadra,3,FALSE),-1)=IFERROR(VLOOKUP($AA91,areaCercaPuntiClassificaSquadra,3,FALSE),-2)),SUMIFS(Dati!$B$2:$B$451,Dati!$A$2:$A$451,$H91,Dati!$H$2:$H$451,$AA91)+SUMIFS(Dati!$I$2:$I$451,Dati!$H$2:$H$451,$H91,Dati!$A$2:$A$451,$AA91),"-")</f>
        <v/>
      </c>
      <c r="AN91" s="22">
        <f>IF(AND($H91&lt;&gt;"",$AB91&lt;&gt;"",$H91&lt;&gt;$AB91,IFERROR(VLOOKUP($H91,areaCercaPuntiClassificaSquadra,3,FALSE),-1)=IFERROR(VLOOKUP($AB91,areaCercaPuntiClassificaSquadra,3,FALSE),-2)),SUMIFS(Dati!$B$2:$B$451,Dati!$A$2:$A$451,$H91,Dati!$H$2:$H$451,$AB91)+SUMIFS(Dati!$I$2:$I$451,Dati!$H$2:$H$451,$H91,Dati!$A$2:$A$451,$AB91),"-")</f>
        <v/>
      </c>
      <c r="AO91" s="22">
        <f>IF(AND($H91&lt;&gt;"",$AC91&lt;&gt;"",$H91&lt;&gt;$AC91,IFERROR(VLOOKUP($H91,areaCercaPuntiClassificaSquadra,3,FALSE),-1)=IFERROR(VLOOKUP($AC91,areaCercaPuntiClassificaSquadra,3,FALSE),-2)),SUMIFS(Dati!$B$2:$B$451,Dati!$A$2:$A$451,$H91,Dati!$H$2:$H$451,$AC91)+SUMIFS(Dati!$I$2:$I$451,Dati!$H$2:$H$451,$H91,Dati!$A$2:$A$451,$AC91),"-")</f>
        <v/>
      </c>
      <c r="AP91" s="22">
        <f>IF(AND($H91&lt;&gt;"",$AD91&lt;&gt;"",$H91&lt;&gt;$AD91,IFERROR(VLOOKUP($H91,areaCercaPuntiClassificaSquadra,3,FALSE),-1)=IFERROR(VLOOKUP($AD91,areaCercaPuntiClassificaSquadra,3,FALSE),-2)),SUMIFS(Dati!$B$2:$B$451,Dati!$A$2:$A$451,$H91,Dati!$H$2:$H$451,$AD91)+SUMIFS(Dati!$I$2:$I$451,Dati!$H$2:$H$451,$H91,Dati!$A$2:$A$451,$AD91),"-")</f>
        <v/>
      </c>
      <c r="AQ91" s="22">
        <f>IF(AND($H91&lt;&gt;"",$AE91&lt;&gt;"",$H91&lt;&gt;$AE91,IFERROR(VLOOKUP($H91,areaCercaPuntiClassificaSquadra,3,FALSE),-1)=IFERROR(VLOOKUP($AE91,areaCercaPuntiClassificaSquadra,3,FALSE),-2)),SUMIFS(Dati!$B$2:$B$451,Dati!$A$2:$A$451,$H91,Dati!$H$2:$H$451,$AE91)+SUMIFS(Dati!$I$2:$I$451,Dati!$H$2:$H$451,$H91,Dati!$A$2:$A$451,$AE91),"-")</f>
        <v/>
      </c>
      <c r="AR91" s="22">
        <f>IF(AND($H91&lt;&gt;"",$AF91&lt;&gt;"",$H91&lt;&gt;$AF91,IFERROR(VLOOKUP($H91,areaCercaPuntiClassificaSquadra,3,FALSE),-1)=IFERROR(VLOOKUP($AF91,areaCercaPuntiClassificaSquadra,3,FALSE),-2)),SUMIFS(Dati!$B$2:$B$451,Dati!$A$2:$A$451,$H91,Dati!$H$2:$H$451,$AF91)+SUMIFS(Dati!$I$2:$I$451,Dati!$H$2:$H$451,$H91,Dati!$A$2:$A$451,$AF91),"-")</f>
        <v/>
      </c>
      <c r="AS91" s="22">
        <f>IF(AND($H91&lt;&gt;"",$AG91&lt;&gt;"",$H91&lt;&gt;$AG91,IFERROR(VLOOKUP($H91,areaCercaPuntiClassificaSquadra,3,FALSE),-1)=IFERROR(VLOOKUP($AG91,areaCercaPuntiClassificaSquadra,3,FALSE),-2)),SUMIFS(Dati!$B$2:$B$451,Dati!$A$2:$A$451,$H91,Dati!$H$2:$H$451,$AG91)+SUMIFS(Dati!$I$2:$I$451,Dati!$H$2:$H$451,$H91,Dati!$A$2:$A$451,$AG91),"-")</f>
        <v/>
      </c>
      <c r="AT91" s="22">
        <f>IF(AND($H91&lt;&gt;"",$AH91&lt;&gt;"",$H91&lt;&gt;$AH91,IFERROR(VLOOKUP($H91,areaCercaPuntiClassificaSquadra,3,FALSE),-1)=IFERROR(VLOOKUP($AH91,areaCercaPuntiClassificaSquadra,3,FALSE),-2)),SUMIFS(Dati!$B$2:$B$451,Dati!$A$2:$A$451,$H91,Dati!$H$2:$H$451,$AH91)+SUMIFS(Dati!$I$2:$I$451,Dati!$H$2:$H$451,$H91,Dati!$A$2:$A$451,$AH91),"-")</f>
        <v/>
      </c>
      <c r="AV91" s="21">
        <f>$C91</f>
        <v/>
      </c>
      <c r="AW91" s="22">
        <f>IF(AND($H91&lt;&gt;"",$Y91&lt;&gt;"",$H91&lt;&gt;$Y91,IFERROR(VLOOKUP($H91,areaCercaPuntiClassificaSquadra,3,FALSE),-1)=IFERROR(VLOOKUP($Y91,areaCercaPuntiClassificaSquadra,3,FALSE),-2)),SUMIFS(Dati!$D$2:$D$451,Dati!$A$2:$A$451,$H91,Dati!$H$2:$H$451,$Y91)+SUMIFS(Dati!$K$2:$K$451,Dati!$H$2:$H$451,$H91,Dati!$A$2:$A$451,$Y91)+SUMIFS(Dati!$C$2:$C$451,Dati!$A$2:$A$451,$H91,Dati!$H$2:$H$451,$Y91)+SUMIFS(Dati!$J$2:$J$451,Dati!$H$2:$H$451,$H91,Dati!$A$2:$A$451,$Y91),"-")</f>
        <v/>
      </c>
      <c r="AX91" s="22">
        <f>IF(AND($H91&lt;&gt;"",$Z91&lt;&gt;"",$H91&lt;&gt;$Z91,IFERROR(VLOOKUP($H91,areaCercaPuntiClassificaSquadra,3,FALSE),-1)=IFERROR(VLOOKUP($Z91,areaCercaPuntiClassificaSquadra,3,FALSE),-2)),SUMIFS(Dati!$D$2:$D$451,Dati!$A$2:$A$451,$H91,Dati!$H$2:$H$451,$Z91)+SUMIFS(Dati!$K$2:$K$451,Dati!$H$2:$H$451,$H91,Dati!$A$2:$A$451,$Z91)+SUMIFS(Dati!$C$2:$C$451,Dati!$A$2:$A$451,$H91,Dati!$H$2:$H$451,$Z91)+SUMIFS(Dati!$J$2:$J$451,Dati!$H$2:$H$451,$H91,Dati!$A$2:$A$451,$Z91),"-")</f>
        <v/>
      </c>
      <c r="AY91" s="22">
        <f>IF(AND($H91&lt;&gt;"",$AA91&lt;&gt;"",$H91&lt;&gt;$AA91,IFERROR(VLOOKUP($H91,areaCercaPuntiClassificaSquadra,3,FALSE),-1)=IFERROR(VLOOKUP($AA91,areaCercaPuntiClassificaSquadra,3,FALSE),-2)),SUMIFS(Dati!$D$2:$D$451,Dati!$A$2:$A$451,$H91,Dati!$H$2:$H$451,$AA91)+SUMIFS(Dati!$K$2:$K$451,Dati!$H$2:$H$451,$H91,Dati!$A$2:$A$451,$AA91)+SUMIFS(Dati!$C$2:$C$451,Dati!$A$2:$A$451,$H91,Dati!$H$2:$H$451,$AA91)+SUMIFS(Dati!$J$2:$J$451,Dati!$H$2:$H$451,$H91,Dati!$A$2:$A$451,$AA91),"-")</f>
        <v/>
      </c>
      <c r="AZ91" s="22">
        <f>IF(AND($H91&lt;&gt;"",$AB91&lt;&gt;"",$H91&lt;&gt;$AB91,IFERROR(VLOOKUP($H91,areaCercaPuntiClassificaSquadra,3,FALSE),-1)=IFERROR(VLOOKUP($AB91,areaCercaPuntiClassificaSquadra,3,FALSE),-2)),SUMIFS(Dati!$D$2:$D$451,Dati!$A$2:$A$451,$H91,Dati!$H$2:$H$451,$AB91)+SUMIFS(Dati!$K$2:$K$451,Dati!$H$2:$H$451,$H91,Dati!$A$2:$A$451,$AB91)+SUMIFS(Dati!$C$2:$C$451,Dati!$A$2:$A$451,$H91,Dati!$H$2:$H$451,$AB91)+SUMIFS(Dati!$J$2:$J$451,Dati!$H$2:$H$451,$H91,Dati!$A$2:$A$451,$AB91),"-")</f>
        <v/>
      </c>
      <c r="BA91" s="22">
        <f>IF(AND($H91&lt;&gt;"",$AC91&lt;&gt;"",$H91&lt;&gt;$AC91,IFERROR(VLOOKUP($H91,areaCercaPuntiClassificaSquadra,3,FALSE),-1)=IFERROR(VLOOKUP($AC91,areaCercaPuntiClassificaSquadra,3,FALSE),-2)),SUMIFS(Dati!$D$2:$D$451,Dati!$A$2:$A$451,$H91,Dati!$H$2:$H$451,$AC91)+SUMIFS(Dati!$K$2:$K$451,Dati!$H$2:$H$451,$H91,Dati!$A$2:$A$451,$AC91)+SUMIFS(Dati!$C$2:$C$451,Dati!$A$2:$A$451,$H91,Dati!$H$2:$H$451,$AC91)+SUMIFS(Dati!$J$2:$J$451,Dati!$H$2:$H$451,$H91,Dati!$A$2:$A$451,$AC91),"-")</f>
        <v/>
      </c>
      <c r="BB91" s="22">
        <f>IF(AND($H91&lt;&gt;"",$AD91&lt;&gt;"",$H91&lt;&gt;$AD91,IFERROR(VLOOKUP($H91,areaCercaPuntiClassificaSquadra,3,FALSE),-1)=IFERROR(VLOOKUP($AD91,areaCercaPuntiClassificaSquadra,3,FALSE),-2)),SUMIFS(Dati!$D$2:$D$451,Dati!$A$2:$A$451,$H91,Dati!$H$2:$H$451,$AD91)+SUMIFS(Dati!$K$2:$K$451,Dati!$H$2:$H$451,$H91,Dati!$A$2:$A$451,$AD91)+SUMIFS(Dati!$C$2:$C$451,Dati!$A$2:$A$451,$H91,Dati!$H$2:$H$451,$AD91)+SUMIFS(Dati!$J$2:$J$451,Dati!$H$2:$H$451,$H91,Dati!$A$2:$A$451,$AD91),"-")</f>
        <v/>
      </c>
      <c r="BC91" s="22">
        <f>IF(AND($H91&lt;&gt;"",$AE91&lt;&gt;"",$H91&lt;&gt;$AE91,IFERROR(VLOOKUP($H91,areaCercaPuntiClassificaSquadra,3,FALSE),-1)=IFERROR(VLOOKUP($AE91,areaCercaPuntiClassificaSquadra,3,FALSE),-2)),SUMIFS(Dati!$D$2:$D$451,Dati!$A$2:$A$451,$H91,Dati!$H$2:$H$451,$AE91)+SUMIFS(Dati!$K$2:$K$451,Dati!$H$2:$H$451,$H91,Dati!$A$2:$A$451,$AE91)+SUMIFS(Dati!$C$2:$C$451,Dati!$A$2:$A$451,$H91,Dati!$H$2:$H$451,$AE91)+SUMIFS(Dati!$J$2:$J$451,Dati!$H$2:$H$451,$H91,Dati!$A$2:$A$451,$AE91),"-")</f>
        <v/>
      </c>
      <c r="BD91" s="22">
        <f>IF(AND($H91&lt;&gt;"",$AF91&lt;&gt;"",$H91&lt;&gt;$AF91,IFERROR(VLOOKUP($H91,areaCercaPuntiClassificaSquadra,3,FALSE),-1)=IFERROR(VLOOKUP($AF91,areaCercaPuntiClassificaSquadra,3,FALSE),-2)),SUMIFS(Dati!$D$2:$D$451,Dati!$A$2:$A$451,$H91,Dati!$H$2:$H$451,$AF91)+SUMIFS(Dati!$K$2:$K$451,Dati!$H$2:$H$451,$H91,Dati!$A$2:$A$451,$AF91)+SUMIFS(Dati!$C$2:$C$451,Dati!$A$2:$A$451,$H91,Dati!$H$2:$H$451,$AF91)+SUMIFS(Dati!$J$2:$J$451,Dati!$H$2:$H$451,$H91,Dati!$A$2:$A$451,$AF91),"-")</f>
        <v/>
      </c>
      <c r="BE91" s="22">
        <f>IF(AND($H91&lt;&gt;"",$AG91&lt;&gt;"",$H91&lt;&gt;$AG91,IFERROR(VLOOKUP($H91,areaCercaPuntiClassificaSquadra,3,FALSE),-1)=IFERROR(VLOOKUP($AG91,areaCercaPuntiClassificaSquadra,3,FALSE),-2)),SUMIFS(Dati!$D$2:$D$451,Dati!$A$2:$A$451,$H91,Dati!$H$2:$H$451,$AG91)+SUMIFS(Dati!$K$2:$K$451,Dati!$H$2:$H$451,$H91,Dati!$A$2:$A$451,$AG91)+SUMIFS(Dati!$C$2:$C$451,Dati!$A$2:$A$451,$H91,Dati!$H$2:$H$451,$AG91)+SUMIFS(Dati!$J$2:$J$451,Dati!$H$2:$H$451,$H91,Dati!$A$2:$A$451,$AG91),"-")</f>
        <v/>
      </c>
      <c r="BF91" s="22">
        <f>IF(AND($H91&lt;&gt;"",$AH91&lt;&gt;"",$H91&lt;&gt;$AH91,IFERROR(VLOOKUP($H91,areaCercaPuntiClassificaSquadra,3,FALSE),-1)=IFERROR(VLOOKUP($AH91,areaCercaPuntiClassificaSquadra,3,FALSE),-2)),SUMIFS(Dati!$D$2:$D$451,Dati!$A$2:$A$451,$H91,Dati!$H$2:$H$451,$AH91)+SUMIFS(Dati!$K$2:$K$451,Dati!$H$2:$H$451,$H91,Dati!$A$2:$A$451,$AH91)+SUMIFS(Dati!$C$2:$C$451,Dati!$A$2:$A$451,$H91,Dati!$H$2:$H$451,$AH91)+SUMIFS(Dati!$J$2:$J$451,Dati!$H$2:$H$451,$H91,Dati!$A$2:$A$451,$AH91),"-")</f>
        <v/>
      </c>
      <c r="BH91" s="21">
        <f>$C91</f>
        <v/>
      </c>
      <c r="BI91" s="22">
        <f>IF(AND($H91&lt;&gt;"",$Y91&lt;&gt;"",$H91&lt;&gt;$Y91,IFERROR(VLOOKUP($H91,areaCercaPuntiClassificaSquadra,3,FALSE),-1)=IFERROR(VLOOKUP($Y91,areaCercaPuntiClassificaSquadra,3,FALSE),-2)),SUMIFS(Dati!$E$2:$E$451,Dati!$A$2:$A$451,$H91,Dati!$H$2:$H$451,$Y91)+SUMIFS(Dati!$L$2:$L$451,Dati!$H$2:$H$451,$H91,Dati!$A$2:$A$451,$Y91),"-")</f>
        <v/>
      </c>
      <c r="BJ91" s="22">
        <f>IF(AND($H91&lt;&gt;"",$Z91&lt;&gt;"",$H91&lt;&gt;$Z91,IFERROR(VLOOKUP($H91,areaCercaPuntiClassificaSquadra,3,FALSE),-1)=IFERROR(VLOOKUP($Z91,areaCercaPuntiClassificaSquadra,3,FALSE),-2)),SUMIFS(Dati!$E$2:$E$451,Dati!$A$2:$A$451,$H91,Dati!$H$2:$H$451,$Z91)+SUMIFS(Dati!$L$2:$L$451,Dati!$H$2:$H$451,$H91,Dati!$A$2:$A$451,$Z91),"-")</f>
        <v/>
      </c>
      <c r="BK91" s="22">
        <f>IF(AND($H91&lt;&gt;"",$AA91&lt;&gt;"",$H91&lt;&gt;$AA91,IFERROR(VLOOKUP($H91,areaCercaPuntiClassificaSquadra,3,FALSE),-1)=IFERROR(VLOOKUP($AA91,areaCercaPuntiClassificaSquadra,3,FALSE),-2)),SUMIFS(Dati!$E$2:$E$451,Dati!$A$2:$A$451,$H91,Dati!$H$2:$H$451,$AA91)+SUMIFS(Dati!$L$2:$L$451,Dati!$H$2:$H$451,$H91,Dati!$A$2:$A$451,$AA91),"-")</f>
        <v/>
      </c>
      <c r="BL91" s="22">
        <f>IF(AND($H91&lt;&gt;"",$AB91&lt;&gt;"",$H91&lt;&gt;$AB91,IFERROR(VLOOKUP($H91,areaCercaPuntiClassificaSquadra,3,FALSE),-1)=IFERROR(VLOOKUP($AB91,areaCercaPuntiClassificaSquadra,3,FALSE),-2)),SUMIFS(Dati!$E$2:$E$451,Dati!$A$2:$A$451,$H91,Dati!$H$2:$H$451,$AB91)+SUMIFS(Dati!$L$2:$L$451,Dati!$H$2:$H$451,$H91,Dati!$A$2:$A$451,$AB91),"-")</f>
        <v/>
      </c>
      <c r="BM91" s="22">
        <f>IF(AND($H91&lt;&gt;"",$AC91&lt;&gt;"",$H91&lt;&gt;$AC91,IFERROR(VLOOKUP($H91,areaCercaPuntiClassificaSquadra,3,FALSE),-1)=IFERROR(VLOOKUP($AC91,areaCercaPuntiClassificaSquadra,3,FALSE),-2)),SUMIFS(Dati!$E$2:$E$451,Dati!$A$2:$A$451,$H91,Dati!$H$2:$H$451,$AC91)+SUMIFS(Dati!$L$2:$L$451,Dati!$H$2:$H$451,$H91,Dati!$A$2:$A$451,$AC91),"-")</f>
        <v/>
      </c>
      <c r="BN91" s="22">
        <f>IF(AND($H91&lt;&gt;"",$AD91&lt;&gt;"",$H91&lt;&gt;$AD91,IFERROR(VLOOKUP($H91,areaCercaPuntiClassificaSquadra,3,FALSE),-1)=IFERROR(VLOOKUP($AD91,areaCercaPuntiClassificaSquadra,3,FALSE),-2)),SUMIFS(Dati!$E$2:$E$451,Dati!$A$2:$A$451,$H91,Dati!$H$2:$H$451,$AD91)+SUMIFS(Dati!$L$2:$L$451,Dati!$H$2:$H$451,$H91,Dati!$A$2:$A$451,$AD91),"-")</f>
        <v/>
      </c>
      <c r="BO91" s="22">
        <f>IF(AND($H91&lt;&gt;"",$AE91&lt;&gt;"",$H91&lt;&gt;$AE91,IFERROR(VLOOKUP($H91,areaCercaPuntiClassificaSquadra,3,FALSE),-1)=IFERROR(VLOOKUP($AE91,areaCercaPuntiClassificaSquadra,3,FALSE),-2)),SUMIFS(Dati!$E$2:$E$451,Dati!$A$2:$A$451,$H91,Dati!$H$2:$H$451,$AE91)+SUMIFS(Dati!$L$2:$L$451,Dati!$H$2:$H$451,$H91,Dati!$A$2:$A$451,$AE91),"-")</f>
        <v/>
      </c>
      <c r="BP91" s="22">
        <f>IF(AND($H91&lt;&gt;"",$AF91&lt;&gt;"",$H91&lt;&gt;$AF91,IFERROR(VLOOKUP($H91,areaCercaPuntiClassificaSquadra,3,FALSE),-1)=IFERROR(VLOOKUP($AF91,areaCercaPuntiClassificaSquadra,3,FALSE),-2)),SUMIFS(Dati!$E$2:$E$451,Dati!$A$2:$A$451,$H91,Dati!$H$2:$H$451,$AF91)+SUMIFS(Dati!$L$2:$L$451,Dati!$H$2:$H$451,$H91,Dati!$A$2:$A$451,$AF91),"-")</f>
        <v/>
      </c>
      <c r="BQ91" s="22">
        <f>IF(AND($H91&lt;&gt;"",$AG91&lt;&gt;"",$H91&lt;&gt;$AG91,IFERROR(VLOOKUP($H91,areaCercaPuntiClassificaSquadra,3,FALSE),-1)=IFERROR(VLOOKUP($AG91,areaCercaPuntiClassificaSquadra,3,FALSE),-2)),SUMIFS(Dati!$E$2:$E$451,Dati!$A$2:$A$451,$H91,Dati!$H$2:$H$451,$AG91)+SUMIFS(Dati!$L$2:$L$451,Dati!$H$2:$H$451,$H91,Dati!$A$2:$A$451,$AG91),"-")</f>
        <v/>
      </c>
      <c r="BR91" s="22">
        <f>IF(AND($H91&lt;&gt;"",$AH91&lt;&gt;"",$H91&lt;&gt;$AH91,IFERROR(VLOOKUP($H91,areaCercaPuntiClassificaSquadra,3,FALSE),-1)=IFERROR(VLOOKUP($AH91,areaCercaPuntiClassificaSquadra,3,FALSE),-2)),SUMIFS(Dati!$E$2:$E$451,Dati!$A$2:$A$451,$H91,Dati!$H$2:$H$451,$AH91)+SUMIFS(Dati!$L$2:$L$451,Dati!$H$2:$H$451,$H91,Dati!$A$2:$A$451,$AH91),"-")</f>
        <v/>
      </c>
      <c r="BT91" s="21">
        <f>$C91</f>
        <v/>
      </c>
      <c r="BU91" s="22">
        <f>IF(AND($H91&lt;&gt;"",$Y91&lt;&gt;"",$H91&lt;&gt;$Y91,IFERROR(VLOOKUP($H91,areaCercaPuntiClassificaSquadra,3,FALSE),-1)=IFERROR(VLOOKUP($Y91,areaCercaPuntiClassificaSquadra,3,FALSE),-2)),SUMIFS(Dati!$F$2:$F$451,Dati!$A$2:$A$451,$H91,Dati!$H$2:$H$451,$Y91)+SUMIFS(Dati!$M$2:$M$451,Dati!$H$2:$H$451,$H91,Dati!$A$2:$A$451,$Y91),"-")</f>
        <v/>
      </c>
      <c r="BV91" s="22">
        <f>IF(AND($H91&lt;&gt;"",$Z91&lt;&gt;"",$H91&lt;&gt;$Z91,IFERROR(VLOOKUP($H91,areaCercaPuntiClassificaSquadra,3,FALSE),-1)=IFERROR(VLOOKUP($Z91,areaCercaPuntiClassificaSquadra,3,FALSE),-2)),SUMIFS(Dati!$F$2:$F$451,Dati!$A$2:$A$451,$H91,Dati!$H$2:$H$451,$Z91)+SUMIFS(Dati!$M$2:$M$451,Dati!$H$2:$H$451,$H91,Dati!$A$2:$A$451,$Z91),"-")</f>
        <v/>
      </c>
      <c r="BW91" s="22">
        <f>IF(AND($H91&lt;&gt;"",$AA91&lt;&gt;"",$H91&lt;&gt;$AA91,IFERROR(VLOOKUP($H91,areaCercaPuntiClassificaSquadra,3,FALSE),-1)=IFERROR(VLOOKUP($AA91,areaCercaPuntiClassificaSquadra,3,FALSE),-2)),SUMIFS(Dati!$F$2:$F$451,Dati!$A$2:$A$451,$H91,Dati!$H$2:$H$451,$AA91)+SUMIFS(Dati!$M$2:$M$451,Dati!$H$2:$H$451,$H91,Dati!$A$2:$A$451,$AA91),"-")</f>
        <v/>
      </c>
      <c r="BX91" s="22">
        <f>IF(AND($H91&lt;&gt;"",$AB91&lt;&gt;"",$H91&lt;&gt;$AB91,IFERROR(VLOOKUP($H91,areaCercaPuntiClassificaSquadra,3,FALSE),-1)=IFERROR(VLOOKUP($AB91,areaCercaPuntiClassificaSquadra,3,FALSE),-2)),SUMIFS(Dati!$F$2:$F$451,Dati!$A$2:$A$451,$H91,Dati!$H$2:$H$451,$AB91)+SUMIFS(Dati!$M$2:$M$451,Dati!$H$2:$H$451,$H91,Dati!$A$2:$A$451,$AB91),"-")</f>
        <v/>
      </c>
      <c r="BY91" s="22">
        <f>IF(AND($H91&lt;&gt;"",$AC91&lt;&gt;"",$H91&lt;&gt;$AC91,IFERROR(VLOOKUP($H91,areaCercaPuntiClassificaSquadra,3,FALSE),-1)=IFERROR(VLOOKUP($AC91,areaCercaPuntiClassificaSquadra,3,FALSE),-2)),SUMIFS(Dati!$F$2:$F$451,Dati!$A$2:$A$451,$H91,Dati!$H$2:$H$451,$AC91)+SUMIFS(Dati!$M$2:$M$451,Dati!$H$2:$H$451,$H91,Dati!$A$2:$A$451,$AC91),"-")</f>
        <v/>
      </c>
      <c r="BZ91" s="22">
        <f>IF(AND($H91&lt;&gt;"",$AD91&lt;&gt;"",$H91&lt;&gt;$AD91,IFERROR(VLOOKUP($H91,areaCercaPuntiClassificaSquadra,3,FALSE),-1)=IFERROR(VLOOKUP($AD91,areaCercaPuntiClassificaSquadra,3,FALSE),-2)),SUMIFS(Dati!$F$2:$F$451,Dati!$A$2:$A$451,$H91,Dati!$H$2:$H$451,$AD91)+SUMIFS(Dati!$M$2:$M$451,Dati!$H$2:$H$451,$H91,Dati!$A$2:$A$451,$AD91),"-")</f>
        <v/>
      </c>
      <c r="CA91" s="22">
        <f>IF(AND($H91&lt;&gt;"",$AE91&lt;&gt;"",$H91&lt;&gt;$AE91,IFERROR(VLOOKUP($H91,areaCercaPuntiClassificaSquadra,3,FALSE),-1)=IFERROR(VLOOKUP($AE91,areaCercaPuntiClassificaSquadra,3,FALSE),-2)),SUMIFS(Dati!$F$2:$F$451,Dati!$A$2:$A$451,$H91,Dati!$H$2:$H$451,$AE91)+SUMIFS(Dati!$M$2:$M$451,Dati!$H$2:$H$451,$H91,Dati!$A$2:$A$451,$AE91),"-")</f>
        <v/>
      </c>
      <c r="CB91" s="22">
        <f>IF(AND($H91&lt;&gt;"",$AF91&lt;&gt;"",$H91&lt;&gt;$AF91,IFERROR(VLOOKUP($H91,areaCercaPuntiClassificaSquadra,3,FALSE),-1)=IFERROR(VLOOKUP($AF91,areaCercaPuntiClassificaSquadra,3,FALSE),-2)),SUMIFS(Dati!$F$2:$F$451,Dati!$A$2:$A$451,$H91,Dati!$H$2:$H$451,$AF91)+SUMIFS(Dati!$M$2:$M$451,Dati!$H$2:$H$451,$H91,Dati!$A$2:$A$451,$AF91),"-")</f>
        <v/>
      </c>
      <c r="CC91" s="22">
        <f>IF(AND($H91&lt;&gt;"",$AG91&lt;&gt;"",$H91&lt;&gt;$AG91,IFERROR(VLOOKUP($H91,areaCercaPuntiClassificaSquadra,3,FALSE),-1)=IFERROR(VLOOKUP($AG91,areaCercaPuntiClassificaSquadra,3,FALSE),-2)),SUMIFS(Dati!$F$2:$F$451,Dati!$A$2:$A$451,$H91,Dati!$H$2:$H$451,$AG91)+SUMIFS(Dati!$M$2:$M$451,Dati!$H$2:$H$451,$H91,Dati!$A$2:$A$451,$AG91),"-")</f>
        <v/>
      </c>
      <c r="CD91" s="22">
        <f>IF(AND($H91&lt;&gt;"",$AH91&lt;&gt;"",$H91&lt;&gt;$AH91,IFERROR(VLOOKUP($H91,areaCercaPuntiClassificaSquadra,3,FALSE),-1)=IFERROR(VLOOKUP($AH91,areaCercaPuntiClassificaSquadra,3,FALSE),-2)),SUMIFS(Dati!$F$2:$F$451,Dati!$A$2:$A$451,$H91,Dati!$H$2:$H$451,$AH91)+SUMIFS(Dati!$M$2:$M$451,Dati!$H$2:$H$451,$H91,Dati!$A$2:$A$451,$AH91),"-")</f>
        <v/>
      </c>
      <c r="CF91" s="22">
        <f>IF($C91="","",SUM(AK91:AT91))</f>
        <v/>
      </c>
    </row>
    <row r="92">
      <c r="B92" s="12" t="inlineStr">
        <is>
          <t>H09</t>
        </is>
      </c>
      <c r="C92" s="13" t="n"/>
      <c r="D92" s="14" t="n"/>
      <c r="E92" s="35" t="inlineStr">
        <is>
          <t>H</t>
        </is>
      </c>
      <c r="G92" s="36">
        <f>IF($C92="","",$E92&amp;(COUNTIFS(I$14:I$113,"&gt;"&amp;I92,E$14:E$113,"="&amp;E92,C$14:C$113,"&lt;&gt;")+COUNTIFS(I$14:I$113,"="&amp;I92,H$14:H$113,"&lt;="&amp;H92,E$14:E$113,"="&amp;E92,C$14:C$113,"&lt;&gt;")))</f>
        <v/>
      </c>
      <c r="H92" s="17">
        <f>IF($C92="","",IFERROR(LEFT($C92,FIND("-",$C92)-1),$C92))</f>
        <v/>
      </c>
      <c r="I92" s="12">
        <f>TEXT(1000000000+J92,"|0000000000|")&amp;TEXT(SUM(AK92:AT92),"0000000000|")&amp;IF(SUM(BU92:CD92)=0,"0000000000|",TEXT(ROUND(SUM(BI92:BR92)/SUM(BU92:CD92),4)*100000,"0000000000|"))&amp;IF(P92=0,"0000000000|",TEXT(ROUND(O92/P92,4)*100000,"0000000000|"))</f>
        <v/>
      </c>
      <c r="J92" s="36">
        <f>L92*constPuntiVittoria+M92*constPuntiSconfitta+N92*constPuntiForfait+IF(D92="",0,D92)</f>
        <v/>
      </c>
      <c r="K92" s="12">
        <f>SUM(L92:N92)</f>
        <v/>
      </c>
      <c r="L92" s="12">
        <f>IF($H92="",0,SUMIF(Dati!$A$2:$A$451,$H92,Dati!$B$2:$B$451)+SUMIF(Dati!$H$2:$H$451,$H92,Dati!$I$2:$I$451))</f>
        <v/>
      </c>
      <c r="M92" s="12">
        <f>IF($H92="",0,SUMIF(Dati!$A$2:$A$451,$H92,Dati!$D$2:$D$451)+SUMIF(Dati!$H$2:$H$451,$H92,Dati!$K$2:$K$451))</f>
        <v/>
      </c>
      <c r="N92" s="12">
        <f>IF($H92="",0,SUMIF(Dati!$A$2:$A$451,$H92,Dati!$C$2:$C$451)+SUMIF(Dati!$H$2:$H$451,$H92,Dati!$J$2:$J$451))</f>
        <v/>
      </c>
      <c r="O92" s="12">
        <f>IF($H92="",0,SUMIF(Dati!$A$2:$A$451,$H92,Dati!$E$2:$E$451)+SUMIF(Dati!$H$2:$H$451,$H92,Dati!$L$2:$L$451))</f>
        <v/>
      </c>
      <c r="P92" s="12">
        <f>IF($H92="",0,SUMIF(Dati!$A$2:$A$451,$H92,Dati!$F$2:$F$451)+SUMIF(Dati!$H$2:$H$451,$H92,Dati!$M$2:$M$451))</f>
        <v/>
      </c>
      <c r="Q92" s="12">
        <f>IF($H92="",0,SUMIF(Dati!$A$2:$A$451,$H92,Dati!$G$2:$G$451)+SUMIF(Dati!$H$2:$H$451,$H92,Dati!$N$2:$N$451))</f>
        <v/>
      </c>
      <c r="R92" s="12">
        <f>IF(K92=0,0,ROUND(O92/K92,2))</f>
        <v/>
      </c>
      <c r="S92" s="12">
        <f>IF(K92=0,0,ROUND(P92/K92,2))</f>
        <v/>
      </c>
      <c r="T92" s="12">
        <f>IF(K92=0,0,ROUND(Q92/K92,2))</f>
        <v/>
      </c>
      <c r="U92" s="12">
        <f>IF(COUNTIFS($E$14:$E$113,$E92,$J$14:$J$113,$J92,$C$14:$C$113,"&lt;&gt;")&lt;=1,"-",SUM(AK92:AT92)&amp;"-"&amp;SUM(AW92:BF92))</f>
        <v/>
      </c>
      <c r="V92" s="18">
        <f>IF(COUNTIFS($E$14:$E$113,$E92,$J$14:$J$113,$J92,$C$14:$C$113,"&lt;&gt;",$CF$14:$CF$113,$CF92)&lt;=1,"-",IF(SUM(BU92:CD92)=0,0,ROUND(SUM(BI92:BR92)/SUM(BU92:CD92),3)))</f>
        <v/>
      </c>
      <c r="W92" s="18">
        <f>IF(COUNTIFS($E$14:$E$113,$E92,$J$14:$J$113,$J92,$C$14:$C$113,"&lt;&gt;",$CF$14:$CF$113,$CF92,$V$14:$V$113,$V92)&lt;=1,"-",IF(P92=0,0,ROUND(O92/P92,3)))</f>
        <v/>
      </c>
      <c r="X92" s="19">
        <f>IF($C92="","",$E92&amp;"#"&amp;COUNTIFS($E$14:$E92,$E92,$C$14:$C92,"&lt;&gt;"))</f>
        <v/>
      </c>
      <c r="Y92" s="20">
        <f>IFERROR(INDEX($H$14:$H$113,MATCH($E92&amp;"#1",$X$14:$X$113,0)),"")</f>
        <v/>
      </c>
      <c r="Z92" s="20">
        <f>IFERROR(INDEX($H$14:$H$113,MATCH($E92&amp;"#2",$X$14:$X$113,0)),"")</f>
        <v/>
      </c>
      <c r="AA92" s="20">
        <f>IFERROR(INDEX($H$14:$H$113,MATCH($E92&amp;"#3",$X$14:$X$113,0)),"")</f>
        <v/>
      </c>
      <c r="AB92" s="20">
        <f>IFERROR(INDEX($H$14:$H$113,MATCH($E92&amp;"#4",$X$14:$X$113,0)),"")</f>
        <v/>
      </c>
      <c r="AC92" s="20">
        <f>IFERROR(INDEX($H$14:$H$113,MATCH($E92&amp;"#5",$X$14:$X$113,0)),"")</f>
        <v/>
      </c>
      <c r="AD92" s="20">
        <f>IFERROR(INDEX($H$14:$H$113,MATCH($E92&amp;"#6",$X$14:$X$113,0)),"")</f>
        <v/>
      </c>
      <c r="AE92" s="20">
        <f>IFERROR(INDEX($H$14:$H$113,MATCH($E92&amp;"#7",$X$14:$X$113,0)),"")</f>
        <v/>
      </c>
      <c r="AF92" s="20">
        <f>IFERROR(INDEX($H$14:$H$113,MATCH($E92&amp;"#8",$X$14:$X$113,0)),"")</f>
        <v/>
      </c>
      <c r="AG92" s="20">
        <f>IFERROR(INDEX($H$14:$H$113,MATCH($E92&amp;"#9",$X$14:$X$113,0)),"")</f>
        <v/>
      </c>
      <c r="AH92" s="20">
        <f>IFERROR(INDEX($H$14:$H$113,MATCH($E92&amp;"#10",$X$14:$X$113,0)),"")</f>
        <v/>
      </c>
      <c r="AJ92" s="21">
        <f>$C92</f>
        <v/>
      </c>
      <c r="AK92" s="22">
        <f>IF(AND($H92&lt;&gt;"",$Y92&lt;&gt;"",$H92&lt;&gt;$Y92,IFERROR(VLOOKUP($H92,areaCercaPuntiClassificaSquadra,3,FALSE),-1)=IFERROR(VLOOKUP($Y92,areaCercaPuntiClassificaSquadra,3,FALSE),-2)),SUMIFS(Dati!$B$2:$B$451,Dati!$A$2:$A$451,$H92,Dati!$H$2:$H$451,$Y92)+SUMIFS(Dati!$I$2:$I$451,Dati!$H$2:$H$451,$H92,Dati!$A$2:$A$451,$Y92),"-")</f>
        <v/>
      </c>
      <c r="AL92" s="22">
        <f>IF(AND($H92&lt;&gt;"",$Z92&lt;&gt;"",$H92&lt;&gt;$Z92,IFERROR(VLOOKUP($H92,areaCercaPuntiClassificaSquadra,3,FALSE),-1)=IFERROR(VLOOKUP($Z92,areaCercaPuntiClassificaSquadra,3,FALSE),-2)),SUMIFS(Dati!$B$2:$B$451,Dati!$A$2:$A$451,$H92,Dati!$H$2:$H$451,$Z92)+SUMIFS(Dati!$I$2:$I$451,Dati!$H$2:$H$451,$H92,Dati!$A$2:$A$451,$Z92),"-")</f>
        <v/>
      </c>
      <c r="AM92" s="22">
        <f>IF(AND($H92&lt;&gt;"",$AA92&lt;&gt;"",$H92&lt;&gt;$AA92,IFERROR(VLOOKUP($H92,areaCercaPuntiClassificaSquadra,3,FALSE),-1)=IFERROR(VLOOKUP($AA92,areaCercaPuntiClassificaSquadra,3,FALSE),-2)),SUMIFS(Dati!$B$2:$B$451,Dati!$A$2:$A$451,$H92,Dati!$H$2:$H$451,$AA92)+SUMIFS(Dati!$I$2:$I$451,Dati!$H$2:$H$451,$H92,Dati!$A$2:$A$451,$AA92),"-")</f>
        <v/>
      </c>
      <c r="AN92" s="22">
        <f>IF(AND($H92&lt;&gt;"",$AB92&lt;&gt;"",$H92&lt;&gt;$AB92,IFERROR(VLOOKUP($H92,areaCercaPuntiClassificaSquadra,3,FALSE),-1)=IFERROR(VLOOKUP($AB92,areaCercaPuntiClassificaSquadra,3,FALSE),-2)),SUMIFS(Dati!$B$2:$B$451,Dati!$A$2:$A$451,$H92,Dati!$H$2:$H$451,$AB92)+SUMIFS(Dati!$I$2:$I$451,Dati!$H$2:$H$451,$H92,Dati!$A$2:$A$451,$AB92),"-")</f>
        <v/>
      </c>
      <c r="AO92" s="22">
        <f>IF(AND($H92&lt;&gt;"",$AC92&lt;&gt;"",$H92&lt;&gt;$AC92,IFERROR(VLOOKUP($H92,areaCercaPuntiClassificaSquadra,3,FALSE),-1)=IFERROR(VLOOKUP($AC92,areaCercaPuntiClassificaSquadra,3,FALSE),-2)),SUMIFS(Dati!$B$2:$B$451,Dati!$A$2:$A$451,$H92,Dati!$H$2:$H$451,$AC92)+SUMIFS(Dati!$I$2:$I$451,Dati!$H$2:$H$451,$H92,Dati!$A$2:$A$451,$AC92),"-")</f>
        <v/>
      </c>
      <c r="AP92" s="22">
        <f>IF(AND($H92&lt;&gt;"",$AD92&lt;&gt;"",$H92&lt;&gt;$AD92,IFERROR(VLOOKUP($H92,areaCercaPuntiClassificaSquadra,3,FALSE),-1)=IFERROR(VLOOKUP($AD92,areaCercaPuntiClassificaSquadra,3,FALSE),-2)),SUMIFS(Dati!$B$2:$B$451,Dati!$A$2:$A$451,$H92,Dati!$H$2:$H$451,$AD92)+SUMIFS(Dati!$I$2:$I$451,Dati!$H$2:$H$451,$H92,Dati!$A$2:$A$451,$AD92),"-")</f>
        <v/>
      </c>
      <c r="AQ92" s="22">
        <f>IF(AND($H92&lt;&gt;"",$AE92&lt;&gt;"",$H92&lt;&gt;$AE92,IFERROR(VLOOKUP($H92,areaCercaPuntiClassificaSquadra,3,FALSE),-1)=IFERROR(VLOOKUP($AE92,areaCercaPuntiClassificaSquadra,3,FALSE),-2)),SUMIFS(Dati!$B$2:$B$451,Dati!$A$2:$A$451,$H92,Dati!$H$2:$H$451,$AE92)+SUMIFS(Dati!$I$2:$I$451,Dati!$H$2:$H$451,$H92,Dati!$A$2:$A$451,$AE92),"-")</f>
        <v/>
      </c>
      <c r="AR92" s="22">
        <f>IF(AND($H92&lt;&gt;"",$AF92&lt;&gt;"",$H92&lt;&gt;$AF92,IFERROR(VLOOKUP($H92,areaCercaPuntiClassificaSquadra,3,FALSE),-1)=IFERROR(VLOOKUP($AF92,areaCercaPuntiClassificaSquadra,3,FALSE),-2)),SUMIFS(Dati!$B$2:$B$451,Dati!$A$2:$A$451,$H92,Dati!$H$2:$H$451,$AF92)+SUMIFS(Dati!$I$2:$I$451,Dati!$H$2:$H$451,$H92,Dati!$A$2:$A$451,$AF92),"-")</f>
        <v/>
      </c>
      <c r="AS92" s="22">
        <f>IF(AND($H92&lt;&gt;"",$AG92&lt;&gt;"",$H92&lt;&gt;$AG92,IFERROR(VLOOKUP($H92,areaCercaPuntiClassificaSquadra,3,FALSE),-1)=IFERROR(VLOOKUP($AG92,areaCercaPuntiClassificaSquadra,3,FALSE),-2)),SUMIFS(Dati!$B$2:$B$451,Dati!$A$2:$A$451,$H92,Dati!$H$2:$H$451,$AG92)+SUMIFS(Dati!$I$2:$I$451,Dati!$H$2:$H$451,$H92,Dati!$A$2:$A$451,$AG92),"-")</f>
        <v/>
      </c>
      <c r="AT92" s="22">
        <f>IF(AND($H92&lt;&gt;"",$AH92&lt;&gt;"",$H92&lt;&gt;$AH92,IFERROR(VLOOKUP($H92,areaCercaPuntiClassificaSquadra,3,FALSE),-1)=IFERROR(VLOOKUP($AH92,areaCercaPuntiClassificaSquadra,3,FALSE),-2)),SUMIFS(Dati!$B$2:$B$451,Dati!$A$2:$A$451,$H92,Dati!$H$2:$H$451,$AH92)+SUMIFS(Dati!$I$2:$I$451,Dati!$H$2:$H$451,$H92,Dati!$A$2:$A$451,$AH92),"-")</f>
        <v/>
      </c>
      <c r="AV92" s="21">
        <f>$C92</f>
        <v/>
      </c>
      <c r="AW92" s="22">
        <f>IF(AND($H92&lt;&gt;"",$Y92&lt;&gt;"",$H92&lt;&gt;$Y92,IFERROR(VLOOKUP($H92,areaCercaPuntiClassificaSquadra,3,FALSE),-1)=IFERROR(VLOOKUP($Y92,areaCercaPuntiClassificaSquadra,3,FALSE),-2)),SUMIFS(Dati!$D$2:$D$451,Dati!$A$2:$A$451,$H92,Dati!$H$2:$H$451,$Y92)+SUMIFS(Dati!$K$2:$K$451,Dati!$H$2:$H$451,$H92,Dati!$A$2:$A$451,$Y92)+SUMIFS(Dati!$C$2:$C$451,Dati!$A$2:$A$451,$H92,Dati!$H$2:$H$451,$Y92)+SUMIFS(Dati!$J$2:$J$451,Dati!$H$2:$H$451,$H92,Dati!$A$2:$A$451,$Y92),"-")</f>
        <v/>
      </c>
      <c r="AX92" s="22">
        <f>IF(AND($H92&lt;&gt;"",$Z92&lt;&gt;"",$H92&lt;&gt;$Z92,IFERROR(VLOOKUP($H92,areaCercaPuntiClassificaSquadra,3,FALSE),-1)=IFERROR(VLOOKUP($Z92,areaCercaPuntiClassificaSquadra,3,FALSE),-2)),SUMIFS(Dati!$D$2:$D$451,Dati!$A$2:$A$451,$H92,Dati!$H$2:$H$451,$Z92)+SUMIFS(Dati!$K$2:$K$451,Dati!$H$2:$H$451,$H92,Dati!$A$2:$A$451,$Z92)+SUMIFS(Dati!$C$2:$C$451,Dati!$A$2:$A$451,$H92,Dati!$H$2:$H$451,$Z92)+SUMIFS(Dati!$J$2:$J$451,Dati!$H$2:$H$451,$H92,Dati!$A$2:$A$451,$Z92),"-")</f>
        <v/>
      </c>
      <c r="AY92" s="22">
        <f>IF(AND($H92&lt;&gt;"",$AA92&lt;&gt;"",$H92&lt;&gt;$AA92,IFERROR(VLOOKUP($H92,areaCercaPuntiClassificaSquadra,3,FALSE),-1)=IFERROR(VLOOKUP($AA92,areaCercaPuntiClassificaSquadra,3,FALSE),-2)),SUMIFS(Dati!$D$2:$D$451,Dati!$A$2:$A$451,$H92,Dati!$H$2:$H$451,$AA92)+SUMIFS(Dati!$K$2:$K$451,Dati!$H$2:$H$451,$H92,Dati!$A$2:$A$451,$AA92)+SUMIFS(Dati!$C$2:$C$451,Dati!$A$2:$A$451,$H92,Dati!$H$2:$H$451,$AA92)+SUMIFS(Dati!$J$2:$J$451,Dati!$H$2:$H$451,$H92,Dati!$A$2:$A$451,$AA92),"-")</f>
        <v/>
      </c>
      <c r="AZ92" s="22">
        <f>IF(AND($H92&lt;&gt;"",$AB92&lt;&gt;"",$H92&lt;&gt;$AB92,IFERROR(VLOOKUP($H92,areaCercaPuntiClassificaSquadra,3,FALSE),-1)=IFERROR(VLOOKUP($AB92,areaCercaPuntiClassificaSquadra,3,FALSE),-2)),SUMIFS(Dati!$D$2:$D$451,Dati!$A$2:$A$451,$H92,Dati!$H$2:$H$451,$AB92)+SUMIFS(Dati!$K$2:$K$451,Dati!$H$2:$H$451,$H92,Dati!$A$2:$A$451,$AB92)+SUMIFS(Dati!$C$2:$C$451,Dati!$A$2:$A$451,$H92,Dati!$H$2:$H$451,$AB92)+SUMIFS(Dati!$J$2:$J$451,Dati!$H$2:$H$451,$H92,Dati!$A$2:$A$451,$AB92),"-")</f>
        <v/>
      </c>
      <c r="BA92" s="22">
        <f>IF(AND($H92&lt;&gt;"",$AC92&lt;&gt;"",$H92&lt;&gt;$AC92,IFERROR(VLOOKUP($H92,areaCercaPuntiClassificaSquadra,3,FALSE),-1)=IFERROR(VLOOKUP($AC92,areaCercaPuntiClassificaSquadra,3,FALSE),-2)),SUMIFS(Dati!$D$2:$D$451,Dati!$A$2:$A$451,$H92,Dati!$H$2:$H$451,$AC92)+SUMIFS(Dati!$K$2:$K$451,Dati!$H$2:$H$451,$H92,Dati!$A$2:$A$451,$AC92)+SUMIFS(Dati!$C$2:$C$451,Dati!$A$2:$A$451,$H92,Dati!$H$2:$H$451,$AC92)+SUMIFS(Dati!$J$2:$J$451,Dati!$H$2:$H$451,$H92,Dati!$A$2:$A$451,$AC92),"-")</f>
        <v/>
      </c>
      <c r="BB92" s="22">
        <f>IF(AND($H92&lt;&gt;"",$AD92&lt;&gt;"",$H92&lt;&gt;$AD92,IFERROR(VLOOKUP($H92,areaCercaPuntiClassificaSquadra,3,FALSE),-1)=IFERROR(VLOOKUP($AD92,areaCercaPuntiClassificaSquadra,3,FALSE),-2)),SUMIFS(Dati!$D$2:$D$451,Dati!$A$2:$A$451,$H92,Dati!$H$2:$H$451,$AD92)+SUMIFS(Dati!$K$2:$K$451,Dati!$H$2:$H$451,$H92,Dati!$A$2:$A$451,$AD92)+SUMIFS(Dati!$C$2:$C$451,Dati!$A$2:$A$451,$H92,Dati!$H$2:$H$451,$AD92)+SUMIFS(Dati!$J$2:$J$451,Dati!$H$2:$H$451,$H92,Dati!$A$2:$A$451,$AD92),"-")</f>
        <v/>
      </c>
      <c r="BC92" s="22">
        <f>IF(AND($H92&lt;&gt;"",$AE92&lt;&gt;"",$H92&lt;&gt;$AE92,IFERROR(VLOOKUP($H92,areaCercaPuntiClassificaSquadra,3,FALSE),-1)=IFERROR(VLOOKUP($AE92,areaCercaPuntiClassificaSquadra,3,FALSE),-2)),SUMIFS(Dati!$D$2:$D$451,Dati!$A$2:$A$451,$H92,Dati!$H$2:$H$451,$AE92)+SUMIFS(Dati!$K$2:$K$451,Dati!$H$2:$H$451,$H92,Dati!$A$2:$A$451,$AE92)+SUMIFS(Dati!$C$2:$C$451,Dati!$A$2:$A$451,$H92,Dati!$H$2:$H$451,$AE92)+SUMIFS(Dati!$J$2:$J$451,Dati!$H$2:$H$451,$H92,Dati!$A$2:$A$451,$AE92),"-")</f>
        <v/>
      </c>
      <c r="BD92" s="22">
        <f>IF(AND($H92&lt;&gt;"",$AF92&lt;&gt;"",$H92&lt;&gt;$AF92,IFERROR(VLOOKUP($H92,areaCercaPuntiClassificaSquadra,3,FALSE),-1)=IFERROR(VLOOKUP($AF92,areaCercaPuntiClassificaSquadra,3,FALSE),-2)),SUMIFS(Dati!$D$2:$D$451,Dati!$A$2:$A$451,$H92,Dati!$H$2:$H$451,$AF92)+SUMIFS(Dati!$K$2:$K$451,Dati!$H$2:$H$451,$H92,Dati!$A$2:$A$451,$AF92)+SUMIFS(Dati!$C$2:$C$451,Dati!$A$2:$A$451,$H92,Dati!$H$2:$H$451,$AF92)+SUMIFS(Dati!$J$2:$J$451,Dati!$H$2:$H$451,$H92,Dati!$A$2:$A$451,$AF92),"-")</f>
        <v/>
      </c>
      <c r="BE92" s="22">
        <f>IF(AND($H92&lt;&gt;"",$AG92&lt;&gt;"",$H92&lt;&gt;$AG92,IFERROR(VLOOKUP($H92,areaCercaPuntiClassificaSquadra,3,FALSE),-1)=IFERROR(VLOOKUP($AG92,areaCercaPuntiClassificaSquadra,3,FALSE),-2)),SUMIFS(Dati!$D$2:$D$451,Dati!$A$2:$A$451,$H92,Dati!$H$2:$H$451,$AG92)+SUMIFS(Dati!$K$2:$K$451,Dati!$H$2:$H$451,$H92,Dati!$A$2:$A$451,$AG92)+SUMIFS(Dati!$C$2:$C$451,Dati!$A$2:$A$451,$H92,Dati!$H$2:$H$451,$AG92)+SUMIFS(Dati!$J$2:$J$451,Dati!$H$2:$H$451,$H92,Dati!$A$2:$A$451,$AG92),"-")</f>
        <v/>
      </c>
      <c r="BF92" s="22">
        <f>IF(AND($H92&lt;&gt;"",$AH92&lt;&gt;"",$H92&lt;&gt;$AH92,IFERROR(VLOOKUP($H92,areaCercaPuntiClassificaSquadra,3,FALSE),-1)=IFERROR(VLOOKUP($AH92,areaCercaPuntiClassificaSquadra,3,FALSE),-2)),SUMIFS(Dati!$D$2:$D$451,Dati!$A$2:$A$451,$H92,Dati!$H$2:$H$451,$AH92)+SUMIFS(Dati!$K$2:$K$451,Dati!$H$2:$H$451,$H92,Dati!$A$2:$A$451,$AH92)+SUMIFS(Dati!$C$2:$C$451,Dati!$A$2:$A$451,$H92,Dati!$H$2:$H$451,$AH92)+SUMIFS(Dati!$J$2:$J$451,Dati!$H$2:$H$451,$H92,Dati!$A$2:$A$451,$AH92),"-")</f>
        <v/>
      </c>
      <c r="BH92" s="21">
        <f>$C92</f>
        <v/>
      </c>
      <c r="BI92" s="22">
        <f>IF(AND($H92&lt;&gt;"",$Y92&lt;&gt;"",$H92&lt;&gt;$Y92,IFERROR(VLOOKUP($H92,areaCercaPuntiClassificaSquadra,3,FALSE),-1)=IFERROR(VLOOKUP($Y92,areaCercaPuntiClassificaSquadra,3,FALSE),-2)),SUMIFS(Dati!$E$2:$E$451,Dati!$A$2:$A$451,$H92,Dati!$H$2:$H$451,$Y92)+SUMIFS(Dati!$L$2:$L$451,Dati!$H$2:$H$451,$H92,Dati!$A$2:$A$451,$Y92),"-")</f>
        <v/>
      </c>
      <c r="BJ92" s="22">
        <f>IF(AND($H92&lt;&gt;"",$Z92&lt;&gt;"",$H92&lt;&gt;$Z92,IFERROR(VLOOKUP($H92,areaCercaPuntiClassificaSquadra,3,FALSE),-1)=IFERROR(VLOOKUP($Z92,areaCercaPuntiClassificaSquadra,3,FALSE),-2)),SUMIFS(Dati!$E$2:$E$451,Dati!$A$2:$A$451,$H92,Dati!$H$2:$H$451,$Z92)+SUMIFS(Dati!$L$2:$L$451,Dati!$H$2:$H$451,$H92,Dati!$A$2:$A$451,$Z92),"-")</f>
        <v/>
      </c>
      <c r="BK92" s="22">
        <f>IF(AND($H92&lt;&gt;"",$AA92&lt;&gt;"",$H92&lt;&gt;$AA92,IFERROR(VLOOKUP($H92,areaCercaPuntiClassificaSquadra,3,FALSE),-1)=IFERROR(VLOOKUP($AA92,areaCercaPuntiClassificaSquadra,3,FALSE),-2)),SUMIFS(Dati!$E$2:$E$451,Dati!$A$2:$A$451,$H92,Dati!$H$2:$H$451,$AA92)+SUMIFS(Dati!$L$2:$L$451,Dati!$H$2:$H$451,$H92,Dati!$A$2:$A$451,$AA92),"-")</f>
        <v/>
      </c>
      <c r="BL92" s="22">
        <f>IF(AND($H92&lt;&gt;"",$AB92&lt;&gt;"",$H92&lt;&gt;$AB92,IFERROR(VLOOKUP($H92,areaCercaPuntiClassificaSquadra,3,FALSE),-1)=IFERROR(VLOOKUP($AB92,areaCercaPuntiClassificaSquadra,3,FALSE),-2)),SUMIFS(Dati!$E$2:$E$451,Dati!$A$2:$A$451,$H92,Dati!$H$2:$H$451,$AB92)+SUMIFS(Dati!$L$2:$L$451,Dati!$H$2:$H$451,$H92,Dati!$A$2:$A$451,$AB92),"-")</f>
        <v/>
      </c>
      <c r="BM92" s="22">
        <f>IF(AND($H92&lt;&gt;"",$AC92&lt;&gt;"",$H92&lt;&gt;$AC92,IFERROR(VLOOKUP($H92,areaCercaPuntiClassificaSquadra,3,FALSE),-1)=IFERROR(VLOOKUP($AC92,areaCercaPuntiClassificaSquadra,3,FALSE),-2)),SUMIFS(Dati!$E$2:$E$451,Dati!$A$2:$A$451,$H92,Dati!$H$2:$H$451,$AC92)+SUMIFS(Dati!$L$2:$L$451,Dati!$H$2:$H$451,$H92,Dati!$A$2:$A$451,$AC92),"-")</f>
        <v/>
      </c>
      <c r="BN92" s="22">
        <f>IF(AND($H92&lt;&gt;"",$AD92&lt;&gt;"",$H92&lt;&gt;$AD92,IFERROR(VLOOKUP($H92,areaCercaPuntiClassificaSquadra,3,FALSE),-1)=IFERROR(VLOOKUP($AD92,areaCercaPuntiClassificaSquadra,3,FALSE),-2)),SUMIFS(Dati!$E$2:$E$451,Dati!$A$2:$A$451,$H92,Dati!$H$2:$H$451,$AD92)+SUMIFS(Dati!$L$2:$L$451,Dati!$H$2:$H$451,$H92,Dati!$A$2:$A$451,$AD92),"-")</f>
        <v/>
      </c>
      <c r="BO92" s="22">
        <f>IF(AND($H92&lt;&gt;"",$AE92&lt;&gt;"",$H92&lt;&gt;$AE92,IFERROR(VLOOKUP($H92,areaCercaPuntiClassificaSquadra,3,FALSE),-1)=IFERROR(VLOOKUP($AE92,areaCercaPuntiClassificaSquadra,3,FALSE),-2)),SUMIFS(Dati!$E$2:$E$451,Dati!$A$2:$A$451,$H92,Dati!$H$2:$H$451,$AE92)+SUMIFS(Dati!$L$2:$L$451,Dati!$H$2:$H$451,$H92,Dati!$A$2:$A$451,$AE92),"-")</f>
        <v/>
      </c>
      <c r="BP92" s="22">
        <f>IF(AND($H92&lt;&gt;"",$AF92&lt;&gt;"",$H92&lt;&gt;$AF92,IFERROR(VLOOKUP($H92,areaCercaPuntiClassificaSquadra,3,FALSE),-1)=IFERROR(VLOOKUP($AF92,areaCercaPuntiClassificaSquadra,3,FALSE),-2)),SUMIFS(Dati!$E$2:$E$451,Dati!$A$2:$A$451,$H92,Dati!$H$2:$H$451,$AF92)+SUMIFS(Dati!$L$2:$L$451,Dati!$H$2:$H$451,$H92,Dati!$A$2:$A$451,$AF92),"-")</f>
        <v/>
      </c>
      <c r="BQ92" s="22">
        <f>IF(AND($H92&lt;&gt;"",$AG92&lt;&gt;"",$H92&lt;&gt;$AG92,IFERROR(VLOOKUP($H92,areaCercaPuntiClassificaSquadra,3,FALSE),-1)=IFERROR(VLOOKUP($AG92,areaCercaPuntiClassificaSquadra,3,FALSE),-2)),SUMIFS(Dati!$E$2:$E$451,Dati!$A$2:$A$451,$H92,Dati!$H$2:$H$451,$AG92)+SUMIFS(Dati!$L$2:$L$451,Dati!$H$2:$H$451,$H92,Dati!$A$2:$A$451,$AG92),"-")</f>
        <v/>
      </c>
      <c r="BR92" s="22">
        <f>IF(AND($H92&lt;&gt;"",$AH92&lt;&gt;"",$H92&lt;&gt;$AH92,IFERROR(VLOOKUP($H92,areaCercaPuntiClassificaSquadra,3,FALSE),-1)=IFERROR(VLOOKUP($AH92,areaCercaPuntiClassificaSquadra,3,FALSE),-2)),SUMIFS(Dati!$E$2:$E$451,Dati!$A$2:$A$451,$H92,Dati!$H$2:$H$451,$AH92)+SUMIFS(Dati!$L$2:$L$451,Dati!$H$2:$H$451,$H92,Dati!$A$2:$A$451,$AH92),"-")</f>
        <v/>
      </c>
      <c r="BT92" s="21">
        <f>$C92</f>
        <v/>
      </c>
      <c r="BU92" s="22">
        <f>IF(AND($H92&lt;&gt;"",$Y92&lt;&gt;"",$H92&lt;&gt;$Y92,IFERROR(VLOOKUP($H92,areaCercaPuntiClassificaSquadra,3,FALSE),-1)=IFERROR(VLOOKUP($Y92,areaCercaPuntiClassificaSquadra,3,FALSE),-2)),SUMIFS(Dati!$F$2:$F$451,Dati!$A$2:$A$451,$H92,Dati!$H$2:$H$451,$Y92)+SUMIFS(Dati!$M$2:$M$451,Dati!$H$2:$H$451,$H92,Dati!$A$2:$A$451,$Y92),"-")</f>
        <v/>
      </c>
      <c r="BV92" s="22">
        <f>IF(AND($H92&lt;&gt;"",$Z92&lt;&gt;"",$H92&lt;&gt;$Z92,IFERROR(VLOOKUP($H92,areaCercaPuntiClassificaSquadra,3,FALSE),-1)=IFERROR(VLOOKUP($Z92,areaCercaPuntiClassificaSquadra,3,FALSE),-2)),SUMIFS(Dati!$F$2:$F$451,Dati!$A$2:$A$451,$H92,Dati!$H$2:$H$451,$Z92)+SUMIFS(Dati!$M$2:$M$451,Dati!$H$2:$H$451,$H92,Dati!$A$2:$A$451,$Z92),"-")</f>
        <v/>
      </c>
      <c r="BW92" s="22">
        <f>IF(AND($H92&lt;&gt;"",$AA92&lt;&gt;"",$H92&lt;&gt;$AA92,IFERROR(VLOOKUP($H92,areaCercaPuntiClassificaSquadra,3,FALSE),-1)=IFERROR(VLOOKUP($AA92,areaCercaPuntiClassificaSquadra,3,FALSE),-2)),SUMIFS(Dati!$F$2:$F$451,Dati!$A$2:$A$451,$H92,Dati!$H$2:$H$451,$AA92)+SUMIFS(Dati!$M$2:$M$451,Dati!$H$2:$H$451,$H92,Dati!$A$2:$A$451,$AA92),"-")</f>
        <v/>
      </c>
      <c r="BX92" s="22">
        <f>IF(AND($H92&lt;&gt;"",$AB92&lt;&gt;"",$H92&lt;&gt;$AB92,IFERROR(VLOOKUP($H92,areaCercaPuntiClassificaSquadra,3,FALSE),-1)=IFERROR(VLOOKUP($AB92,areaCercaPuntiClassificaSquadra,3,FALSE),-2)),SUMIFS(Dati!$F$2:$F$451,Dati!$A$2:$A$451,$H92,Dati!$H$2:$H$451,$AB92)+SUMIFS(Dati!$M$2:$M$451,Dati!$H$2:$H$451,$H92,Dati!$A$2:$A$451,$AB92),"-")</f>
        <v/>
      </c>
      <c r="BY92" s="22">
        <f>IF(AND($H92&lt;&gt;"",$AC92&lt;&gt;"",$H92&lt;&gt;$AC92,IFERROR(VLOOKUP($H92,areaCercaPuntiClassificaSquadra,3,FALSE),-1)=IFERROR(VLOOKUP($AC92,areaCercaPuntiClassificaSquadra,3,FALSE),-2)),SUMIFS(Dati!$F$2:$F$451,Dati!$A$2:$A$451,$H92,Dati!$H$2:$H$451,$AC92)+SUMIFS(Dati!$M$2:$M$451,Dati!$H$2:$H$451,$H92,Dati!$A$2:$A$451,$AC92),"-")</f>
        <v/>
      </c>
      <c r="BZ92" s="22">
        <f>IF(AND($H92&lt;&gt;"",$AD92&lt;&gt;"",$H92&lt;&gt;$AD92,IFERROR(VLOOKUP($H92,areaCercaPuntiClassificaSquadra,3,FALSE),-1)=IFERROR(VLOOKUP($AD92,areaCercaPuntiClassificaSquadra,3,FALSE),-2)),SUMIFS(Dati!$F$2:$F$451,Dati!$A$2:$A$451,$H92,Dati!$H$2:$H$451,$AD92)+SUMIFS(Dati!$M$2:$M$451,Dati!$H$2:$H$451,$H92,Dati!$A$2:$A$451,$AD92),"-")</f>
        <v/>
      </c>
      <c r="CA92" s="22">
        <f>IF(AND($H92&lt;&gt;"",$AE92&lt;&gt;"",$H92&lt;&gt;$AE92,IFERROR(VLOOKUP($H92,areaCercaPuntiClassificaSquadra,3,FALSE),-1)=IFERROR(VLOOKUP($AE92,areaCercaPuntiClassificaSquadra,3,FALSE),-2)),SUMIFS(Dati!$F$2:$F$451,Dati!$A$2:$A$451,$H92,Dati!$H$2:$H$451,$AE92)+SUMIFS(Dati!$M$2:$M$451,Dati!$H$2:$H$451,$H92,Dati!$A$2:$A$451,$AE92),"-")</f>
        <v/>
      </c>
      <c r="CB92" s="22">
        <f>IF(AND($H92&lt;&gt;"",$AF92&lt;&gt;"",$H92&lt;&gt;$AF92,IFERROR(VLOOKUP($H92,areaCercaPuntiClassificaSquadra,3,FALSE),-1)=IFERROR(VLOOKUP($AF92,areaCercaPuntiClassificaSquadra,3,FALSE),-2)),SUMIFS(Dati!$F$2:$F$451,Dati!$A$2:$A$451,$H92,Dati!$H$2:$H$451,$AF92)+SUMIFS(Dati!$M$2:$M$451,Dati!$H$2:$H$451,$H92,Dati!$A$2:$A$451,$AF92),"-")</f>
        <v/>
      </c>
      <c r="CC92" s="22">
        <f>IF(AND($H92&lt;&gt;"",$AG92&lt;&gt;"",$H92&lt;&gt;$AG92,IFERROR(VLOOKUP($H92,areaCercaPuntiClassificaSquadra,3,FALSE),-1)=IFERROR(VLOOKUP($AG92,areaCercaPuntiClassificaSquadra,3,FALSE),-2)),SUMIFS(Dati!$F$2:$F$451,Dati!$A$2:$A$451,$H92,Dati!$H$2:$H$451,$AG92)+SUMIFS(Dati!$M$2:$M$451,Dati!$H$2:$H$451,$H92,Dati!$A$2:$A$451,$AG92),"-")</f>
        <v/>
      </c>
      <c r="CD92" s="22">
        <f>IF(AND($H92&lt;&gt;"",$AH92&lt;&gt;"",$H92&lt;&gt;$AH92,IFERROR(VLOOKUP($H92,areaCercaPuntiClassificaSquadra,3,FALSE),-1)=IFERROR(VLOOKUP($AH92,areaCercaPuntiClassificaSquadra,3,FALSE),-2)),SUMIFS(Dati!$F$2:$F$451,Dati!$A$2:$A$451,$H92,Dati!$H$2:$H$451,$AH92)+SUMIFS(Dati!$M$2:$M$451,Dati!$H$2:$H$451,$H92,Dati!$A$2:$A$451,$AH92),"-")</f>
        <v/>
      </c>
      <c r="CF92" s="22">
        <f>IF($C92="","",SUM(AK92:AT92))</f>
        <v/>
      </c>
    </row>
    <row r="93">
      <c r="B93" s="12" t="inlineStr">
        <is>
          <t>H10</t>
        </is>
      </c>
      <c r="C93" s="13" t="n"/>
      <c r="D93" s="14" t="n"/>
      <c r="E93" s="35" t="inlineStr">
        <is>
          <t>H</t>
        </is>
      </c>
      <c r="G93" s="36">
        <f>IF($C93="","",$E93&amp;(COUNTIFS(I$14:I$113,"&gt;"&amp;I93,E$14:E$113,"="&amp;E93,C$14:C$113,"&lt;&gt;")+COUNTIFS(I$14:I$113,"="&amp;I93,H$14:H$113,"&lt;="&amp;H93,E$14:E$113,"="&amp;E93,C$14:C$113,"&lt;&gt;")))</f>
        <v/>
      </c>
      <c r="H93" s="17">
        <f>IF($C93="","",IFERROR(LEFT($C93,FIND("-",$C93)-1),$C93))</f>
        <v/>
      </c>
      <c r="I93" s="12">
        <f>TEXT(1000000000+J93,"|0000000000|")&amp;TEXT(SUM(AK93:AT93),"0000000000|")&amp;IF(SUM(BU93:CD93)=0,"0000000000|",TEXT(ROUND(SUM(BI93:BR93)/SUM(BU93:CD93),4)*100000,"0000000000|"))&amp;IF(P93=0,"0000000000|",TEXT(ROUND(O93/P93,4)*100000,"0000000000|"))</f>
        <v/>
      </c>
      <c r="J93" s="36">
        <f>L93*constPuntiVittoria+M93*constPuntiSconfitta+N93*constPuntiForfait+IF(D93="",0,D93)</f>
        <v/>
      </c>
      <c r="K93" s="12">
        <f>SUM(L93:N93)</f>
        <v/>
      </c>
      <c r="L93" s="12">
        <f>IF($H93="",0,SUMIF(Dati!$A$2:$A$451,$H93,Dati!$B$2:$B$451)+SUMIF(Dati!$H$2:$H$451,$H93,Dati!$I$2:$I$451))</f>
        <v/>
      </c>
      <c r="M93" s="12">
        <f>IF($H93="",0,SUMIF(Dati!$A$2:$A$451,$H93,Dati!$D$2:$D$451)+SUMIF(Dati!$H$2:$H$451,$H93,Dati!$K$2:$K$451))</f>
        <v/>
      </c>
      <c r="N93" s="12">
        <f>IF($H93="",0,SUMIF(Dati!$A$2:$A$451,$H93,Dati!$C$2:$C$451)+SUMIF(Dati!$H$2:$H$451,$H93,Dati!$J$2:$J$451))</f>
        <v/>
      </c>
      <c r="O93" s="12">
        <f>IF($H93="",0,SUMIF(Dati!$A$2:$A$451,$H93,Dati!$E$2:$E$451)+SUMIF(Dati!$H$2:$H$451,$H93,Dati!$L$2:$L$451))</f>
        <v/>
      </c>
      <c r="P93" s="12">
        <f>IF($H93="",0,SUMIF(Dati!$A$2:$A$451,$H93,Dati!$F$2:$F$451)+SUMIF(Dati!$H$2:$H$451,$H93,Dati!$M$2:$M$451))</f>
        <v/>
      </c>
      <c r="Q93" s="12">
        <f>IF($H93="",0,SUMIF(Dati!$A$2:$A$451,$H93,Dati!$G$2:$G$451)+SUMIF(Dati!$H$2:$H$451,$H93,Dati!$N$2:$N$451))</f>
        <v/>
      </c>
      <c r="R93" s="12">
        <f>IF(K93=0,0,ROUND(O93/K93,2))</f>
        <v/>
      </c>
      <c r="S93" s="12">
        <f>IF(K93=0,0,ROUND(P93/K93,2))</f>
        <v/>
      </c>
      <c r="T93" s="12">
        <f>IF(K93=0,0,ROUND(Q93/K93,2))</f>
        <v/>
      </c>
      <c r="U93" s="12">
        <f>IF(COUNTIFS($E$14:$E$113,$E93,$J$14:$J$113,$J93,$C$14:$C$113,"&lt;&gt;")&lt;=1,"-",SUM(AK93:AT93)&amp;"-"&amp;SUM(AW93:BF93))</f>
        <v/>
      </c>
      <c r="V93" s="18">
        <f>IF(COUNTIFS($E$14:$E$113,$E93,$J$14:$J$113,$J93,$C$14:$C$113,"&lt;&gt;",$CF$14:$CF$113,$CF93)&lt;=1,"-",IF(SUM(BU93:CD93)=0,0,ROUND(SUM(BI93:BR93)/SUM(BU93:CD93),3)))</f>
        <v/>
      </c>
      <c r="W93" s="18">
        <f>IF(COUNTIFS($E$14:$E$113,$E93,$J$14:$J$113,$J93,$C$14:$C$113,"&lt;&gt;",$CF$14:$CF$113,$CF93,$V$14:$V$113,$V93)&lt;=1,"-",IF(P93=0,0,ROUND(O93/P93,3)))</f>
        <v/>
      </c>
      <c r="X93" s="19">
        <f>IF($C93="","",$E93&amp;"#"&amp;COUNTIFS($E$14:$E93,$E93,$C$14:$C93,"&lt;&gt;"))</f>
        <v/>
      </c>
      <c r="Y93" s="20">
        <f>IFERROR(INDEX($H$14:$H$113,MATCH($E93&amp;"#1",$X$14:$X$113,0)),"")</f>
        <v/>
      </c>
      <c r="Z93" s="20">
        <f>IFERROR(INDEX($H$14:$H$113,MATCH($E93&amp;"#2",$X$14:$X$113,0)),"")</f>
        <v/>
      </c>
      <c r="AA93" s="20">
        <f>IFERROR(INDEX($H$14:$H$113,MATCH($E93&amp;"#3",$X$14:$X$113,0)),"")</f>
        <v/>
      </c>
      <c r="AB93" s="20">
        <f>IFERROR(INDEX($H$14:$H$113,MATCH($E93&amp;"#4",$X$14:$X$113,0)),"")</f>
        <v/>
      </c>
      <c r="AC93" s="20">
        <f>IFERROR(INDEX($H$14:$H$113,MATCH($E93&amp;"#5",$X$14:$X$113,0)),"")</f>
        <v/>
      </c>
      <c r="AD93" s="20">
        <f>IFERROR(INDEX($H$14:$H$113,MATCH($E93&amp;"#6",$X$14:$X$113,0)),"")</f>
        <v/>
      </c>
      <c r="AE93" s="20">
        <f>IFERROR(INDEX($H$14:$H$113,MATCH($E93&amp;"#7",$X$14:$X$113,0)),"")</f>
        <v/>
      </c>
      <c r="AF93" s="20">
        <f>IFERROR(INDEX($H$14:$H$113,MATCH($E93&amp;"#8",$X$14:$X$113,0)),"")</f>
        <v/>
      </c>
      <c r="AG93" s="20">
        <f>IFERROR(INDEX($H$14:$H$113,MATCH($E93&amp;"#9",$X$14:$X$113,0)),"")</f>
        <v/>
      </c>
      <c r="AH93" s="20">
        <f>IFERROR(INDEX($H$14:$H$113,MATCH($E93&amp;"#10",$X$14:$X$113,0)),"")</f>
        <v/>
      </c>
      <c r="AJ93" s="21">
        <f>$C93</f>
        <v/>
      </c>
      <c r="AK93" s="22">
        <f>IF(AND($H93&lt;&gt;"",$Y93&lt;&gt;"",$H93&lt;&gt;$Y93,IFERROR(VLOOKUP($H93,areaCercaPuntiClassificaSquadra,3,FALSE),-1)=IFERROR(VLOOKUP($Y93,areaCercaPuntiClassificaSquadra,3,FALSE),-2)),SUMIFS(Dati!$B$2:$B$451,Dati!$A$2:$A$451,$H93,Dati!$H$2:$H$451,$Y93)+SUMIFS(Dati!$I$2:$I$451,Dati!$H$2:$H$451,$H93,Dati!$A$2:$A$451,$Y93),"-")</f>
        <v/>
      </c>
      <c r="AL93" s="22">
        <f>IF(AND($H93&lt;&gt;"",$Z93&lt;&gt;"",$H93&lt;&gt;$Z93,IFERROR(VLOOKUP($H93,areaCercaPuntiClassificaSquadra,3,FALSE),-1)=IFERROR(VLOOKUP($Z93,areaCercaPuntiClassificaSquadra,3,FALSE),-2)),SUMIFS(Dati!$B$2:$B$451,Dati!$A$2:$A$451,$H93,Dati!$H$2:$H$451,$Z93)+SUMIFS(Dati!$I$2:$I$451,Dati!$H$2:$H$451,$H93,Dati!$A$2:$A$451,$Z93),"-")</f>
        <v/>
      </c>
      <c r="AM93" s="22">
        <f>IF(AND($H93&lt;&gt;"",$AA93&lt;&gt;"",$H93&lt;&gt;$AA93,IFERROR(VLOOKUP($H93,areaCercaPuntiClassificaSquadra,3,FALSE),-1)=IFERROR(VLOOKUP($AA93,areaCercaPuntiClassificaSquadra,3,FALSE),-2)),SUMIFS(Dati!$B$2:$B$451,Dati!$A$2:$A$451,$H93,Dati!$H$2:$H$451,$AA93)+SUMIFS(Dati!$I$2:$I$451,Dati!$H$2:$H$451,$H93,Dati!$A$2:$A$451,$AA93),"-")</f>
        <v/>
      </c>
      <c r="AN93" s="22">
        <f>IF(AND($H93&lt;&gt;"",$AB93&lt;&gt;"",$H93&lt;&gt;$AB93,IFERROR(VLOOKUP($H93,areaCercaPuntiClassificaSquadra,3,FALSE),-1)=IFERROR(VLOOKUP($AB93,areaCercaPuntiClassificaSquadra,3,FALSE),-2)),SUMIFS(Dati!$B$2:$B$451,Dati!$A$2:$A$451,$H93,Dati!$H$2:$H$451,$AB93)+SUMIFS(Dati!$I$2:$I$451,Dati!$H$2:$H$451,$H93,Dati!$A$2:$A$451,$AB93),"-")</f>
        <v/>
      </c>
      <c r="AO93" s="22">
        <f>IF(AND($H93&lt;&gt;"",$AC93&lt;&gt;"",$H93&lt;&gt;$AC93,IFERROR(VLOOKUP($H93,areaCercaPuntiClassificaSquadra,3,FALSE),-1)=IFERROR(VLOOKUP($AC93,areaCercaPuntiClassificaSquadra,3,FALSE),-2)),SUMIFS(Dati!$B$2:$B$451,Dati!$A$2:$A$451,$H93,Dati!$H$2:$H$451,$AC93)+SUMIFS(Dati!$I$2:$I$451,Dati!$H$2:$H$451,$H93,Dati!$A$2:$A$451,$AC93),"-")</f>
        <v/>
      </c>
      <c r="AP93" s="22">
        <f>IF(AND($H93&lt;&gt;"",$AD93&lt;&gt;"",$H93&lt;&gt;$AD93,IFERROR(VLOOKUP($H93,areaCercaPuntiClassificaSquadra,3,FALSE),-1)=IFERROR(VLOOKUP($AD93,areaCercaPuntiClassificaSquadra,3,FALSE),-2)),SUMIFS(Dati!$B$2:$B$451,Dati!$A$2:$A$451,$H93,Dati!$H$2:$H$451,$AD93)+SUMIFS(Dati!$I$2:$I$451,Dati!$H$2:$H$451,$H93,Dati!$A$2:$A$451,$AD93),"-")</f>
        <v/>
      </c>
      <c r="AQ93" s="22">
        <f>IF(AND($H93&lt;&gt;"",$AE93&lt;&gt;"",$H93&lt;&gt;$AE93,IFERROR(VLOOKUP($H93,areaCercaPuntiClassificaSquadra,3,FALSE),-1)=IFERROR(VLOOKUP($AE93,areaCercaPuntiClassificaSquadra,3,FALSE),-2)),SUMIFS(Dati!$B$2:$B$451,Dati!$A$2:$A$451,$H93,Dati!$H$2:$H$451,$AE93)+SUMIFS(Dati!$I$2:$I$451,Dati!$H$2:$H$451,$H93,Dati!$A$2:$A$451,$AE93),"-")</f>
        <v/>
      </c>
      <c r="AR93" s="22">
        <f>IF(AND($H93&lt;&gt;"",$AF93&lt;&gt;"",$H93&lt;&gt;$AF93,IFERROR(VLOOKUP($H93,areaCercaPuntiClassificaSquadra,3,FALSE),-1)=IFERROR(VLOOKUP($AF93,areaCercaPuntiClassificaSquadra,3,FALSE),-2)),SUMIFS(Dati!$B$2:$B$451,Dati!$A$2:$A$451,$H93,Dati!$H$2:$H$451,$AF93)+SUMIFS(Dati!$I$2:$I$451,Dati!$H$2:$H$451,$H93,Dati!$A$2:$A$451,$AF93),"-")</f>
        <v/>
      </c>
      <c r="AS93" s="22">
        <f>IF(AND($H93&lt;&gt;"",$AG93&lt;&gt;"",$H93&lt;&gt;$AG93,IFERROR(VLOOKUP($H93,areaCercaPuntiClassificaSquadra,3,FALSE),-1)=IFERROR(VLOOKUP($AG93,areaCercaPuntiClassificaSquadra,3,FALSE),-2)),SUMIFS(Dati!$B$2:$B$451,Dati!$A$2:$A$451,$H93,Dati!$H$2:$H$451,$AG93)+SUMIFS(Dati!$I$2:$I$451,Dati!$H$2:$H$451,$H93,Dati!$A$2:$A$451,$AG93),"-")</f>
        <v/>
      </c>
      <c r="AT93" s="22">
        <f>IF(AND($H93&lt;&gt;"",$AH93&lt;&gt;"",$H93&lt;&gt;$AH93,IFERROR(VLOOKUP($H93,areaCercaPuntiClassificaSquadra,3,FALSE),-1)=IFERROR(VLOOKUP($AH93,areaCercaPuntiClassificaSquadra,3,FALSE),-2)),SUMIFS(Dati!$B$2:$B$451,Dati!$A$2:$A$451,$H93,Dati!$H$2:$H$451,$AH93)+SUMIFS(Dati!$I$2:$I$451,Dati!$H$2:$H$451,$H93,Dati!$A$2:$A$451,$AH93),"-")</f>
        <v/>
      </c>
      <c r="AV93" s="21">
        <f>$C93</f>
        <v/>
      </c>
      <c r="AW93" s="22">
        <f>IF(AND($H93&lt;&gt;"",$Y93&lt;&gt;"",$H93&lt;&gt;$Y93,IFERROR(VLOOKUP($H93,areaCercaPuntiClassificaSquadra,3,FALSE),-1)=IFERROR(VLOOKUP($Y93,areaCercaPuntiClassificaSquadra,3,FALSE),-2)),SUMIFS(Dati!$D$2:$D$451,Dati!$A$2:$A$451,$H93,Dati!$H$2:$H$451,$Y93)+SUMIFS(Dati!$K$2:$K$451,Dati!$H$2:$H$451,$H93,Dati!$A$2:$A$451,$Y93)+SUMIFS(Dati!$C$2:$C$451,Dati!$A$2:$A$451,$H93,Dati!$H$2:$H$451,$Y93)+SUMIFS(Dati!$J$2:$J$451,Dati!$H$2:$H$451,$H93,Dati!$A$2:$A$451,$Y93),"-")</f>
        <v/>
      </c>
      <c r="AX93" s="22">
        <f>IF(AND($H93&lt;&gt;"",$Z93&lt;&gt;"",$H93&lt;&gt;$Z93,IFERROR(VLOOKUP($H93,areaCercaPuntiClassificaSquadra,3,FALSE),-1)=IFERROR(VLOOKUP($Z93,areaCercaPuntiClassificaSquadra,3,FALSE),-2)),SUMIFS(Dati!$D$2:$D$451,Dati!$A$2:$A$451,$H93,Dati!$H$2:$H$451,$Z93)+SUMIFS(Dati!$K$2:$K$451,Dati!$H$2:$H$451,$H93,Dati!$A$2:$A$451,$Z93)+SUMIFS(Dati!$C$2:$C$451,Dati!$A$2:$A$451,$H93,Dati!$H$2:$H$451,$Z93)+SUMIFS(Dati!$J$2:$J$451,Dati!$H$2:$H$451,$H93,Dati!$A$2:$A$451,$Z93),"-")</f>
        <v/>
      </c>
      <c r="AY93" s="22">
        <f>IF(AND($H93&lt;&gt;"",$AA93&lt;&gt;"",$H93&lt;&gt;$AA93,IFERROR(VLOOKUP($H93,areaCercaPuntiClassificaSquadra,3,FALSE),-1)=IFERROR(VLOOKUP($AA93,areaCercaPuntiClassificaSquadra,3,FALSE),-2)),SUMIFS(Dati!$D$2:$D$451,Dati!$A$2:$A$451,$H93,Dati!$H$2:$H$451,$AA93)+SUMIFS(Dati!$K$2:$K$451,Dati!$H$2:$H$451,$H93,Dati!$A$2:$A$451,$AA93)+SUMIFS(Dati!$C$2:$C$451,Dati!$A$2:$A$451,$H93,Dati!$H$2:$H$451,$AA93)+SUMIFS(Dati!$J$2:$J$451,Dati!$H$2:$H$451,$H93,Dati!$A$2:$A$451,$AA93),"-")</f>
        <v/>
      </c>
      <c r="AZ93" s="22">
        <f>IF(AND($H93&lt;&gt;"",$AB93&lt;&gt;"",$H93&lt;&gt;$AB93,IFERROR(VLOOKUP($H93,areaCercaPuntiClassificaSquadra,3,FALSE),-1)=IFERROR(VLOOKUP($AB93,areaCercaPuntiClassificaSquadra,3,FALSE),-2)),SUMIFS(Dati!$D$2:$D$451,Dati!$A$2:$A$451,$H93,Dati!$H$2:$H$451,$AB93)+SUMIFS(Dati!$K$2:$K$451,Dati!$H$2:$H$451,$H93,Dati!$A$2:$A$451,$AB93)+SUMIFS(Dati!$C$2:$C$451,Dati!$A$2:$A$451,$H93,Dati!$H$2:$H$451,$AB93)+SUMIFS(Dati!$J$2:$J$451,Dati!$H$2:$H$451,$H93,Dati!$A$2:$A$451,$AB93),"-")</f>
        <v/>
      </c>
      <c r="BA93" s="22">
        <f>IF(AND($H93&lt;&gt;"",$AC93&lt;&gt;"",$H93&lt;&gt;$AC93,IFERROR(VLOOKUP($H93,areaCercaPuntiClassificaSquadra,3,FALSE),-1)=IFERROR(VLOOKUP($AC93,areaCercaPuntiClassificaSquadra,3,FALSE),-2)),SUMIFS(Dati!$D$2:$D$451,Dati!$A$2:$A$451,$H93,Dati!$H$2:$H$451,$AC93)+SUMIFS(Dati!$K$2:$K$451,Dati!$H$2:$H$451,$H93,Dati!$A$2:$A$451,$AC93)+SUMIFS(Dati!$C$2:$C$451,Dati!$A$2:$A$451,$H93,Dati!$H$2:$H$451,$AC93)+SUMIFS(Dati!$J$2:$J$451,Dati!$H$2:$H$451,$H93,Dati!$A$2:$A$451,$AC93),"-")</f>
        <v/>
      </c>
      <c r="BB93" s="22">
        <f>IF(AND($H93&lt;&gt;"",$AD93&lt;&gt;"",$H93&lt;&gt;$AD93,IFERROR(VLOOKUP($H93,areaCercaPuntiClassificaSquadra,3,FALSE),-1)=IFERROR(VLOOKUP($AD93,areaCercaPuntiClassificaSquadra,3,FALSE),-2)),SUMIFS(Dati!$D$2:$D$451,Dati!$A$2:$A$451,$H93,Dati!$H$2:$H$451,$AD93)+SUMIFS(Dati!$K$2:$K$451,Dati!$H$2:$H$451,$H93,Dati!$A$2:$A$451,$AD93)+SUMIFS(Dati!$C$2:$C$451,Dati!$A$2:$A$451,$H93,Dati!$H$2:$H$451,$AD93)+SUMIFS(Dati!$J$2:$J$451,Dati!$H$2:$H$451,$H93,Dati!$A$2:$A$451,$AD93),"-")</f>
        <v/>
      </c>
      <c r="BC93" s="22">
        <f>IF(AND($H93&lt;&gt;"",$AE93&lt;&gt;"",$H93&lt;&gt;$AE93,IFERROR(VLOOKUP($H93,areaCercaPuntiClassificaSquadra,3,FALSE),-1)=IFERROR(VLOOKUP($AE93,areaCercaPuntiClassificaSquadra,3,FALSE),-2)),SUMIFS(Dati!$D$2:$D$451,Dati!$A$2:$A$451,$H93,Dati!$H$2:$H$451,$AE93)+SUMIFS(Dati!$K$2:$K$451,Dati!$H$2:$H$451,$H93,Dati!$A$2:$A$451,$AE93)+SUMIFS(Dati!$C$2:$C$451,Dati!$A$2:$A$451,$H93,Dati!$H$2:$H$451,$AE93)+SUMIFS(Dati!$J$2:$J$451,Dati!$H$2:$H$451,$H93,Dati!$A$2:$A$451,$AE93),"-")</f>
        <v/>
      </c>
      <c r="BD93" s="22">
        <f>IF(AND($H93&lt;&gt;"",$AF93&lt;&gt;"",$H93&lt;&gt;$AF93,IFERROR(VLOOKUP($H93,areaCercaPuntiClassificaSquadra,3,FALSE),-1)=IFERROR(VLOOKUP($AF93,areaCercaPuntiClassificaSquadra,3,FALSE),-2)),SUMIFS(Dati!$D$2:$D$451,Dati!$A$2:$A$451,$H93,Dati!$H$2:$H$451,$AF93)+SUMIFS(Dati!$K$2:$K$451,Dati!$H$2:$H$451,$H93,Dati!$A$2:$A$451,$AF93)+SUMIFS(Dati!$C$2:$C$451,Dati!$A$2:$A$451,$H93,Dati!$H$2:$H$451,$AF93)+SUMIFS(Dati!$J$2:$J$451,Dati!$H$2:$H$451,$H93,Dati!$A$2:$A$451,$AF93),"-")</f>
        <v/>
      </c>
      <c r="BE93" s="22">
        <f>IF(AND($H93&lt;&gt;"",$AG93&lt;&gt;"",$H93&lt;&gt;$AG93,IFERROR(VLOOKUP($H93,areaCercaPuntiClassificaSquadra,3,FALSE),-1)=IFERROR(VLOOKUP($AG93,areaCercaPuntiClassificaSquadra,3,FALSE),-2)),SUMIFS(Dati!$D$2:$D$451,Dati!$A$2:$A$451,$H93,Dati!$H$2:$H$451,$AG93)+SUMIFS(Dati!$K$2:$K$451,Dati!$H$2:$H$451,$H93,Dati!$A$2:$A$451,$AG93)+SUMIFS(Dati!$C$2:$C$451,Dati!$A$2:$A$451,$H93,Dati!$H$2:$H$451,$AG93)+SUMIFS(Dati!$J$2:$J$451,Dati!$H$2:$H$451,$H93,Dati!$A$2:$A$451,$AG93),"-")</f>
        <v/>
      </c>
      <c r="BF93" s="22">
        <f>IF(AND($H93&lt;&gt;"",$AH93&lt;&gt;"",$H93&lt;&gt;$AH93,IFERROR(VLOOKUP($H93,areaCercaPuntiClassificaSquadra,3,FALSE),-1)=IFERROR(VLOOKUP($AH93,areaCercaPuntiClassificaSquadra,3,FALSE),-2)),SUMIFS(Dati!$D$2:$D$451,Dati!$A$2:$A$451,$H93,Dati!$H$2:$H$451,$AH93)+SUMIFS(Dati!$K$2:$K$451,Dati!$H$2:$H$451,$H93,Dati!$A$2:$A$451,$AH93)+SUMIFS(Dati!$C$2:$C$451,Dati!$A$2:$A$451,$H93,Dati!$H$2:$H$451,$AH93)+SUMIFS(Dati!$J$2:$J$451,Dati!$H$2:$H$451,$H93,Dati!$A$2:$A$451,$AH93),"-")</f>
        <v/>
      </c>
      <c r="BH93" s="21">
        <f>$C93</f>
        <v/>
      </c>
      <c r="BI93" s="22">
        <f>IF(AND($H93&lt;&gt;"",$Y93&lt;&gt;"",$H93&lt;&gt;$Y93,IFERROR(VLOOKUP($H93,areaCercaPuntiClassificaSquadra,3,FALSE),-1)=IFERROR(VLOOKUP($Y93,areaCercaPuntiClassificaSquadra,3,FALSE),-2)),SUMIFS(Dati!$E$2:$E$451,Dati!$A$2:$A$451,$H93,Dati!$H$2:$H$451,$Y93)+SUMIFS(Dati!$L$2:$L$451,Dati!$H$2:$H$451,$H93,Dati!$A$2:$A$451,$Y93),"-")</f>
        <v/>
      </c>
      <c r="BJ93" s="22">
        <f>IF(AND($H93&lt;&gt;"",$Z93&lt;&gt;"",$H93&lt;&gt;$Z93,IFERROR(VLOOKUP($H93,areaCercaPuntiClassificaSquadra,3,FALSE),-1)=IFERROR(VLOOKUP($Z93,areaCercaPuntiClassificaSquadra,3,FALSE),-2)),SUMIFS(Dati!$E$2:$E$451,Dati!$A$2:$A$451,$H93,Dati!$H$2:$H$451,$Z93)+SUMIFS(Dati!$L$2:$L$451,Dati!$H$2:$H$451,$H93,Dati!$A$2:$A$451,$Z93),"-")</f>
        <v/>
      </c>
      <c r="BK93" s="22">
        <f>IF(AND($H93&lt;&gt;"",$AA93&lt;&gt;"",$H93&lt;&gt;$AA93,IFERROR(VLOOKUP($H93,areaCercaPuntiClassificaSquadra,3,FALSE),-1)=IFERROR(VLOOKUP($AA93,areaCercaPuntiClassificaSquadra,3,FALSE),-2)),SUMIFS(Dati!$E$2:$E$451,Dati!$A$2:$A$451,$H93,Dati!$H$2:$H$451,$AA93)+SUMIFS(Dati!$L$2:$L$451,Dati!$H$2:$H$451,$H93,Dati!$A$2:$A$451,$AA93),"-")</f>
        <v/>
      </c>
      <c r="BL93" s="22">
        <f>IF(AND($H93&lt;&gt;"",$AB93&lt;&gt;"",$H93&lt;&gt;$AB93,IFERROR(VLOOKUP($H93,areaCercaPuntiClassificaSquadra,3,FALSE),-1)=IFERROR(VLOOKUP($AB93,areaCercaPuntiClassificaSquadra,3,FALSE),-2)),SUMIFS(Dati!$E$2:$E$451,Dati!$A$2:$A$451,$H93,Dati!$H$2:$H$451,$AB93)+SUMIFS(Dati!$L$2:$L$451,Dati!$H$2:$H$451,$H93,Dati!$A$2:$A$451,$AB93),"-")</f>
        <v/>
      </c>
      <c r="BM93" s="22">
        <f>IF(AND($H93&lt;&gt;"",$AC93&lt;&gt;"",$H93&lt;&gt;$AC93,IFERROR(VLOOKUP($H93,areaCercaPuntiClassificaSquadra,3,FALSE),-1)=IFERROR(VLOOKUP($AC93,areaCercaPuntiClassificaSquadra,3,FALSE),-2)),SUMIFS(Dati!$E$2:$E$451,Dati!$A$2:$A$451,$H93,Dati!$H$2:$H$451,$AC93)+SUMIFS(Dati!$L$2:$L$451,Dati!$H$2:$H$451,$H93,Dati!$A$2:$A$451,$AC93),"-")</f>
        <v/>
      </c>
      <c r="BN93" s="22">
        <f>IF(AND($H93&lt;&gt;"",$AD93&lt;&gt;"",$H93&lt;&gt;$AD93,IFERROR(VLOOKUP($H93,areaCercaPuntiClassificaSquadra,3,FALSE),-1)=IFERROR(VLOOKUP($AD93,areaCercaPuntiClassificaSquadra,3,FALSE),-2)),SUMIFS(Dati!$E$2:$E$451,Dati!$A$2:$A$451,$H93,Dati!$H$2:$H$451,$AD93)+SUMIFS(Dati!$L$2:$L$451,Dati!$H$2:$H$451,$H93,Dati!$A$2:$A$451,$AD93),"-")</f>
        <v/>
      </c>
      <c r="BO93" s="22">
        <f>IF(AND($H93&lt;&gt;"",$AE93&lt;&gt;"",$H93&lt;&gt;$AE93,IFERROR(VLOOKUP($H93,areaCercaPuntiClassificaSquadra,3,FALSE),-1)=IFERROR(VLOOKUP($AE93,areaCercaPuntiClassificaSquadra,3,FALSE),-2)),SUMIFS(Dati!$E$2:$E$451,Dati!$A$2:$A$451,$H93,Dati!$H$2:$H$451,$AE93)+SUMIFS(Dati!$L$2:$L$451,Dati!$H$2:$H$451,$H93,Dati!$A$2:$A$451,$AE93),"-")</f>
        <v/>
      </c>
      <c r="BP93" s="22">
        <f>IF(AND($H93&lt;&gt;"",$AF93&lt;&gt;"",$H93&lt;&gt;$AF93,IFERROR(VLOOKUP($H93,areaCercaPuntiClassificaSquadra,3,FALSE),-1)=IFERROR(VLOOKUP($AF93,areaCercaPuntiClassificaSquadra,3,FALSE),-2)),SUMIFS(Dati!$E$2:$E$451,Dati!$A$2:$A$451,$H93,Dati!$H$2:$H$451,$AF93)+SUMIFS(Dati!$L$2:$L$451,Dati!$H$2:$H$451,$H93,Dati!$A$2:$A$451,$AF93),"-")</f>
        <v/>
      </c>
      <c r="BQ93" s="22">
        <f>IF(AND($H93&lt;&gt;"",$AG93&lt;&gt;"",$H93&lt;&gt;$AG93,IFERROR(VLOOKUP($H93,areaCercaPuntiClassificaSquadra,3,FALSE),-1)=IFERROR(VLOOKUP($AG93,areaCercaPuntiClassificaSquadra,3,FALSE),-2)),SUMIFS(Dati!$E$2:$E$451,Dati!$A$2:$A$451,$H93,Dati!$H$2:$H$451,$AG93)+SUMIFS(Dati!$L$2:$L$451,Dati!$H$2:$H$451,$H93,Dati!$A$2:$A$451,$AG93),"-")</f>
        <v/>
      </c>
      <c r="BR93" s="22">
        <f>IF(AND($H93&lt;&gt;"",$AH93&lt;&gt;"",$H93&lt;&gt;$AH93,IFERROR(VLOOKUP($H93,areaCercaPuntiClassificaSquadra,3,FALSE),-1)=IFERROR(VLOOKUP($AH93,areaCercaPuntiClassificaSquadra,3,FALSE),-2)),SUMIFS(Dati!$E$2:$E$451,Dati!$A$2:$A$451,$H93,Dati!$H$2:$H$451,$AH93)+SUMIFS(Dati!$L$2:$L$451,Dati!$H$2:$H$451,$H93,Dati!$A$2:$A$451,$AH93),"-")</f>
        <v/>
      </c>
      <c r="BT93" s="21">
        <f>$C93</f>
        <v/>
      </c>
      <c r="BU93" s="22">
        <f>IF(AND($H93&lt;&gt;"",$Y93&lt;&gt;"",$H93&lt;&gt;$Y93,IFERROR(VLOOKUP($H93,areaCercaPuntiClassificaSquadra,3,FALSE),-1)=IFERROR(VLOOKUP($Y93,areaCercaPuntiClassificaSquadra,3,FALSE),-2)),SUMIFS(Dati!$F$2:$F$451,Dati!$A$2:$A$451,$H93,Dati!$H$2:$H$451,$Y93)+SUMIFS(Dati!$M$2:$M$451,Dati!$H$2:$H$451,$H93,Dati!$A$2:$A$451,$Y93),"-")</f>
        <v/>
      </c>
      <c r="BV93" s="22">
        <f>IF(AND($H93&lt;&gt;"",$Z93&lt;&gt;"",$H93&lt;&gt;$Z93,IFERROR(VLOOKUP($H93,areaCercaPuntiClassificaSquadra,3,FALSE),-1)=IFERROR(VLOOKUP($Z93,areaCercaPuntiClassificaSquadra,3,FALSE),-2)),SUMIFS(Dati!$F$2:$F$451,Dati!$A$2:$A$451,$H93,Dati!$H$2:$H$451,$Z93)+SUMIFS(Dati!$M$2:$M$451,Dati!$H$2:$H$451,$H93,Dati!$A$2:$A$451,$Z93),"-")</f>
        <v/>
      </c>
      <c r="BW93" s="22">
        <f>IF(AND($H93&lt;&gt;"",$AA93&lt;&gt;"",$H93&lt;&gt;$AA93,IFERROR(VLOOKUP($H93,areaCercaPuntiClassificaSquadra,3,FALSE),-1)=IFERROR(VLOOKUP($AA93,areaCercaPuntiClassificaSquadra,3,FALSE),-2)),SUMIFS(Dati!$F$2:$F$451,Dati!$A$2:$A$451,$H93,Dati!$H$2:$H$451,$AA93)+SUMIFS(Dati!$M$2:$M$451,Dati!$H$2:$H$451,$H93,Dati!$A$2:$A$451,$AA93),"-")</f>
        <v/>
      </c>
      <c r="BX93" s="22">
        <f>IF(AND($H93&lt;&gt;"",$AB93&lt;&gt;"",$H93&lt;&gt;$AB93,IFERROR(VLOOKUP($H93,areaCercaPuntiClassificaSquadra,3,FALSE),-1)=IFERROR(VLOOKUP($AB93,areaCercaPuntiClassificaSquadra,3,FALSE),-2)),SUMIFS(Dati!$F$2:$F$451,Dati!$A$2:$A$451,$H93,Dati!$H$2:$H$451,$AB93)+SUMIFS(Dati!$M$2:$M$451,Dati!$H$2:$H$451,$H93,Dati!$A$2:$A$451,$AB93),"-")</f>
        <v/>
      </c>
      <c r="BY93" s="22">
        <f>IF(AND($H93&lt;&gt;"",$AC93&lt;&gt;"",$H93&lt;&gt;$AC93,IFERROR(VLOOKUP($H93,areaCercaPuntiClassificaSquadra,3,FALSE),-1)=IFERROR(VLOOKUP($AC93,areaCercaPuntiClassificaSquadra,3,FALSE),-2)),SUMIFS(Dati!$F$2:$F$451,Dati!$A$2:$A$451,$H93,Dati!$H$2:$H$451,$AC93)+SUMIFS(Dati!$M$2:$M$451,Dati!$H$2:$H$451,$H93,Dati!$A$2:$A$451,$AC93),"-")</f>
        <v/>
      </c>
      <c r="BZ93" s="22">
        <f>IF(AND($H93&lt;&gt;"",$AD93&lt;&gt;"",$H93&lt;&gt;$AD93,IFERROR(VLOOKUP($H93,areaCercaPuntiClassificaSquadra,3,FALSE),-1)=IFERROR(VLOOKUP($AD93,areaCercaPuntiClassificaSquadra,3,FALSE),-2)),SUMIFS(Dati!$F$2:$F$451,Dati!$A$2:$A$451,$H93,Dati!$H$2:$H$451,$AD93)+SUMIFS(Dati!$M$2:$M$451,Dati!$H$2:$H$451,$H93,Dati!$A$2:$A$451,$AD93),"-")</f>
        <v/>
      </c>
      <c r="CA93" s="22">
        <f>IF(AND($H93&lt;&gt;"",$AE93&lt;&gt;"",$H93&lt;&gt;$AE93,IFERROR(VLOOKUP($H93,areaCercaPuntiClassificaSquadra,3,FALSE),-1)=IFERROR(VLOOKUP($AE93,areaCercaPuntiClassificaSquadra,3,FALSE),-2)),SUMIFS(Dati!$F$2:$F$451,Dati!$A$2:$A$451,$H93,Dati!$H$2:$H$451,$AE93)+SUMIFS(Dati!$M$2:$M$451,Dati!$H$2:$H$451,$H93,Dati!$A$2:$A$451,$AE93),"-")</f>
        <v/>
      </c>
      <c r="CB93" s="22">
        <f>IF(AND($H93&lt;&gt;"",$AF93&lt;&gt;"",$H93&lt;&gt;$AF93,IFERROR(VLOOKUP($H93,areaCercaPuntiClassificaSquadra,3,FALSE),-1)=IFERROR(VLOOKUP($AF93,areaCercaPuntiClassificaSquadra,3,FALSE),-2)),SUMIFS(Dati!$F$2:$F$451,Dati!$A$2:$A$451,$H93,Dati!$H$2:$H$451,$AF93)+SUMIFS(Dati!$M$2:$M$451,Dati!$H$2:$H$451,$H93,Dati!$A$2:$A$451,$AF93),"-")</f>
        <v/>
      </c>
      <c r="CC93" s="22">
        <f>IF(AND($H93&lt;&gt;"",$AG93&lt;&gt;"",$H93&lt;&gt;$AG93,IFERROR(VLOOKUP($H93,areaCercaPuntiClassificaSquadra,3,FALSE),-1)=IFERROR(VLOOKUP($AG93,areaCercaPuntiClassificaSquadra,3,FALSE),-2)),SUMIFS(Dati!$F$2:$F$451,Dati!$A$2:$A$451,$H93,Dati!$H$2:$H$451,$AG93)+SUMIFS(Dati!$M$2:$M$451,Dati!$H$2:$H$451,$H93,Dati!$A$2:$A$451,$AG93),"-")</f>
        <v/>
      </c>
      <c r="CD93" s="22">
        <f>IF(AND($H93&lt;&gt;"",$AH93&lt;&gt;"",$H93&lt;&gt;$AH93,IFERROR(VLOOKUP($H93,areaCercaPuntiClassificaSquadra,3,FALSE),-1)=IFERROR(VLOOKUP($AH93,areaCercaPuntiClassificaSquadra,3,FALSE),-2)),SUMIFS(Dati!$F$2:$F$451,Dati!$A$2:$A$451,$H93,Dati!$H$2:$H$451,$AH93)+SUMIFS(Dati!$M$2:$M$451,Dati!$H$2:$H$451,$H93,Dati!$A$2:$A$451,$AH93),"-")</f>
        <v/>
      </c>
      <c r="CF93" s="22">
        <f>IF($C93="","",SUM(AK93:AT93))</f>
        <v/>
      </c>
    </row>
    <row r="94">
      <c r="B94" s="12" t="inlineStr">
        <is>
          <t>I01</t>
        </is>
      </c>
      <c r="C94" s="13" t="n"/>
      <c r="D94" s="14" t="n"/>
      <c r="E94" s="37" t="inlineStr">
        <is>
          <t>I</t>
        </is>
      </c>
      <c r="G94" s="38">
        <f>IF($C94="","",$E94&amp;(COUNTIFS(I$14:I$113,"&gt;"&amp;I94,E$14:E$113,"="&amp;E94,C$14:C$113,"&lt;&gt;")+COUNTIFS(I$14:I$113,"="&amp;I94,H$14:H$113,"&lt;="&amp;H94,E$14:E$113,"="&amp;E94,C$14:C$113,"&lt;&gt;")))</f>
        <v/>
      </c>
      <c r="H94" s="17">
        <f>IF($C94="","",IFERROR(LEFT($C94,FIND("-",$C94)-1),$C94))</f>
        <v/>
      </c>
      <c r="I94" s="12">
        <f>TEXT(1000000000+J94,"|0000000000|")&amp;TEXT(SUM(AK94:AT94),"0000000000|")&amp;IF(SUM(BU94:CD94)=0,"0000000000|",TEXT(ROUND(SUM(BI94:BR94)/SUM(BU94:CD94),4)*100000,"0000000000|"))&amp;IF(P94=0,"0000000000|",TEXT(ROUND(O94/P94,4)*100000,"0000000000|"))</f>
        <v/>
      </c>
      <c r="J94" s="38">
        <f>L94*constPuntiVittoria+M94*constPuntiSconfitta+N94*constPuntiForfait+IF(D94="",0,D94)</f>
        <v/>
      </c>
      <c r="K94" s="12">
        <f>SUM(L94:N94)</f>
        <v/>
      </c>
      <c r="L94" s="12">
        <f>IF($H94="",0,SUMIF(Dati!$A$2:$A$451,$H94,Dati!$B$2:$B$451)+SUMIF(Dati!$H$2:$H$451,$H94,Dati!$I$2:$I$451))</f>
        <v/>
      </c>
      <c r="M94" s="12">
        <f>IF($H94="",0,SUMIF(Dati!$A$2:$A$451,$H94,Dati!$D$2:$D$451)+SUMIF(Dati!$H$2:$H$451,$H94,Dati!$K$2:$K$451))</f>
        <v/>
      </c>
      <c r="N94" s="12">
        <f>IF($H94="",0,SUMIF(Dati!$A$2:$A$451,$H94,Dati!$C$2:$C$451)+SUMIF(Dati!$H$2:$H$451,$H94,Dati!$J$2:$J$451))</f>
        <v/>
      </c>
      <c r="O94" s="12">
        <f>IF($H94="",0,SUMIF(Dati!$A$2:$A$451,$H94,Dati!$E$2:$E$451)+SUMIF(Dati!$H$2:$H$451,$H94,Dati!$L$2:$L$451))</f>
        <v/>
      </c>
      <c r="P94" s="12">
        <f>IF($H94="",0,SUMIF(Dati!$A$2:$A$451,$H94,Dati!$F$2:$F$451)+SUMIF(Dati!$H$2:$H$451,$H94,Dati!$M$2:$M$451))</f>
        <v/>
      </c>
      <c r="Q94" s="12">
        <f>IF($H94="",0,SUMIF(Dati!$A$2:$A$451,$H94,Dati!$G$2:$G$451)+SUMIF(Dati!$H$2:$H$451,$H94,Dati!$N$2:$N$451))</f>
        <v/>
      </c>
      <c r="R94" s="12">
        <f>IF(K94=0,0,ROUND(O94/K94,2))</f>
        <v/>
      </c>
      <c r="S94" s="12">
        <f>IF(K94=0,0,ROUND(P94/K94,2))</f>
        <v/>
      </c>
      <c r="T94" s="12">
        <f>IF(K94=0,0,ROUND(Q94/K94,2))</f>
        <v/>
      </c>
      <c r="U94" s="12">
        <f>IF(COUNTIFS($E$14:$E$113,$E94,$J$14:$J$113,$J94,$C$14:$C$113,"&lt;&gt;")&lt;=1,"-",SUM(AK94:AT94)&amp;"-"&amp;SUM(AW94:BF94))</f>
        <v/>
      </c>
      <c r="V94" s="18">
        <f>IF(COUNTIFS($E$14:$E$113,$E94,$J$14:$J$113,$J94,$C$14:$C$113,"&lt;&gt;",$CF$14:$CF$113,$CF94)&lt;=1,"-",IF(SUM(BU94:CD94)=0,0,ROUND(SUM(BI94:BR94)/SUM(BU94:CD94),3)))</f>
        <v/>
      </c>
      <c r="W94" s="18">
        <f>IF(COUNTIFS($E$14:$E$113,$E94,$J$14:$J$113,$J94,$C$14:$C$113,"&lt;&gt;",$CF$14:$CF$113,$CF94,$V$14:$V$113,$V94)&lt;=1,"-",IF(P94=0,0,ROUND(O94/P94,3)))</f>
        <v/>
      </c>
      <c r="X94" s="19">
        <f>IF($C94="","",$E94&amp;"#"&amp;COUNTIFS($E$14:$E94,$E94,$C$14:$C94,"&lt;&gt;"))</f>
        <v/>
      </c>
      <c r="Y94" s="20">
        <f>IFERROR(INDEX($H$14:$H$113,MATCH($E94&amp;"#1",$X$14:$X$113,0)),"")</f>
        <v/>
      </c>
      <c r="Z94" s="20">
        <f>IFERROR(INDEX($H$14:$H$113,MATCH($E94&amp;"#2",$X$14:$X$113,0)),"")</f>
        <v/>
      </c>
      <c r="AA94" s="20">
        <f>IFERROR(INDEX($H$14:$H$113,MATCH($E94&amp;"#3",$X$14:$X$113,0)),"")</f>
        <v/>
      </c>
      <c r="AB94" s="20">
        <f>IFERROR(INDEX($H$14:$H$113,MATCH($E94&amp;"#4",$X$14:$X$113,0)),"")</f>
        <v/>
      </c>
      <c r="AC94" s="20">
        <f>IFERROR(INDEX($H$14:$H$113,MATCH($E94&amp;"#5",$X$14:$X$113,0)),"")</f>
        <v/>
      </c>
      <c r="AD94" s="20">
        <f>IFERROR(INDEX($H$14:$H$113,MATCH($E94&amp;"#6",$X$14:$X$113,0)),"")</f>
        <v/>
      </c>
      <c r="AE94" s="20">
        <f>IFERROR(INDEX($H$14:$H$113,MATCH($E94&amp;"#7",$X$14:$X$113,0)),"")</f>
        <v/>
      </c>
      <c r="AF94" s="20">
        <f>IFERROR(INDEX($H$14:$H$113,MATCH($E94&amp;"#8",$X$14:$X$113,0)),"")</f>
        <v/>
      </c>
      <c r="AG94" s="20">
        <f>IFERROR(INDEX($H$14:$H$113,MATCH($E94&amp;"#9",$X$14:$X$113,0)),"")</f>
        <v/>
      </c>
      <c r="AH94" s="20">
        <f>IFERROR(INDEX($H$14:$H$113,MATCH($E94&amp;"#10",$X$14:$X$113,0)),"")</f>
        <v/>
      </c>
      <c r="AJ94" s="21">
        <f>$C94</f>
        <v/>
      </c>
      <c r="AK94" s="22">
        <f>IF(AND($H94&lt;&gt;"",$Y94&lt;&gt;"",$H94&lt;&gt;$Y94,IFERROR(VLOOKUP($H94,areaCercaPuntiClassificaSquadra,3,FALSE),-1)=IFERROR(VLOOKUP($Y94,areaCercaPuntiClassificaSquadra,3,FALSE),-2)),SUMIFS(Dati!$B$2:$B$451,Dati!$A$2:$A$451,$H94,Dati!$H$2:$H$451,$Y94)+SUMIFS(Dati!$I$2:$I$451,Dati!$H$2:$H$451,$H94,Dati!$A$2:$A$451,$Y94),"-")</f>
        <v/>
      </c>
      <c r="AL94" s="22">
        <f>IF(AND($H94&lt;&gt;"",$Z94&lt;&gt;"",$H94&lt;&gt;$Z94,IFERROR(VLOOKUP($H94,areaCercaPuntiClassificaSquadra,3,FALSE),-1)=IFERROR(VLOOKUP($Z94,areaCercaPuntiClassificaSquadra,3,FALSE),-2)),SUMIFS(Dati!$B$2:$B$451,Dati!$A$2:$A$451,$H94,Dati!$H$2:$H$451,$Z94)+SUMIFS(Dati!$I$2:$I$451,Dati!$H$2:$H$451,$H94,Dati!$A$2:$A$451,$Z94),"-")</f>
        <v/>
      </c>
      <c r="AM94" s="22">
        <f>IF(AND($H94&lt;&gt;"",$AA94&lt;&gt;"",$H94&lt;&gt;$AA94,IFERROR(VLOOKUP($H94,areaCercaPuntiClassificaSquadra,3,FALSE),-1)=IFERROR(VLOOKUP($AA94,areaCercaPuntiClassificaSquadra,3,FALSE),-2)),SUMIFS(Dati!$B$2:$B$451,Dati!$A$2:$A$451,$H94,Dati!$H$2:$H$451,$AA94)+SUMIFS(Dati!$I$2:$I$451,Dati!$H$2:$H$451,$H94,Dati!$A$2:$A$451,$AA94),"-")</f>
        <v/>
      </c>
      <c r="AN94" s="22">
        <f>IF(AND($H94&lt;&gt;"",$AB94&lt;&gt;"",$H94&lt;&gt;$AB94,IFERROR(VLOOKUP($H94,areaCercaPuntiClassificaSquadra,3,FALSE),-1)=IFERROR(VLOOKUP($AB94,areaCercaPuntiClassificaSquadra,3,FALSE),-2)),SUMIFS(Dati!$B$2:$B$451,Dati!$A$2:$A$451,$H94,Dati!$H$2:$H$451,$AB94)+SUMIFS(Dati!$I$2:$I$451,Dati!$H$2:$H$451,$H94,Dati!$A$2:$A$451,$AB94),"-")</f>
        <v/>
      </c>
      <c r="AO94" s="22">
        <f>IF(AND($H94&lt;&gt;"",$AC94&lt;&gt;"",$H94&lt;&gt;$AC94,IFERROR(VLOOKUP($H94,areaCercaPuntiClassificaSquadra,3,FALSE),-1)=IFERROR(VLOOKUP($AC94,areaCercaPuntiClassificaSquadra,3,FALSE),-2)),SUMIFS(Dati!$B$2:$B$451,Dati!$A$2:$A$451,$H94,Dati!$H$2:$H$451,$AC94)+SUMIFS(Dati!$I$2:$I$451,Dati!$H$2:$H$451,$H94,Dati!$A$2:$A$451,$AC94),"-")</f>
        <v/>
      </c>
      <c r="AP94" s="22">
        <f>IF(AND($H94&lt;&gt;"",$AD94&lt;&gt;"",$H94&lt;&gt;$AD94,IFERROR(VLOOKUP($H94,areaCercaPuntiClassificaSquadra,3,FALSE),-1)=IFERROR(VLOOKUP($AD94,areaCercaPuntiClassificaSquadra,3,FALSE),-2)),SUMIFS(Dati!$B$2:$B$451,Dati!$A$2:$A$451,$H94,Dati!$H$2:$H$451,$AD94)+SUMIFS(Dati!$I$2:$I$451,Dati!$H$2:$H$451,$H94,Dati!$A$2:$A$451,$AD94),"-")</f>
        <v/>
      </c>
      <c r="AQ94" s="22">
        <f>IF(AND($H94&lt;&gt;"",$AE94&lt;&gt;"",$H94&lt;&gt;$AE94,IFERROR(VLOOKUP($H94,areaCercaPuntiClassificaSquadra,3,FALSE),-1)=IFERROR(VLOOKUP($AE94,areaCercaPuntiClassificaSquadra,3,FALSE),-2)),SUMIFS(Dati!$B$2:$B$451,Dati!$A$2:$A$451,$H94,Dati!$H$2:$H$451,$AE94)+SUMIFS(Dati!$I$2:$I$451,Dati!$H$2:$H$451,$H94,Dati!$A$2:$A$451,$AE94),"-")</f>
        <v/>
      </c>
      <c r="AR94" s="22">
        <f>IF(AND($H94&lt;&gt;"",$AF94&lt;&gt;"",$H94&lt;&gt;$AF94,IFERROR(VLOOKUP($H94,areaCercaPuntiClassificaSquadra,3,FALSE),-1)=IFERROR(VLOOKUP($AF94,areaCercaPuntiClassificaSquadra,3,FALSE),-2)),SUMIFS(Dati!$B$2:$B$451,Dati!$A$2:$A$451,$H94,Dati!$H$2:$H$451,$AF94)+SUMIFS(Dati!$I$2:$I$451,Dati!$H$2:$H$451,$H94,Dati!$A$2:$A$451,$AF94),"-")</f>
        <v/>
      </c>
      <c r="AS94" s="22">
        <f>IF(AND($H94&lt;&gt;"",$AG94&lt;&gt;"",$H94&lt;&gt;$AG94,IFERROR(VLOOKUP($H94,areaCercaPuntiClassificaSquadra,3,FALSE),-1)=IFERROR(VLOOKUP($AG94,areaCercaPuntiClassificaSquadra,3,FALSE),-2)),SUMIFS(Dati!$B$2:$B$451,Dati!$A$2:$A$451,$H94,Dati!$H$2:$H$451,$AG94)+SUMIFS(Dati!$I$2:$I$451,Dati!$H$2:$H$451,$H94,Dati!$A$2:$A$451,$AG94),"-")</f>
        <v/>
      </c>
      <c r="AT94" s="22">
        <f>IF(AND($H94&lt;&gt;"",$AH94&lt;&gt;"",$H94&lt;&gt;$AH94,IFERROR(VLOOKUP($H94,areaCercaPuntiClassificaSquadra,3,FALSE),-1)=IFERROR(VLOOKUP($AH94,areaCercaPuntiClassificaSquadra,3,FALSE),-2)),SUMIFS(Dati!$B$2:$B$451,Dati!$A$2:$A$451,$H94,Dati!$H$2:$H$451,$AH94)+SUMIFS(Dati!$I$2:$I$451,Dati!$H$2:$H$451,$H94,Dati!$A$2:$A$451,$AH94),"-")</f>
        <v/>
      </c>
      <c r="AV94" s="21">
        <f>$C94</f>
        <v/>
      </c>
      <c r="AW94" s="22">
        <f>IF(AND($H94&lt;&gt;"",$Y94&lt;&gt;"",$H94&lt;&gt;$Y94,IFERROR(VLOOKUP($H94,areaCercaPuntiClassificaSquadra,3,FALSE),-1)=IFERROR(VLOOKUP($Y94,areaCercaPuntiClassificaSquadra,3,FALSE),-2)),SUMIFS(Dati!$D$2:$D$451,Dati!$A$2:$A$451,$H94,Dati!$H$2:$H$451,$Y94)+SUMIFS(Dati!$K$2:$K$451,Dati!$H$2:$H$451,$H94,Dati!$A$2:$A$451,$Y94)+SUMIFS(Dati!$C$2:$C$451,Dati!$A$2:$A$451,$H94,Dati!$H$2:$H$451,$Y94)+SUMIFS(Dati!$J$2:$J$451,Dati!$H$2:$H$451,$H94,Dati!$A$2:$A$451,$Y94),"-")</f>
        <v/>
      </c>
      <c r="AX94" s="22">
        <f>IF(AND($H94&lt;&gt;"",$Z94&lt;&gt;"",$H94&lt;&gt;$Z94,IFERROR(VLOOKUP($H94,areaCercaPuntiClassificaSquadra,3,FALSE),-1)=IFERROR(VLOOKUP($Z94,areaCercaPuntiClassificaSquadra,3,FALSE),-2)),SUMIFS(Dati!$D$2:$D$451,Dati!$A$2:$A$451,$H94,Dati!$H$2:$H$451,$Z94)+SUMIFS(Dati!$K$2:$K$451,Dati!$H$2:$H$451,$H94,Dati!$A$2:$A$451,$Z94)+SUMIFS(Dati!$C$2:$C$451,Dati!$A$2:$A$451,$H94,Dati!$H$2:$H$451,$Z94)+SUMIFS(Dati!$J$2:$J$451,Dati!$H$2:$H$451,$H94,Dati!$A$2:$A$451,$Z94),"-")</f>
        <v/>
      </c>
      <c r="AY94" s="22">
        <f>IF(AND($H94&lt;&gt;"",$AA94&lt;&gt;"",$H94&lt;&gt;$AA94,IFERROR(VLOOKUP($H94,areaCercaPuntiClassificaSquadra,3,FALSE),-1)=IFERROR(VLOOKUP($AA94,areaCercaPuntiClassificaSquadra,3,FALSE),-2)),SUMIFS(Dati!$D$2:$D$451,Dati!$A$2:$A$451,$H94,Dati!$H$2:$H$451,$AA94)+SUMIFS(Dati!$K$2:$K$451,Dati!$H$2:$H$451,$H94,Dati!$A$2:$A$451,$AA94)+SUMIFS(Dati!$C$2:$C$451,Dati!$A$2:$A$451,$H94,Dati!$H$2:$H$451,$AA94)+SUMIFS(Dati!$J$2:$J$451,Dati!$H$2:$H$451,$H94,Dati!$A$2:$A$451,$AA94),"-")</f>
        <v/>
      </c>
      <c r="AZ94" s="22">
        <f>IF(AND($H94&lt;&gt;"",$AB94&lt;&gt;"",$H94&lt;&gt;$AB94,IFERROR(VLOOKUP($H94,areaCercaPuntiClassificaSquadra,3,FALSE),-1)=IFERROR(VLOOKUP($AB94,areaCercaPuntiClassificaSquadra,3,FALSE),-2)),SUMIFS(Dati!$D$2:$D$451,Dati!$A$2:$A$451,$H94,Dati!$H$2:$H$451,$AB94)+SUMIFS(Dati!$K$2:$K$451,Dati!$H$2:$H$451,$H94,Dati!$A$2:$A$451,$AB94)+SUMIFS(Dati!$C$2:$C$451,Dati!$A$2:$A$451,$H94,Dati!$H$2:$H$451,$AB94)+SUMIFS(Dati!$J$2:$J$451,Dati!$H$2:$H$451,$H94,Dati!$A$2:$A$451,$AB94),"-")</f>
        <v/>
      </c>
      <c r="BA94" s="22">
        <f>IF(AND($H94&lt;&gt;"",$AC94&lt;&gt;"",$H94&lt;&gt;$AC94,IFERROR(VLOOKUP($H94,areaCercaPuntiClassificaSquadra,3,FALSE),-1)=IFERROR(VLOOKUP($AC94,areaCercaPuntiClassificaSquadra,3,FALSE),-2)),SUMIFS(Dati!$D$2:$D$451,Dati!$A$2:$A$451,$H94,Dati!$H$2:$H$451,$AC94)+SUMIFS(Dati!$K$2:$K$451,Dati!$H$2:$H$451,$H94,Dati!$A$2:$A$451,$AC94)+SUMIFS(Dati!$C$2:$C$451,Dati!$A$2:$A$451,$H94,Dati!$H$2:$H$451,$AC94)+SUMIFS(Dati!$J$2:$J$451,Dati!$H$2:$H$451,$H94,Dati!$A$2:$A$451,$AC94),"-")</f>
        <v/>
      </c>
      <c r="BB94" s="22">
        <f>IF(AND($H94&lt;&gt;"",$AD94&lt;&gt;"",$H94&lt;&gt;$AD94,IFERROR(VLOOKUP($H94,areaCercaPuntiClassificaSquadra,3,FALSE),-1)=IFERROR(VLOOKUP($AD94,areaCercaPuntiClassificaSquadra,3,FALSE),-2)),SUMIFS(Dati!$D$2:$D$451,Dati!$A$2:$A$451,$H94,Dati!$H$2:$H$451,$AD94)+SUMIFS(Dati!$K$2:$K$451,Dati!$H$2:$H$451,$H94,Dati!$A$2:$A$451,$AD94)+SUMIFS(Dati!$C$2:$C$451,Dati!$A$2:$A$451,$H94,Dati!$H$2:$H$451,$AD94)+SUMIFS(Dati!$J$2:$J$451,Dati!$H$2:$H$451,$H94,Dati!$A$2:$A$451,$AD94),"-")</f>
        <v/>
      </c>
      <c r="BC94" s="22">
        <f>IF(AND($H94&lt;&gt;"",$AE94&lt;&gt;"",$H94&lt;&gt;$AE94,IFERROR(VLOOKUP($H94,areaCercaPuntiClassificaSquadra,3,FALSE),-1)=IFERROR(VLOOKUP($AE94,areaCercaPuntiClassificaSquadra,3,FALSE),-2)),SUMIFS(Dati!$D$2:$D$451,Dati!$A$2:$A$451,$H94,Dati!$H$2:$H$451,$AE94)+SUMIFS(Dati!$K$2:$K$451,Dati!$H$2:$H$451,$H94,Dati!$A$2:$A$451,$AE94)+SUMIFS(Dati!$C$2:$C$451,Dati!$A$2:$A$451,$H94,Dati!$H$2:$H$451,$AE94)+SUMIFS(Dati!$J$2:$J$451,Dati!$H$2:$H$451,$H94,Dati!$A$2:$A$451,$AE94),"-")</f>
        <v/>
      </c>
      <c r="BD94" s="22">
        <f>IF(AND($H94&lt;&gt;"",$AF94&lt;&gt;"",$H94&lt;&gt;$AF94,IFERROR(VLOOKUP($H94,areaCercaPuntiClassificaSquadra,3,FALSE),-1)=IFERROR(VLOOKUP($AF94,areaCercaPuntiClassificaSquadra,3,FALSE),-2)),SUMIFS(Dati!$D$2:$D$451,Dati!$A$2:$A$451,$H94,Dati!$H$2:$H$451,$AF94)+SUMIFS(Dati!$K$2:$K$451,Dati!$H$2:$H$451,$H94,Dati!$A$2:$A$451,$AF94)+SUMIFS(Dati!$C$2:$C$451,Dati!$A$2:$A$451,$H94,Dati!$H$2:$H$451,$AF94)+SUMIFS(Dati!$J$2:$J$451,Dati!$H$2:$H$451,$H94,Dati!$A$2:$A$451,$AF94),"-")</f>
        <v/>
      </c>
      <c r="BE94" s="22">
        <f>IF(AND($H94&lt;&gt;"",$AG94&lt;&gt;"",$H94&lt;&gt;$AG94,IFERROR(VLOOKUP($H94,areaCercaPuntiClassificaSquadra,3,FALSE),-1)=IFERROR(VLOOKUP($AG94,areaCercaPuntiClassificaSquadra,3,FALSE),-2)),SUMIFS(Dati!$D$2:$D$451,Dati!$A$2:$A$451,$H94,Dati!$H$2:$H$451,$AG94)+SUMIFS(Dati!$K$2:$K$451,Dati!$H$2:$H$451,$H94,Dati!$A$2:$A$451,$AG94)+SUMIFS(Dati!$C$2:$C$451,Dati!$A$2:$A$451,$H94,Dati!$H$2:$H$451,$AG94)+SUMIFS(Dati!$J$2:$J$451,Dati!$H$2:$H$451,$H94,Dati!$A$2:$A$451,$AG94),"-")</f>
        <v/>
      </c>
      <c r="BF94" s="22">
        <f>IF(AND($H94&lt;&gt;"",$AH94&lt;&gt;"",$H94&lt;&gt;$AH94,IFERROR(VLOOKUP($H94,areaCercaPuntiClassificaSquadra,3,FALSE),-1)=IFERROR(VLOOKUP($AH94,areaCercaPuntiClassificaSquadra,3,FALSE),-2)),SUMIFS(Dati!$D$2:$D$451,Dati!$A$2:$A$451,$H94,Dati!$H$2:$H$451,$AH94)+SUMIFS(Dati!$K$2:$K$451,Dati!$H$2:$H$451,$H94,Dati!$A$2:$A$451,$AH94)+SUMIFS(Dati!$C$2:$C$451,Dati!$A$2:$A$451,$H94,Dati!$H$2:$H$451,$AH94)+SUMIFS(Dati!$J$2:$J$451,Dati!$H$2:$H$451,$H94,Dati!$A$2:$A$451,$AH94),"-")</f>
        <v/>
      </c>
      <c r="BH94" s="21">
        <f>$C94</f>
        <v/>
      </c>
      <c r="BI94" s="22">
        <f>IF(AND($H94&lt;&gt;"",$Y94&lt;&gt;"",$H94&lt;&gt;$Y94,IFERROR(VLOOKUP($H94,areaCercaPuntiClassificaSquadra,3,FALSE),-1)=IFERROR(VLOOKUP($Y94,areaCercaPuntiClassificaSquadra,3,FALSE),-2)),SUMIFS(Dati!$E$2:$E$451,Dati!$A$2:$A$451,$H94,Dati!$H$2:$H$451,$Y94)+SUMIFS(Dati!$L$2:$L$451,Dati!$H$2:$H$451,$H94,Dati!$A$2:$A$451,$Y94),"-")</f>
        <v/>
      </c>
      <c r="BJ94" s="22">
        <f>IF(AND($H94&lt;&gt;"",$Z94&lt;&gt;"",$H94&lt;&gt;$Z94,IFERROR(VLOOKUP($H94,areaCercaPuntiClassificaSquadra,3,FALSE),-1)=IFERROR(VLOOKUP($Z94,areaCercaPuntiClassificaSquadra,3,FALSE),-2)),SUMIFS(Dati!$E$2:$E$451,Dati!$A$2:$A$451,$H94,Dati!$H$2:$H$451,$Z94)+SUMIFS(Dati!$L$2:$L$451,Dati!$H$2:$H$451,$H94,Dati!$A$2:$A$451,$Z94),"-")</f>
        <v/>
      </c>
      <c r="BK94" s="22">
        <f>IF(AND($H94&lt;&gt;"",$AA94&lt;&gt;"",$H94&lt;&gt;$AA94,IFERROR(VLOOKUP($H94,areaCercaPuntiClassificaSquadra,3,FALSE),-1)=IFERROR(VLOOKUP($AA94,areaCercaPuntiClassificaSquadra,3,FALSE),-2)),SUMIFS(Dati!$E$2:$E$451,Dati!$A$2:$A$451,$H94,Dati!$H$2:$H$451,$AA94)+SUMIFS(Dati!$L$2:$L$451,Dati!$H$2:$H$451,$H94,Dati!$A$2:$A$451,$AA94),"-")</f>
        <v/>
      </c>
      <c r="BL94" s="22">
        <f>IF(AND($H94&lt;&gt;"",$AB94&lt;&gt;"",$H94&lt;&gt;$AB94,IFERROR(VLOOKUP($H94,areaCercaPuntiClassificaSquadra,3,FALSE),-1)=IFERROR(VLOOKUP($AB94,areaCercaPuntiClassificaSquadra,3,FALSE),-2)),SUMIFS(Dati!$E$2:$E$451,Dati!$A$2:$A$451,$H94,Dati!$H$2:$H$451,$AB94)+SUMIFS(Dati!$L$2:$L$451,Dati!$H$2:$H$451,$H94,Dati!$A$2:$A$451,$AB94),"-")</f>
        <v/>
      </c>
      <c r="BM94" s="22">
        <f>IF(AND($H94&lt;&gt;"",$AC94&lt;&gt;"",$H94&lt;&gt;$AC94,IFERROR(VLOOKUP($H94,areaCercaPuntiClassificaSquadra,3,FALSE),-1)=IFERROR(VLOOKUP($AC94,areaCercaPuntiClassificaSquadra,3,FALSE),-2)),SUMIFS(Dati!$E$2:$E$451,Dati!$A$2:$A$451,$H94,Dati!$H$2:$H$451,$AC94)+SUMIFS(Dati!$L$2:$L$451,Dati!$H$2:$H$451,$H94,Dati!$A$2:$A$451,$AC94),"-")</f>
        <v/>
      </c>
      <c r="BN94" s="22">
        <f>IF(AND($H94&lt;&gt;"",$AD94&lt;&gt;"",$H94&lt;&gt;$AD94,IFERROR(VLOOKUP($H94,areaCercaPuntiClassificaSquadra,3,FALSE),-1)=IFERROR(VLOOKUP($AD94,areaCercaPuntiClassificaSquadra,3,FALSE),-2)),SUMIFS(Dati!$E$2:$E$451,Dati!$A$2:$A$451,$H94,Dati!$H$2:$H$451,$AD94)+SUMIFS(Dati!$L$2:$L$451,Dati!$H$2:$H$451,$H94,Dati!$A$2:$A$451,$AD94),"-")</f>
        <v/>
      </c>
      <c r="BO94" s="22">
        <f>IF(AND($H94&lt;&gt;"",$AE94&lt;&gt;"",$H94&lt;&gt;$AE94,IFERROR(VLOOKUP($H94,areaCercaPuntiClassificaSquadra,3,FALSE),-1)=IFERROR(VLOOKUP($AE94,areaCercaPuntiClassificaSquadra,3,FALSE),-2)),SUMIFS(Dati!$E$2:$E$451,Dati!$A$2:$A$451,$H94,Dati!$H$2:$H$451,$AE94)+SUMIFS(Dati!$L$2:$L$451,Dati!$H$2:$H$451,$H94,Dati!$A$2:$A$451,$AE94),"-")</f>
        <v/>
      </c>
      <c r="BP94" s="22">
        <f>IF(AND($H94&lt;&gt;"",$AF94&lt;&gt;"",$H94&lt;&gt;$AF94,IFERROR(VLOOKUP($H94,areaCercaPuntiClassificaSquadra,3,FALSE),-1)=IFERROR(VLOOKUP($AF94,areaCercaPuntiClassificaSquadra,3,FALSE),-2)),SUMIFS(Dati!$E$2:$E$451,Dati!$A$2:$A$451,$H94,Dati!$H$2:$H$451,$AF94)+SUMIFS(Dati!$L$2:$L$451,Dati!$H$2:$H$451,$H94,Dati!$A$2:$A$451,$AF94),"-")</f>
        <v/>
      </c>
      <c r="BQ94" s="22">
        <f>IF(AND($H94&lt;&gt;"",$AG94&lt;&gt;"",$H94&lt;&gt;$AG94,IFERROR(VLOOKUP($H94,areaCercaPuntiClassificaSquadra,3,FALSE),-1)=IFERROR(VLOOKUP($AG94,areaCercaPuntiClassificaSquadra,3,FALSE),-2)),SUMIFS(Dati!$E$2:$E$451,Dati!$A$2:$A$451,$H94,Dati!$H$2:$H$451,$AG94)+SUMIFS(Dati!$L$2:$L$451,Dati!$H$2:$H$451,$H94,Dati!$A$2:$A$451,$AG94),"-")</f>
        <v/>
      </c>
      <c r="BR94" s="22">
        <f>IF(AND($H94&lt;&gt;"",$AH94&lt;&gt;"",$H94&lt;&gt;$AH94,IFERROR(VLOOKUP($H94,areaCercaPuntiClassificaSquadra,3,FALSE),-1)=IFERROR(VLOOKUP($AH94,areaCercaPuntiClassificaSquadra,3,FALSE),-2)),SUMIFS(Dati!$E$2:$E$451,Dati!$A$2:$A$451,$H94,Dati!$H$2:$H$451,$AH94)+SUMIFS(Dati!$L$2:$L$451,Dati!$H$2:$H$451,$H94,Dati!$A$2:$A$451,$AH94),"-")</f>
        <v/>
      </c>
      <c r="BT94" s="21">
        <f>$C94</f>
        <v/>
      </c>
      <c r="BU94" s="22">
        <f>IF(AND($H94&lt;&gt;"",$Y94&lt;&gt;"",$H94&lt;&gt;$Y94,IFERROR(VLOOKUP($H94,areaCercaPuntiClassificaSquadra,3,FALSE),-1)=IFERROR(VLOOKUP($Y94,areaCercaPuntiClassificaSquadra,3,FALSE),-2)),SUMIFS(Dati!$F$2:$F$451,Dati!$A$2:$A$451,$H94,Dati!$H$2:$H$451,$Y94)+SUMIFS(Dati!$M$2:$M$451,Dati!$H$2:$H$451,$H94,Dati!$A$2:$A$451,$Y94),"-")</f>
        <v/>
      </c>
      <c r="BV94" s="22">
        <f>IF(AND($H94&lt;&gt;"",$Z94&lt;&gt;"",$H94&lt;&gt;$Z94,IFERROR(VLOOKUP($H94,areaCercaPuntiClassificaSquadra,3,FALSE),-1)=IFERROR(VLOOKUP($Z94,areaCercaPuntiClassificaSquadra,3,FALSE),-2)),SUMIFS(Dati!$F$2:$F$451,Dati!$A$2:$A$451,$H94,Dati!$H$2:$H$451,$Z94)+SUMIFS(Dati!$M$2:$M$451,Dati!$H$2:$H$451,$H94,Dati!$A$2:$A$451,$Z94),"-")</f>
        <v/>
      </c>
      <c r="BW94" s="22">
        <f>IF(AND($H94&lt;&gt;"",$AA94&lt;&gt;"",$H94&lt;&gt;$AA94,IFERROR(VLOOKUP($H94,areaCercaPuntiClassificaSquadra,3,FALSE),-1)=IFERROR(VLOOKUP($AA94,areaCercaPuntiClassificaSquadra,3,FALSE),-2)),SUMIFS(Dati!$F$2:$F$451,Dati!$A$2:$A$451,$H94,Dati!$H$2:$H$451,$AA94)+SUMIFS(Dati!$M$2:$M$451,Dati!$H$2:$H$451,$H94,Dati!$A$2:$A$451,$AA94),"-")</f>
        <v/>
      </c>
      <c r="BX94" s="22">
        <f>IF(AND($H94&lt;&gt;"",$AB94&lt;&gt;"",$H94&lt;&gt;$AB94,IFERROR(VLOOKUP($H94,areaCercaPuntiClassificaSquadra,3,FALSE),-1)=IFERROR(VLOOKUP($AB94,areaCercaPuntiClassificaSquadra,3,FALSE),-2)),SUMIFS(Dati!$F$2:$F$451,Dati!$A$2:$A$451,$H94,Dati!$H$2:$H$451,$AB94)+SUMIFS(Dati!$M$2:$M$451,Dati!$H$2:$H$451,$H94,Dati!$A$2:$A$451,$AB94),"-")</f>
        <v/>
      </c>
      <c r="BY94" s="22">
        <f>IF(AND($H94&lt;&gt;"",$AC94&lt;&gt;"",$H94&lt;&gt;$AC94,IFERROR(VLOOKUP($H94,areaCercaPuntiClassificaSquadra,3,FALSE),-1)=IFERROR(VLOOKUP($AC94,areaCercaPuntiClassificaSquadra,3,FALSE),-2)),SUMIFS(Dati!$F$2:$F$451,Dati!$A$2:$A$451,$H94,Dati!$H$2:$H$451,$AC94)+SUMIFS(Dati!$M$2:$M$451,Dati!$H$2:$H$451,$H94,Dati!$A$2:$A$451,$AC94),"-")</f>
        <v/>
      </c>
      <c r="BZ94" s="22">
        <f>IF(AND($H94&lt;&gt;"",$AD94&lt;&gt;"",$H94&lt;&gt;$AD94,IFERROR(VLOOKUP($H94,areaCercaPuntiClassificaSquadra,3,FALSE),-1)=IFERROR(VLOOKUP($AD94,areaCercaPuntiClassificaSquadra,3,FALSE),-2)),SUMIFS(Dati!$F$2:$F$451,Dati!$A$2:$A$451,$H94,Dati!$H$2:$H$451,$AD94)+SUMIFS(Dati!$M$2:$M$451,Dati!$H$2:$H$451,$H94,Dati!$A$2:$A$451,$AD94),"-")</f>
        <v/>
      </c>
      <c r="CA94" s="22">
        <f>IF(AND($H94&lt;&gt;"",$AE94&lt;&gt;"",$H94&lt;&gt;$AE94,IFERROR(VLOOKUP($H94,areaCercaPuntiClassificaSquadra,3,FALSE),-1)=IFERROR(VLOOKUP($AE94,areaCercaPuntiClassificaSquadra,3,FALSE),-2)),SUMIFS(Dati!$F$2:$F$451,Dati!$A$2:$A$451,$H94,Dati!$H$2:$H$451,$AE94)+SUMIFS(Dati!$M$2:$M$451,Dati!$H$2:$H$451,$H94,Dati!$A$2:$A$451,$AE94),"-")</f>
        <v/>
      </c>
      <c r="CB94" s="22">
        <f>IF(AND($H94&lt;&gt;"",$AF94&lt;&gt;"",$H94&lt;&gt;$AF94,IFERROR(VLOOKUP($H94,areaCercaPuntiClassificaSquadra,3,FALSE),-1)=IFERROR(VLOOKUP($AF94,areaCercaPuntiClassificaSquadra,3,FALSE),-2)),SUMIFS(Dati!$F$2:$F$451,Dati!$A$2:$A$451,$H94,Dati!$H$2:$H$451,$AF94)+SUMIFS(Dati!$M$2:$M$451,Dati!$H$2:$H$451,$H94,Dati!$A$2:$A$451,$AF94),"-")</f>
        <v/>
      </c>
      <c r="CC94" s="22">
        <f>IF(AND($H94&lt;&gt;"",$AG94&lt;&gt;"",$H94&lt;&gt;$AG94,IFERROR(VLOOKUP($H94,areaCercaPuntiClassificaSquadra,3,FALSE),-1)=IFERROR(VLOOKUP($AG94,areaCercaPuntiClassificaSquadra,3,FALSE),-2)),SUMIFS(Dati!$F$2:$F$451,Dati!$A$2:$A$451,$H94,Dati!$H$2:$H$451,$AG94)+SUMIFS(Dati!$M$2:$M$451,Dati!$H$2:$H$451,$H94,Dati!$A$2:$A$451,$AG94),"-")</f>
        <v/>
      </c>
      <c r="CD94" s="22">
        <f>IF(AND($H94&lt;&gt;"",$AH94&lt;&gt;"",$H94&lt;&gt;$AH94,IFERROR(VLOOKUP($H94,areaCercaPuntiClassificaSquadra,3,FALSE),-1)=IFERROR(VLOOKUP($AH94,areaCercaPuntiClassificaSquadra,3,FALSE),-2)),SUMIFS(Dati!$F$2:$F$451,Dati!$A$2:$A$451,$H94,Dati!$H$2:$H$451,$AH94)+SUMIFS(Dati!$M$2:$M$451,Dati!$H$2:$H$451,$H94,Dati!$A$2:$A$451,$AH94),"-")</f>
        <v/>
      </c>
      <c r="CF94" s="22">
        <f>IF($C94="","",SUM(AK94:AT94))</f>
        <v/>
      </c>
    </row>
    <row r="95">
      <c r="B95" s="12" t="inlineStr">
        <is>
          <t>I02</t>
        </is>
      </c>
      <c r="C95" s="13" t="n"/>
      <c r="D95" s="14" t="n"/>
      <c r="E95" s="37" t="inlineStr">
        <is>
          <t>I</t>
        </is>
      </c>
      <c r="G95" s="38">
        <f>IF($C95="","",$E95&amp;(COUNTIFS(I$14:I$113,"&gt;"&amp;I95,E$14:E$113,"="&amp;E95,C$14:C$113,"&lt;&gt;")+COUNTIFS(I$14:I$113,"="&amp;I95,H$14:H$113,"&lt;="&amp;H95,E$14:E$113,"="&amp;E95,C$14:C$113,"&lt;&gt;")))</f>
        <v/>
      </c>
      <c r="H95" s="17">
        <f>IF($C95="","",IFERROR(LEFT($C95,FIND("-",$C95)-1),$C95))</f>
        <v/>
      </c>
      <c r="I95" s="12">
        <f>TEXT(1000000000+J95,"|0000000000|")&amp;TEXT(SUM(AK95:AT95),"0000000000|")&amp;IF(SUM(BU95:CD95)=0,"0000000000|",TEXT(ROUND(SUM(BI95:BR95)/SUM(BU95:CD95),4)*100000,"0000000000|"))&amp;IF(P95=0,"0000000000|",TEXT(ROUND(O95/P95,4)*100000,"0000000000|"))</f>
        <v/>
      </c>
      <c r="J95" s="38">
        <f>L95*constPuntiVittoria+M95*constPuntiSconfitta+N95*constPuntiForfait+IF(D95="",0,D95)</f>
        <v/>
      </c>
      <c r="K95" s="12">
        <f>SUM(L95:N95)</f>
        <v/>
      </c>
      <c r="L95" s="12">
        <f>IF($H95="",0,SUMIF(Dati!$A$2:$A$451,$H95,Dati!$B$2:$B$451)+SUMIF(Dati!$H$2:$H$451,$H95,Dati!$I$2:$I$451))</f>
        <v/>
      </c>
      <c r="M95" s="12">
        <f>IF($H95="",0,SUMIF(Dati!$A$2:$A$451,$H95,Dati!$D$2:$D$451)+SUMIF(Dati!$H$2:$H$451,$H95,Dati!$K$2:$K$451))</f>
        <v/>
      </c>
      <c r="N95" s="12">
        <f>IF($H95="",0,SUMIF(Dati!$A$2:$A$451,$H95,Dati!$C$2:$C$451)+SUMIF(Dati!$H$2:$H$451,$H95,Dati!$J$2:$J$451))</f>
        <v/>
      </c>
      <c r="O95" s="12">
        <f>IF($H95="",0,SUMIF(Dati!$A$2:$A$451,$H95,Dati!$E$2:$E$451)+SUMIF(Dati!$H$2:$H$451,$H95,Dati!$L$2:$L$451))</f>
        <v/>
      </c>
      <c r="P95" s="12">
        <f>IF($H95="",0,SUMIF(Dati!$A$2:$A$451,$H95,Dati!$F$2:$F$451)+SUMIF(Dati!$H$2:$H$451,$H95,Dati!$M$2:$M$451))</f>
        <v/>
      </c>
      <c r="Q95" s="12">
        <f>IF($H95="",0,SUMIF(Dati!$A$2:$A$451,$H95,Dati!$G$2:$G$451)+SUMIF(Dati!$H$2:$H$451,$H95,Dati!$N$2:$N$451))</f>
        <v/>
      </c>
      <c r="R95" s="12">
        <f>IF(K95=0,0,ROUND(O95/K95,2))</f>
        <v/>
      </c>
      <c r="S95" s="12">
        <f>IF(K95=0,0,ROUND(P95/K95,2))</f>
        <v/>
      </c>
      <c r="T95" s="12">
        <f>IF(K95=0,0,ROUND(Q95/K95,2))</f>
        <v/>
      </c>
      <c r="U95" s="12">
        <f>IF(COUNTIFS($E$14:$E$113,$E95,$J$14:$J$113,$J95,$C$14:$C$113,"&lt;&gt;")&lt;=1,"-",SUM(AK95:AT95)&amp;"-"&amp;SUM(AW95:BF95))</f>
        <v/>
      </c>
      <c r="V95" s="18">
        <f>IF(COUNTIFS($E$14:$E$113,$E95,$J$14:$J$113,$J95,$C$14:$C$113,"&lt;&gt;",$CF$14:$CF$113,$CF95)&lt;=1,"-",IF(SUM(BU95:CD95)=0,0,ROUND(SUM(BI95:BR95)/SUM(BU95:CD95),3)))</f>
        <v/>
      </c>
      <c r="W95" s="18">
        <f>IF(COUNTIFS($E$14:$E$113,$E95,$J$14:$J$113,$J95,$C$14:$C$113,"&lt;&gt;",$CF$14:$CF$113,$CF95,$V$14:$V$113,$V95)&lt;=1,"-",IF(P95=0,0,ROUND(O95/P95,3)))</f>
        <v/>
      </c>
      <c r="X95" s="19">
        <f>IF($C95="","",$E95&amp;"#"&amp;COUNTIFS($E$14:$E95,$E95,$C$14:$C95,"&lt;&gt;"))</f>
        <v/>
      </c>
      <c r="Y95" s="20">
        <f>IFERROR(INDEX($H$14:$H$113,MATCH($E95&amp;"#1",$X$14:$X$113,0)),"")</f>
        <v/>
      </c>
      <c r="Z95" s="20">
        <f>IFERROR(INDEX($H$14:$H$113,MATCH($E95&amp;"#2",$X$14:$X$113,0)),"")</f>
        <v/>
      </c>
      <c r="AA95" s="20">
        <f>IFERROR(INDEX($H$14:$H$113,MATCH($E95&amp;"#3",$X$14:$X$113,0)),"")</f>
        <v/>
      </c>
      <c r="AB95" s="20">
        <f>IFERROR(INDEX($H$14:$H$113,MATCH($E95&amp;"#4",$X$14:$X$113,0)),"")</f>
        <v/>
      </c>
      <c r="AC95" s="20">
        <f>IFERROR(INDEX($H$14:$H$113,MATCH($E95&amp;"#5",$X$14:$X$113,0)),"")</f>
        <v/>
      </c>
      <c r="AD95" s="20">
        <f>IFERROR(INDEX($H$14:$H$113,MATCH($E95&amp;"#6",$X$14:$X$113,0)),"")</f>
        <v/>
      </c>
      <c r="AE95" s="20">
        <f>IFERROR(INDEX($H$14:$H$113,MATCH($E95&amp;"#7",$X$14:$X$113,0)),"")</f>
        <v/>
      </c>
      <c r="AF95" s="20">
        <f>IFERROR(INDEX($H$14:$H$113,MATCH($E95&amp;"#8",$X$14:$X$113,0)),"")</f>
        <v/>
      </c>
      <c r="AG95" s="20">
        <f>IFERROR(INDEX($H$14:$H$113,MATCH($E95&amp;"#9",$X$14:$X$113,0)),"")</f>
        <v/>
      </c>
      <c r="AH95" s="20">
        <f>IFERROR(INDEX($H$14:$H$113,MATCH($E95&amp;"#10",$X$14:$X$113,0)),"")</f>
        <v/>
      </c>
      <c r="AJ95" s="21">
        <f>$C95</f>
        <v/>
      </c>
      <c r="AK95" s="22">
        <f>IF(AND($H95&lt;&gt;"",$Y95&lt;&gt;"",$H95&lt;&gt;$Y95,IFERROR(VLOOKUP($H95,areaCercaPuntiClassificaSquadra,3,FALSE),-1)=IFERROR(VLOOKUP($Y95,areaCercaPuntiClassificaSquadra,3,FALSE),-2)),SUMIFS(Dati!$B$2:$B$451,Dati!$A$2:$A$451,$H95,Dati!$H$2:$H$451,$Y95)+SUMIFS(Dati!$I$2:$I$451,Dati!$H$2:$H$451,$H95,Dati!$A$2:$A$451,$Y95),"-")</f>
        <v/>
      </c>
      <c r="AL95" s="22">
        <f>IF(AND($H95&lt;&gt;"",$Z95&lt;&gt;"",$H95&lt;&gt;$Z95,IFERROR(VLOOKUP($H95,areaCercaPuntiClassificaSquadra,3,FALSE),-1)=IFERROR(VLOOKUP($Z95,areaCercaPuntiClassificaSquadra,3,FALSE),-2)),SUMIFS(Dati!$B$2:$B$451,Dati!$A$2:$A$451,$H95,Dati!$H$2:$H$451,$Z95)+SUMIFS(Dati!$I$2:$I$451,Dati!$H$2:$H$451,$H95,Dati!$A$2:$A$451,$Z95),"-")</f>
        <v/>
      </c>
      <c r="AM95" s="22">
        <f>IF(AND($H95&lt;&gt;"",$AA95&lt;&gt;"",$H95&lt;&gt;$AA95,IFERROR(VLOOKUP($H95,areaCercaPuntiClassificaSquadra,3,FALSE),-1)=IFERROR(VLOOKUP($AA95,areaCercaPuntiClassificaSquadra,3,FALSE),-2)),SUMIFS(Dati!$B$2:$B$451,Dati!$A$2:$A$451,$H95,Dati!$H$2:$H$451,$AA95)+SUMIFS(Dati!$I$2:$I$451,Dati!$H$2:$H$451,$H95,Dati!$A$2:$A$451,$AA95),"-")</f>
        <v/>
      </c>
      <c r="AN95" s="22">
        <f>IF(AND($H95&lt;&gt;"",$AB95&lt;&gt;"",$H95&lt;&gt;$AB95,IFERROR(VLOOKUP($H95,areaCercaPuntiClassificaSquadra,3,FALSE),-1)=IFERROR(VLOOKUP($AB95,areaCercaPuntiClassificaSquadra,3,FALSE),-2)),SUMIFS(Dati!$B$2:$B$451,Dati!$A$2:$A$451,$H95,Dati!$H$2:$H$451,$AB95)+SUMIFS(Dati!$I$2:$I$451,Dati!$H$2:$H$451,$H95,Dati!$A$2:$A$451,$AB95),"-")</f>
        <v/>
      </c>
      <c r="AO95" s="22">
        <f>IF(AND($H95&lt;&gt;"",$AC95&lt;&gt;"",$H95&lt;&gt;$AC95,IFERROR(VLOOKUP($H95,areaCercaPuntiClassificaSquadra,3,FALSE),-1)=IFERROR(VLOOKUP($AC95,areaCercaPuntiClassificaSquadra,3,FALSE),-2)),SUMIFS(Dati!$B$2:$B$451,Dati!$A$2:$A$451,$H95,Dati!$H$2:$H$451,$AC95)+SUMIFS(Dati!$I$2:$I$451,Dati!$H$2:$H$451,$H95,Dati!$A$2:$A$451,$AC95),"-")</f>
        <v/>
      </c>
      <c r="AP95" s="22">
        <f>IF(AND($H95&lt;&gt;"",$AD95&lt;&gt;"",$H95&lt;&gt;$AD95,IFERROR(VLOOKUP($H95,areaCercaPuntiClassificaSquadra,3,FALSE),-1)=IFERROR(VLOOKUP($AD95,areaCercaPuntiClassificaSquadra,3,FALSE),-2)),SUMIFS(Dati!$B$2:$B$451,Dati!$A$2:$A$451,$H95,Dati!$H$2:$H$451,$AD95)+SUMIFS(Dati!$I$2:$I$451,Dati!$H$2:$H$451,$H95,Dati!$A$2:$A$451,$AD95),"-")</f>
        <v/>
      </c>
      <c r="AQ95" s="22">
        <f>IF(AND($H95&lt;&gt;"",$AE95&lt;&gt;"",$H95&lt;&gt;$AE95,IFERROR(VLOOKUP($H95,areaCercaPuntiClassificaSquadra,3,FALSE),-1)=IFERROR(VLOOKUP($AE95,areaCercaPuntiClassificaSquadra,3,FALSE),-2)),SUMIFS(Dati!$B$2:$B$451,Dati!$A$2:$A$451,$H95,Dati!$H$2:$H$451,$AE95)+SUMIFS(Dati!$I$2:$I$451,Dati!$H$2:$H$451,$H95,Dati!$A$2:$A$451,$AE95),"-")</f>
        <v/>
      </c>
      <c r="AR95" s="22">
        <f>IF(AND($H95&lt;&gt;"",$AF95&lt;&gt;"",$H95&lt;&gt;$AF95,IFERROR(VLOOKUP($H95,areaCercaPuntiClassificaSquadra,3,FALSE),-1)=IFERROR(VLOOKUP($AF95,areaCercaPuntiClassificaSquadra,3,FALSE),-2)),SUMIFS(Dati!$B$2:$B$451,Dati!$A$2:$A$451,$H95,Dati!$H$2:$H$451,$AF95)+SUMIFS(Dati!$I$2:$I$451,Dati!$H$2:$H$451,$H95,Dati!$A$2:$A$451,$AF95),"-")</f>
        <v/>
      </c>
      <c r="AS95" s="22">
        <f>IF(AND($H95&lt;&gt;"",$AG95&lt;&gt;"",$H95&lt;&gt;$AG95,IFERROR(VLOOKUP($H95,areaCercaPuntiClassificaSquadra,3,FALSE),-1)=IFERROR(VLOOKUP($AG95,areaCercaPuntiClassificaSquadra,3,FALSE),-2)),SUMIFS(Dati!$B$2:$B$451,Dati!$A$2:$A$451,$H95,Dati!$H$2:$H$451,$AG95)+SUMIFS(Dati!$I$2:$I$451,Dati!$H$2:$H$451,$H95,Dati!$A$2:$A$451,$AG95),"-")</f>
        <v/>
      </c>
      <c r="AT95" s="22">
        <f>IF(AND($H95&lt;&gt;"",$AH95&lt;&gt;"",$H95&lt;&gt;$AH95,IFERROR(VLOOKUP($H95,areaCercaPuntiClassificaSquadra,3,FALSE),-1)=IFERROR(VLOOKUP($AH95,areaCercaPuntiClassificaSquadra,3,FALSE),-2)),SUMIFS(Dati!$B$2:$B$451,Dati!$A$2:$A$451,$H95,Dati!$H$2:$H$451,$AH95)+SUMIFS(Dati!$I$2:$I$451,Dati!$H$2:$H$451,$H95,Dati!$A$2:$A$451,$AH95),"-")</f>
        <v/>
      </c>
      <c r="AV95" s="21">
        <f>$C95</f>
        <v/>
      </c>
      <c r="AW95" s="22">
        <f>IF(AND($H95&lt;&gt;"",$Y95&lt;&gt;"",$H95&lt;&gt;$Y95,IFERROR(VLOOKUP($H95,areaCercaPuntiClassificaSquadra,3,FALSE),-1)=IFERROR(VLOOKUP($Y95,areaCercaPuntiClassificaSquadra,3,FALSE),-2)),SUMIFS(Dati!$D$2:$D$451,Dati!$A$2:$A$451,$H95,Dati!$H$2:$H$451,$Y95)+SUMIFS(Dati!$K$2:$K$451,Dati!$H$2:$H$451,$H95,Dati!$A$2:$A$451,$Y95)+SUMIFS(Dati!$C$2:$C$451,Dati!$A$2:$A$451,$H95,Dati!$H$2:$H$451,$Y95)+SUMIFS(Dati!$J$2:$J$451,Dati!$H$2:$H$451,$H95,Dati!$A$2:$A$451,$Y95),"-")</f>
        <v/>
      </c>
      <c r="AX95" s="22">
        <f>IF(AND($H95&lt;&gt;"",$Z95&lt;&gt;"",$H95&lt;&gt;$Z95,IFERROR(VLOOKUP($H95,areaCercaPuntiClassificaSquadra,3,FALSE),-1)=IFERROR(VLOOKUP($Z95,areaCercaPuntiClassificaSquadra,3,FALSE),-2)),SUMIFS(Dati!$D$2:$D$451,Dati!$A$2:$A$451,$H95,Dati!$H$2:$H$451,$Z95)+SUMIFS(Dati!$K$2:$K$451,Dati!$H$2:$H$451,$H95,Dati!$A$2:$A$451,$Z95)+SUMIFS(Dati!$C$2:$C$451,Dati!$A$2:$A$451,$H95,Dati!$H$2:$H$451,$Z95)+SUMIFS(Dati!$J$2:$J$451,Dati!$H$2:$H$451,$H95,Dati!$A$2:$A$451,$Z95),"-")</f>
        <v/>
      </c>
      <c r="AY95" s="22">
        <f>IF(AND($H95&lt;&gt;"",$AA95&lt;&gt;"",$H95&lt;&gt;$AA95,IFERROR(VLOOKUP($H95,areaCercaPuntiClassificaSquadra,3,FALSE),-1)=IFERROR(VLOOKUP($AA95,areaCercaPuntiClassificaSquadra,3,FALSE),-2)),SUMIFS(Dati!$D$2:$D$451,Dati!$A$2:$A$451,$H95,Dati!$H$2:$H$451,$AA95)+SUMIFS(Dati!$K$2:$K$451,Dati!$H$2:$H$451,$H95,Dati!$A$2:$A$451,$AA95)+SUMIFS(Dati!$C$2:$C$451,Dati!$A$2:$A$451,$H95,Dati!$H$2:$H$451,$AA95)+SUMIFS(Dati!$J$2:$J$451,Dati!$H$2:$H$451,$H95,Dati!$A$2:$A$451,$AA95),"-")</f>
        <v/>
      </c>
      <c r="AZ95" s="22">
        <f>IF(AND($H95&lt;&gt;"",$AB95&lt;&gt;"",$H95&lt;&gt;$AB95,IFERROR(VLOOKUP($H95,areaCercaPuntiClassificaSquadra,3,FALSE),-1)=IFERROR(VLOOKUP($AB95,areaCercaPuntiClassificaSquadra,3,FALSE),-2)),SUMIFS(Dati!$D$2:$D$451,Dati!$A$2:$A$451,$H95,Dati!$H$2:$H$451,$AB95)+SUMIFS(Dati!$K$2:$K$451,Dati!$H$2:$H$451,$H95,Dati!$A$2:$A$451,$AB95)+SUMIFS(Dati!$C$2:$C$451,Dati!$A$2:$A$451,$H95,Dati!$H$2:$H$451,$AB95)+SUMIFS(Dati!$J$2:$J$451,Dati!$H$2:$H$451,$H95,Dati!$A$2:$A$451,$AB95),"-")</f>
        <v/>
      </c>
      <c r="BA95" s="22">
        <f>IF(AND($H95&lt;&gt;"",$AC95&lt;&gt;"",$H95&lt;&gt;$AC95,IFERROR(VLOOKUP($H95,areaCercaPuntiClassificaSquadra,3,FALSE),-1)=IFERROR(VLOOKUP($AC95,areaCercaPuntiClassificaSquadra,3,FALSE),-2)),SUMIFS(Dati!$D$2:$D$451,Dati!$A$2:$A$451,$H95,Dati!$H$2:$H$451,$AC95)+SUMIFS(Dati!$K$2:$K$451,Dati!$H$2:$H$451,$H95,Dati!$A$2:$A$451,$AC95)+SUMIFS(Dati!$C$2:$C$451,Dati!$A$2:$A$451,$H95,Dati!$H$2:$H$451,$AC95)+SUMIFS(Dati!$J$2:$J$451,Dati!$H$2:$H$451,$H95,Dati!$A$2:$A$451,$AC95),"-")</f>
        <v/>
      </c>
      <c r="BB95" s="22">
        <f>IF(AND($H95&lt;&gt;"",$AD95&lt;&gt;"",$H95&lt;&gt;$AD95,IFERROR(VLOOKUP($H95,areaCercaPuntiClassificaSquadra,3,FALSE),-1)=IFERROR(VLOOKUP($AD95,areaCercaPuntiClassificaSquadra,3,FALSE),-2)),SUMIFS(Dati!$D$2:$D$451,Dati!$A$2:$A$451,$H95,Dati!$H$2:$H$451,$AD95)+SUMIFS(Dati!$K$2:$K$451,Dati!$H$2:$H$451,$H95,Dati!$A$2:$A$451,$AD95)+SUMIFS(Dati!$C$2:$C$451,Dati!$A$2:$A$451,$H95,Dati!$H$2:$H$451,$AD95)+SUMIFS(Dati!$J$2:$J$451,Dati!$H$2:$H$451,$H95,Dati!$A$2:$A$451,$AD95),"-")</f>
        <v/>
      </c>
      <c r="BC95" s="22">
        <f>IF(AND($H95&lt;&gt;"",$AE95&lt;&gt;"",$H95&lt;&gt;$AE95,IFERROR(VLOOKUP($H95,areaCercaPuntiClassificaSquadra,3,FALSE),-1)=IFERROR(VLOOKUP($AE95,areaCercaPuntiClassificaSquadra,3,FALSE),-2)),SUMIFS(Dati!$D$2:$D$451,Dati!$A$2:$A$451,$H95,Dati!$H$2:$H$451,$AE95)+SUMIFS(Dati!$K$2:$K$451,Dati!$H$2:$H$451,$H95,Dati!$A$2:$A$451,$AE95)+SUMIFS(Dati!$C$2:$C$451,Dati!$A$2:$A$451,$H95,Dati!$H$2:$H$451,$AE95)+SUMIFS(Dati!$J$2:$J$451,Dati!$H$2:$H$451,$H95,Dati!$A$2:$A$451,$AE95),"-")</f>
        <v/>
      </c>
      <c r="BD95" s="22">
        <f>IF(AND($H95&lt;&gt;"",$AF95&lt;&gt;"",$H95&lt;&gt;$AF95,IFERROR(VLOOKUP($H95,areaCercaPuntiClassificaSquadra,3,FALSE),-1)=IFERROR(VLOOKUP($AF95,areaCercaPuntiClassificaSquadra,3,FALSE),-2)),SUMIFS(Dati!$D$2:$D$451,Dati!$A$2:$A$451,$H95,Dati!$H$2:$H$451,$AF95)+SUMIFS(Dati!$K$2:$K$451,Dati!$H$2:$H$451,$H95,Dati!$A$2:$A$451,$AF95)+SUMIFS(Dati!$C$2:$C$451,Dati!$A$2:$A$451,$H95,Dati!$H$2:$H$451,$AF95)+SUMIFS(Dati!$J$2:$J$451,Dati!$H$2:$H$451,$H95,Dati!$A$2:$A$451,$AF95),"-")</f>
        <v/>
      </c>
      <c r="BE95" s="22">
        <f>IF(AND($H95&lt;&gt;"",$AG95&lt;&gt;"",$H95&lt;&gt;$AG95,IFERROR(VLOOKUP($H95,areaCercaPuntiClassificaSquadra,3,FALSE),-1)=IFERROR(VLOOKUP($AG95,areaCercaPuntiClassificaSquadra,3,FALSE),-2)),SUMIFS(Dati!$D$2:$D$451,Dati!$A$2:$A$451,$H95,Dati!$H$2:$H$451,$AG95)+SUMIFS(Dati!$K$2:$K$451,Dati!$H$2:$H$451,$H95,Dati!$A$2:$A$451,$AG95)+SUMIFS(Dati!$C$2:$C$451,Dati!$A$2:$A$451,$H95,Dati!$H$2:$H$451,$AG95)+SUMIFS(Dati!$J$2:$J$451,Dati!$H$2:$H$451,$H95,Dati!$A$2:$A$451,$AG95),"-")</f>
        <v/>
      </c>
      <c r="BF95" s="22">
        <f>IF(AND($H95&lt;&gt;"",$AH95&lt;&gt;"",$H95&lt;&gt;$AH95,IFERROR(VLOOKUP($H95,areaCercaPuntiClassificaSquadra,3,FALSE),-1)=IFERROR(VLOOKUP($AH95,areaCercaPuntiClassificaSquadra,3,FALSE),-2)),SUMIFS(Dati!$D$2:$D$451,Dati!$A$2:$A$451,$H95,Dati!$H$2:$H$451,$AH95)+SUMIFS(Dati!$K$2:$K$451,Dati!$H$2:$H$451,$H95,Dati!$A$2:$A$451,$AH95)+SUMIFS(Dati!$C$2:$C$451,Dati!$A$2:$A$451,$H95,Dati!$H$2:$H$451,$AH95)+SUMIFS(Dati!$J$2:$J$451,Dati!$H$2:$H$451,$H95,Dati!$A$2:$A$451,$AH95),"-")</f>
        <v/>
      </c>
      <c r="BH95" s="21">
        <f>$C95</f>
        <v/>
      </c>
      <c r="BI95" s="22">
        <f>IF(AND($H95&lt;&gt;"",$Y95&lt;&gt;"",$H95&lt;&gt;$Y95,IFERROR(VLOOKUP($H95,areaCercaPuntiClassificaSquadra,3,FALSE),-1)=IFERROR(VLOOKUP($Y95,areaCercaPuntiClassificaSquadra,3,FALSE),-2)),SUMIFS(Dati!$E$2:$E$451,Dati!$A$2:$A$451,$H95,Dati!$H$2:$H$451,$Y95)+SUMIFS(Dati!$L$2:$L$451,Dati!$H$2:$H$451,$H95,Dati!$A$2:$A$451,$Y95),"-")</f>
        <v/>
      </c>
      <c r="BJ95" s="22">
        <f>IF(AND($H95&lt;&gt;"",$Z95&lt;&gt;"",$H95&lt;&gt;$Z95,IFERROR(VLOOKUP($H95,areaCercaPuntiClassificaSquadra,3,FALSE),-1)=IFERROR(VLOOKUP($Z95,areaCercaPuntiClassificaSquadra,3,FALSE),-2)),SUMIFS(Dati!$E$2:$E$451,Dati!$A$2:$A$451,$H95,Dati!$H$2:$H$451,$Z95)+SUMIFS(Dati!$L$2:$L$451,Dati!$H$2:$H$451,$H95,Dati!$A$2:$A$451,$Z95),"-")</f>
        <v/>
      </c>
      <c r="BK95" s="22">
        <f>IF(AND($H95&lt;&gt;"",$AA95&lt;&gt;"",$H95&lt;&gt;$AA95,IFERROR(VLOOKUP($H95,areaCercaPuntiClassificaSquadra,3,FALSE),-1)=IFERROR(VLOOKUP($AA95,areaCercaPuntiClassificaSquadra,3,FALSE),-2)),SUMIFS(Dati!$E$2:$E$451,Dati!$A$2:$A$451,$H95,Dati!$H$2:$H$451,$AA95)+SUMIFS(Dati!$L$2:$L$451,Dati!$H$2:$H$451,$H95,Dati!$A$2:$A$451,$AA95),"-")</f>
        <v/>
      </c>
      <c r="BL95" s="22">
        <f>IF(AND($H95&lt;&gt;"",$AB95&lt;&gt;"",$H95&lt;&gt;$AB95,IFERROR(VLOOKUP($H95,areaCercaPuntiClassificaSquadra,3,FALSE),-1)=IFERROR(VLOOKUP($AB95,areaCercaPuntiClassificaSquadra,3,FALSE),-2)),SUMIFS(Dati!$E$2:$E$451,Dati!$A$2:$A$451,$H95,Dati!$H$2:$H$451,$AB95)+SUMIFS(Dati!$L$2:$L$451,Dati!$H$2:$H$451,$H95,Dati!$A$2:$A$451,$AB95),"-")</f>
        <v/>
      </c>
      <c r="BM95" s="22">
        <f>IF(AND($H95&lt;&gt;"",$AC95&lt;&gt;"",$H95&lt;&gt;$AC95,IFERROR(VLOOKUP($H95,areaCercaPuntiClassificaSquadra,3,FALSE),-1)=IFERROR(VLOOKUP($AC95,areaCercaPuntiClassificaSquadra,3,FALSE),-2)),SUMIFS(Dati!$E$2:$E$451,Dati!$A$2:$A$451,$H95,Dati!$H$2:$H$451,$AC95)+SUMIFS(Dati!$L$2:$L$451,Dati!$H$2:$H$451,$H95,Dati!$A$2:$A$451,$AC95),"-")</f>
        <v/>
      </c>
      <c r="BN95" s="22">
        <f>IF(AND($H95&lt;&gt;"",$AD95&lt;&gt;"",$H95&lt;&gt;$AD95,IFERROR(VLOOKUP($H95,areaCercaPuntiClassificaSquadra,3,FALSE),-1)=IFERROR(VLOOKUP($AD95,areaCercaPuntiClassificaSquadra,3,FALSE),-2)),SUMIFS(Dati!$E$2:$E$451,Dati!$A$2:$A$451,$H95,Dati!$H$2:$H$451,$AD95)+SUMIFS(Dati!$L$2:$L$451,Dati!$H$2:$H$451,$H95,Dati!$A$2:$A$451,$AD95),"-")</f>
        <v/>
      </c>
      <c r="BO95" s="22">
        <f>IF(AND($H95&lt;&gt;"",$AE95&lt;&gt;"",$H95&lt;&gt;$AE95,IFERROR(VLOOKUP($H95,areaCercaPuntiClassificaSquadra,3,FALSE),-1)=IFERROR(VLOOKUP($AE95,areaCercaPuntiClassificaSquadra,3,FALSE),-2)),SUMIFS(Dati!$E$2:$E$451,Dati!$A$2:$A$451,$H95,Dati!$H$2:$H$451,$AE95)+SUMIFS(Dati!$L$2:$L$451,Dati!$H$2:$H$451,$H95,Dati!$A$2:$A$451,$AE95),"-")</f>
        <v/>
      </c>
      <c r="BP95" s="22">
        <f>IF(AND($H95&lt;&gt;"",$AF95&lt;&gt;"",$H95&lt;&gt;$AF95,IFERROR(VLOOKUP($H95,areaCercaPuntiClassificaSquadra,3,FALSE),-1)=IFERROR(VLOOKUP($AF95,areaCercaPuntiClassificaSquadra,3,FALSE),-2)),SUMIFS(Dati!$E$2:$E$451,Dati!$A$2:$A$451,$H95,Dati!$H$2:$H$451,$AF95)+SUMIFS(Dati!$L$2:$L$451,Dati!$H$2:$H$451,$H95,Dati!$A$2:$A$451,$AF95),"-")</f>
        <v/>
      </c>
      <c r="BQ95" s="22">
        <f>IF(AND($H95&lt;&gt;"",$AG95&lt;&gt;"",$H95&lt;&gt;$AG95,IFERROR(VLOOKUP($H95,areaCercaPuntiClassificaSquadra,3,FALSE),-1)=IFERROR(VLOOKUP($AG95,areaCercaPuntiClassificaSquadra,3,FALSE),-2)),SUMIFS(Dati!$E$2:$E$451,Dati!$A$2:$A$451,$H95,Dati!$H$2:$H$451,$AG95)+SUMIFS(Dati!$L$2:$L$451,Dati!$H$2:$H$451,$H95,Dati!$A$2:$A$451,$AG95),"-")</f>
        <v/>
      </c>
      <c r="BR95" s="22">
        <f>IF(AND($H95&lt;&gt;"",$AH95&lt;&gt;"",$H95&lt;&gt;$AH95,IFERROR(VLOOKUP($H95,areaCercaPuntiClassificaSquadra,3,FALSE),-1)=IFERROR(VLOOKUP($AH95,areaCercaPuntiClassificaSquadra,3,FALSE),-2)),SUMIFS(Dati!$E$2:$E$451,Dati!$A$2:$A$451,$H95,Dati!$H$2:$H$451,$AH95)+SUMIFS(Dati!$L$2:$L$451,Dati!$H$2:$H$451,$H95,Dati!$A$2:$A$451,$AH95),"-")</f>
        <v/>
      </c>
      <c r="BT95" s="21">
        <f>$C95</f>
        <v/>
      </c>
      <c r="BU95" s="22">
        <f>IF(AND($H95&lt;&gt;"",$Y95&lt;&gt;"",$H95&lt;&gt;$Y95,IFERROR(VLOOKUP($H95,areaCercaPuntiClassificaSquadra,3,FALSE),-1)=IFERROR(VLOOKUP($Y95,areaCercaPuntiClassificaSquadra,3,FALSE),-2)),SUMIFS(Dati!$F$2:$F$451,Dati!$A$2:$A$451,$H95,Dati!$H$2:$H$451,$Y95)+SUMIFS(Dati!$M$2:$M$451,Dati!$H$2:$H$451,$H95,Dati!$A$2:$A$451,$Y95),"-")</f>
        <v/>
      </c>
      <c r="BV95" s="22">
        <f>IF(AND($H95&lt;&gt;"",$Z95&lt;&gt;"",$H95&lt;&gt;$Z95,IFERROR(VLOOKUP($H95,areaCercaPuntiClassificaSquadra,3,FALSE),-1)=IFERROR(VLOOKUP($Z95,areaCercaPuntiClassificaSquadra,3,FALSE),-2)),SUMIFS(Dati!$F$2:$F$451,Dati!$A$2:$A$451,$H95,Dati!$H$2:$H$451,$Z95)+SUMIFS(Dati!$M$2:$M$451,Dati!$H$2:$H$451,$H95,Dati!$A$2:$A$451,$Z95),"-")</f>
        <v/>
      </c>
      <c r="BW95" s="22">
        <f>IF(AND($H95&lt;&gt;"",$AA95&lt;&gt;"",$H95&lt;&gt;$AA95,IFERROR(VLOOKUP($H95,areaCercaPuntiClassificaSquadra,3,FALSE),-1)=IFERROR(VLOOKUP($AA95,areaCercaPuntiClassificaSquadra,3,FALSE),-2)),SUMIFS(Dati!$F$2:$F$451,Dati!$A$2:$A$451,$H95,Dati!$H$2:$H$451,$AA95)+SUMIFS(Dati!$M$2:$M$451,Dati!$H$2:$H$451,$H95,Dati!$A$2:$A$451,$AA95),"-")</f>
        <v/>
      </c>
      <c r="BX95" s="22">
        <f>IF(AND($H95&lt;&gt;"",$AB95&lt;&gt;"",$H95&lt;&gt;$AB95,IFERROR(VLOOKUP($H95,areaCercaPuntiClassificaSquadra,3,FALSE),-1)=IFERROR(VLOOKUP($AB95,areaCercaPuntiClassificaSquadra,3,FALSE),-2)),SUMIFS(Dati!$F$2:$F$451,Dati!$A$2:$A$451,$H95,Dati!$H$2:$H$451,$AB95)+SUMIFS(Dati!$M$2:$M$451,Dati!$H$2:$H$451,$H95,Dati!$A$2:$A$451,$AB95),"-")</f>
        <v/>
      </c>
      <c r="BY95" s="22">
        <f>IF(AND($H95&lt;&gt;"",$AC95&lt;&gt;"",$H95&lt;&gt;$AC95,IFERROR(VLOOKUP($H95,areaCercaPuntiClassificaSquadra,3,FALSE),-1)=IFERROR(VLOOKUP($AC95,areaCercaPuntiClassificaSquadra,3,FALSE),-2)),SUMIFS(Dati!$F$2:$F$451,Dati!$A$2:$A$451,$H95,Dati!$H$2:$H$451,$AC95)+SUMIFS(Dati!$M$2:$M$451,Dati!$H$2:$H$451,$H95,Dati!$A$2:$A$451,$AC95),"-")</f>
        <v/>
      </c>
      <c r="BZ95" s="22">
        <f>IF(AND($H95&lt;&gt;"",$AD95&lt;&gt;"",$H95&lt;&gt;$AD95,IFERROR(VLOOKUP($H95,areaCercaPuntiClassificaSquadra,3,FALSE),-1)=IFERROR(VLOOKUP($AD95,areaCercaPuntiClassificaSquadra,3,FALSE),-2)),SUMIFS(Dati!$F$2:$F$451,Dati!$A$2:$A$451,$H95,Dati!$H$2:$H$451,$AD95)+SUMIFS(Dati!$M$2:$M$451,Dati!$H$2:$H$451,$H95,Dati!$A$2:$A$451,$AD95),"-")</f>
        <v/>
      </c>
      <c r="CA95" s="22">
        <f>IF(AND($H95&lt;&gt;"",$AE95&lt;&gt;"",$H95&lt;&gt;$AE95,IFERROR(VLOOKUP($H95,areaCercaPuntiClassificaSquadra,3,FALSE),-1)=IFERROR(VLOOKUP($AE95,areaCercaPuntiClassificaSquadra,3,FALSE),-2)),SUMIFS(Dati!$F$2:$F$451,Dati!$A$2:$A$451,$H95,Dati!$H$2:$H$451,$AE95)+SUMIFS(Dati!$M$2:$M$451,Dati!$H$2:$H$451,$H95,Dati!$A$2:$A$451,$AE95),"-")</f>
        <v/>
      </c>
      <c r="CB95" s="22">
        <f>IF(AND($H95&lt;&gt;"",$AF95&lt;&gt;"",$H95&lt;&gt;$AF95,IFERROR(VLOOKUP($H95,areaCercaPuntiClassificaSquadra,3,FALSE),-1)=IFERROR(VLOOKUP($AF95,areaCercaPuntiClassificaSquadra,3,FALSE),-2)),SUMIFS(Dati!$F$2:$F$451,Dati!$A$2:$A$451,$H95,Dati!$H$2:$H$451,$AF95)+SUMIFS(Dati!$M$2:$M$451,Dati!$H$2:$H$451,$H95,Dati!$A$2:$A$451,$AF95),"-")</f>
        <v/>
      </c>
      <c r="CC95" s="22">
        <f>IF(AND($H95&lt;&gt;"",$AG95&lt;&gt;"",$H95&lt;&gt;$AG95,IFERROR(VLOOKUP($H95,areaCercaPuntiClassificaSquadra,3,FALSE),-1)=IFERROR(VLOOKUP($AG95,areaCercaPuntiClassificaSquadra,3,FALSE),-2)),SUMIFS(Dati!$F$2:$F$451,Dati!$A$2:$A$451,$H95,Dati!$H$2:$H$451,$AG95)+SUMIFS(Dati!$M$2:$M$451,Dati!$H$2:$H$451,$H95,Dati!$A$2:$A$451,$AG95),"-")</f>
        <v/>
      </c>
      <c r="CD95" s="22">
        <f>IF(AND($H95&lt;&gt;"",$AH95&lt;&gt;"",$H95&lt;&gt;$AH95,IFERROR(VLOOKUP($H95,areaCercaPuntiClassificaSquadra,3,FALSE),-1)=IFERROR(VLOOKUP($AH95,areaCercaPuntiClassificaSquadra,3,FALSE),-2)),SUMIFS(Dati!$F$2:$F$451,Dati!$A$2:$A$451,$H95,Dati!$H$2:$H$451,$AH95)+SUMIFS(Dati!$M$2:$M$451,Dati!$H$2:$H$451,$H95,Dati!$A$2:$A$451,$AH95),"-")</f>
        <v/>
      </c>
      <c r="CF95" s="22">
        <f>IF($C95="","",SUM(AK95:AT95))</f>
        <v/>
      </c>
    </row>
    <row r="96">
      <c r="B96" s="12" t="inlineStr">
        <is>
          <t>I03</t>
        </is>
      </c>
      <c r="C96" s="13" t="n"/>
      <c r="D96" s="14" t="n"/>
      <c r="E96" s="37" t="inlineStr">
        <is>
          <t>I</t>
        </is>
      </c>
      <c r="G96" s="38">
        <f>IF($C96="","",$E96&amp;(COUNTIFS(I$14:I$113,"&gt;"&amp;I96,E$14:E$113,"="&amp;E96,C$14:C$113,"&lt;&gt;")+COUNTIFS(I$14:I$113,"="&amp;I96,H$14:H$113,"&lt;="&amp;H96,E$14:E$113,"="&amp;E96,C$14:C$113,"&lt;&gt;")))</f>
        <v/>
      </c>
      <c r="H96" s="17">
        <f>IF($C96="","",IFERROR(LEFT($C96,FIND("-",$C96)-1),$C96))</f>
        <v/>
      </c>
      <c r="I96" s="12">
        <f>TEXT(1000000000+J96,"|0000000000|")&amp;TEXT(SUM(AK96:AT96),"0000000000|")&amp;IF(SUM(BU96:CD96)=0,"0000000000|",TEXT(ROUND(SUM(BI96:BR96)/SUM(BU96:CD96),4)*100000,"0000000000|"))&amp;IF(P96=0,"0000000000|",TEXT(ROUND(O96/P96,4)*100000,"0000000000|"))</f>
        <v/>
      </c>
      <c r="J96" s="38">
        <f>L96*constPuntiVittoria+M96*constPuntiSconfitta+N96*constPuntiForfait+IF(D96="",0,D96)</f>
        <v/>
      </c>
      <c r="K96" s="12">
        <f>SUM(L96:N96)</f>
        <v/>
      </c>
      <c r="L96" s="12">
        <f>IF($H96="",0,SUMIF(Dati!$A$2:$A$451,$H96,Dati!$B$2:$B$451)+SUMIF(Dati!$H$2:$H$451,$H96,Dati!$I$2:$I$451))</f>
        <v/>
      </c>
      <c r="M96" s="12">
        <f>IF($H96="",0,SUMIF(Dati!$A$2:$A$451,$H96,Dati!$D$2:$D$451)+SUMIF(Dati!$H$2:$H$451,$H96,Dati!$K$2:$K$451))</f>
        <v/>
      </c>
      <c r="N96" s="12">
        <f>IF($H96="",0,SUMIF(Dati!$A$2:$A$451,$H96,Dati!$C$2:$C$451)+SUMIF(Dati!$H$2:$H$451,$H96,Dati!$J$2:$J$451))</f>
        <v/>
      </c>
      <c r="O96" s="12">
        <f>IF($H96="",0,SUMIF(Dati!$A$2:$A$451,$H96,Dati!$E$2:$E$451)+SUMIF(Dati!$H$2:$H$451,$H96,Dati!$L$2:$L$451))</f>
        <v/>
      </c>
      <c r="P96" s="12">
        <f>IF($H96="",0,SUMIF(Dati!$A$2:$A$451,$H96,Dati!$F$2:$F$451)+SUMIF(Dati!$H$2:$H$451,$H96,Dati!$M$2:$M$451))</f>
        <v/>
      </c>
      <c r="Q96" s="12">
        <f>IF($H96="",0,SUMIF(Dati!$A$2:$A$451,$H96,Dati!$G$2:$G$451)+SUMIF(Dati!$H$2:$H$451,$H96,Dati!$N$2:$N$451))</f>
        <v/>
      </c>
      <c r="R96" s="12">
        <f>IF(K96=0,0,ROUND(O96/K96,2))</f>
        <v/>
      </c>
      <c r="S96" s="12">
        <f>IF(K96=0,0,ROUND(P96/K96,2))</f>
        <v/>
      </c>
      <c r="T96" s="12">
        <f>IF(K96=0,0,ROUND(Q96/K96,2))</f>
        <v/>
      </c>
      <c r="U96" s="12">
        <f>IF(COUNTIFS($E$14:$E$113,$E96,$J$14:$J$113,$J96,$C$14:$C$113,"&lt;&gt;")&lt;=1,"-",SUM(AK96:AT96)&amp;"-"&amp;SUM(AW96:BF96))</f>
        <v/>
      </c>
      <c r="V96" s="18">
        <f>IF(COUNTIFS($E$14:$E$113,$E96,$J$14:$J$113,$J96,$C$14:$C$113,"&lt;&gt;",$CF$14:$CF$113,$CF96)&lt;=1,"-",IF(SUM(BU96:CD96)=0,0,ROUND(SUM(BI96:BR96)/SUM(BU96:CD96),3)))</f>
        <v/>
      </c>
      <c r="W96" s="18">
        <f>IF(COUNTIFS($E$14:$E$113,$E96,$J$14:$J$113,$J96,$C$14:$C$113,"&lt;&gt;",$CF$14:$CF$113,$CF96,$V$14:$V$113,$V96)&lt;=1,"-",IF(P96=0,0,ROUND(O96/P96,3)))</f>
        <v/>
      </c>
      <c r="X96" s="19">
        <f>IF($C96="","",$E96&amp;"#"&amp;COUNTIFS($E$14:$E96,$E96,$C$14:$C96,"&lt;&gt;"))</f>
        <v/>
      </c>
      <c r="Y96" s="20">
        <f>IFERROR(INDEX($H$14:$H$113,MATCH($E96&amp;"#1",$X$14:$X$113,0)),"")</f>
        <v/>
      </c>
      <c r="Z96" s="20">
        <f>IFERROR(INDEX($H$14:$H$113,MATCH($E96&amp;"#2",$X$14:$X$113,0)),"")</f>
        <v/>
      </c>
      <c r="AA96" s="20">
        <f>IFERROR(INDEX($H$14:$H$113,MATCH($E96&amp;"#3",$X$14:$X$113,0)),"")</f>
        <v/>
      </c>
      <c r="AB96" s="20">
        <f>IFERROR(INDEX($H$14:$H$113,MATCH($E96&amp;"#4",$X$14:$X$113,0)),"")</f>
        <v/>
      </c>
      <c r="AC96" s="20">
        <f>IFERROR(INDEX($H$14:$H$113,MATCH($E96&amp;"#5",$X$14:$X$113,0)),"")</f>
        <v/>
      </c>
      <c r="AD96" s="20">
        <f>IFERROR(INDEX($H$14:$H$113,MATCH($E96&amp;"#6",$X$14:$X$113,0)),"")</f>
        <v/>
      </c>
      <c r="AE96" s="20">
        <f>IFERROR(INDEX($H$14:$H$113,MATCH($E96&amp;"#7",$X$14:$X$113,0)),"")</f>
        <v/>
      </c>
      <c r="AF96" s="20">
        <f>IFERROR(INDEX($H$14:$H$113,MATCH($E96&amp;"#8",$X$14:$X$113,0)),"")</f>
        <v/>
      </c>
      <c r="AG96" s="20">
        <f>IFERROR(INDEX($H$14:$H$113,MATCH($E96&amp;"#9",$X$14:$X$113,0)),"")</f>
        <v/>
      </c>
      <c r="AH96" s="20">
        <f>IFERROR(INDEX($H$14:$H$113,MATCH($E96&amp;"#10",$X$14:$X$113,0)),"")</f>
        <v/>
      </c>
      <c r="AJ96" s="21">
        <f>$C96</f>
        <v/>
      </c>
      <c r="AK96" s="22">
        <f>IF(AND($H96&lt;&gt;"",$Y96&lt;&gt;"",$H96&lt;&gt;$Y96,IFERROR(VLOOKUP($H96,areaCercaPuntiClassificaSquadra,3,FALSE),-1)=IFERROR(VLOOKUP($Y96,areaCercaPuntiClassificaSquadra,3,FALSE),-2)),SUMIFS(Dati!$B$2:$B$451,Dati!$A$2:$A$451,$H96,Dati!$H$2:$H$451,$Y96)+SUMIFS(Dati!$I$2:$I$451,Dati!$H$2:$H$451,$H96,Dati!$A$2:$A$451,$Y96),"-")</f>
        <v/>
      </c>
      <c r="AL96" s="22">
        <f>IF(AND($H96&lt;&gt;"",$Z96&lt;&gt;"",$H96&lt;&gt;$Z96,IFERROR(VLOOKUP($H96,areaCercaPuntiClassificaSquadra,3,FALSE),-1)=IFERROR(VLOOKUP($Z96,areaCercaPuntiClassificaSquadra,3,FALSE),-2)),SUMIFS(Dati!$B$2:$B$451,Dati!$A$2:$A$451,$H96,Dati!$H$2:$H$451,$Z96)+SUMIFS(Dati!$I$2:$I$451,Dati!$H$2:$H$451,$H96,Dati!$A$2:$A$451,$Z96),"-")</f>
        <v/>
      </c>
      <c r="AM96" s="22">
        <f>IF(AND($H96&lt;&gt;"",$AA96&lt;&gt;"",$H96&lt;&gt;$AA96,IFERROR(VLOOKUP($H96,areaCercaPuntiClassificaSquadra,3,FALSE),-1)=IFERROR(VLOOKUP($AA96,areaCercaPuntiClassificaSquadra,3,FALSE),-2)),SUMIFS(Dati!$B$2:$B$451,Dati!$A$2:$A$451,$H96,Dati!$H$2:$H$451,$AA96)+SUMIFS(Dati!$I$2:$I$451,Dati!$H$2:$H$451,$H96,Dati!$A$2:$A$451,$AA96),"-")</f>
        <v/>
      </c>
      <c r="AN96" s="22">
        <f>IF(AND($H96&lt;&gt;"",$AB96&lt;&gt;"",$H96&lt;&gt;$AB96,IFERROR(VLOOKUP($H96,areaCercaPuntiClassificaSquadra,3,FALSE),-1)=IFERROR(VLOOKUP($AB96,areaCercaPuntiClassificaSquadra,3,FALSE),-2)),SUMIFS(Dati!$B$2:$B$451,Dati!$A$2:$A$451,$H96,Dati!$H$2:$H$451,$AB96)+SUMIFS(Dati!$I$2:$I$451,Dati!$H$2:$H$451,$H96,Dati!$A$2:$A$451,$AB96),"-")</f>
        <v/>
      </c>
      <c r="AO96" s="22">
        <f>IF(AND($H96&lt;&gt;"",$AC96&lt;&gt;"",$H96&lt;&gt;$AC96,IFERROR(VLOOKUP($H96,areaCercaPuntiClassificaSquadra,3,FALSE),-1)=IFERROR(VLOOKUP($AC96,areaCercaPuntiClassificaSquadra,3,FALSE),-2)),SUMIFS(Dati!$B$2:$B$451,Dati!$A$2:$A$451,$H96,Dati!$H$2:$H$451,$AC96)+SUMIFS(Dati!$I$2:$I$451,Dati!$H$2:$H$451,$H96,Dati!$A$2:$A$451,$AC96),"-")</f>
        <v/>
      </c>
      <c r="AP96" s="22">
        <f>IF(AND($H96&lt;&gt;"",$AD96&lt;&gt;"",$H96&lt;&gt;$AD96,IFERROR(VLOOKUP($H96,areaCercaPuntiClassificaSquadra,3,FALSE),-1)=IFERROR(VLOOKUP($AD96,areaCercaPuntiClassificaSquadra,3,FALSE),-2)),SUMIFS(Dati!$B$2:$B$451,Dati!$A$2:$A$451,$H96,Dati!$H$2:$H$451,$AD96)+SUMIFS(Dati!$I$2:$I$451,Dati!$H$2:$H$451,$H96,Dati!$A$2:$A$451,$AD96),"-")</f>
        <v/>
      </c>
      <c r="AQ96" s="22">
        <f>IF(AND($H96&lt;&gt;"",$AE96&lt;&gt;"",$H96&lt;&gt;$AE96,IFERROR(VLOOKUP($H96,areaCercaPuntiClassificaSquadra,3,FALSE),-1)=IFERROR(VLOOKUP($AE96,areaCercaPuntiClassificaSquadra,3,FALSE),-2)),SUMIFS(Dati!$B$2:$B$451,Dati!$A$2:$A$451,$H96,Dati!$H$2:$H$451,$AE96)+SUMIFS(Dati!$I$2:$I$451,Dati!$H$2:$H$451,$H96,Dati!$A$2:$A$451,$AE96),"-")</f>
        <v/>
      </c>
      <c r="AR96" s="22">
        <f>IF(AND($H96&lt;&gt;"",$AF96&lt;&gt;"",$H96&lt;&gt;$AF96,IFERROR(VLOOKUP($H96,areaCercaPuntiClassificaSquadra,3,FALSE),-1)=IFERROR(VLOOKUP($AF96,areaCercaPuntiClassificaSquadra,3,FALSE),-2)),SUMIFS(Dati!$B$2:$B$451,Dati!$A$2:$A$451,$H96,Dati!$H$2:$H$451,$AF96)+SUMIFS(Dati!$I$2:$I$451,Dati!$H$2:$H$451,$H96,Dati!$A$2:$A$451,$AF96),"-")</f>
        <v/>
      </c>
      <c r="AS96" s="22">
        <f>IF(AND($H96&lt;&gt;"",$AG96&lt;&gt;"",$H96&lt;&gt;$AG96,IFERROR(VLOOKUP($H96,areaCercaPuntiClassificaSquadra,3,FALSE),-1)=IFERROR(VLOOKUP($AG96,areaCercaPuntiClassificaSquadra,3,FALSE),-2)),SUMIFS(Dati!$B$2:$B$451,Dati!$A$2:$A$451,$H96,Dati!$H$2:$H$451,$AG96)+SUMIFS(Dati!$I$2:$I$451,Dati!$H$2:$H$451,$H96,Dati!$A$2:$A$451,$AG96),"-")</f>
        <v/>
      </c>
      <c r="AT96" s="22">
        <f>IF(AND($H96&lt;&gt;"",$AH96&lt;&gt;"",$H96&lt;&gt;$AH96,IFERROR(VLOOKUP($H96,areaCercaPuntiClassificaSquadra,3,FALSE),-1)=IFERROR(VLOOKUP($AH96,areaCercaPuntiClassificaSquadra,3,FALSE),-2)),SUMIFS(Dati!$B$2:$B$451,Dati!$A$2:$A$451,$H96,Dati!$H$2:$H$451,$AH96)+SUMIFS(Dati!$I$2:$I$451,Dati!$H$2:$H$451,$H96,Dati!$A$2:$A$451,$AH96),"-")</f>
        <v/>
      </c>
      <c r="AV96" s="21">
        <f>$C96</f>
        <v/>
      </c>
      <c r="AW96" s="22">
        <f>IF(AND($H96&lt;&gt;"",$Y96&lt;&gt;"",$H96&lt;&gt;$Y96,IFERROR(VLOOKUP($H96,areaCercaPuntiClassificaSquadra,3,FALSE),-1)=IFERROR(VLOOKUP($Y96,areaCercaPuntiClassificaSquadra,3,FALSE),-2)),SUMIFS(Dati!$D$2:$D$451,Dati!$A$2:$A$451,$H96,Dati!$H$2:$H$451,$Y96)+SUMIFS(Dati!$K$2:$K$451,Dati!$H$2:$H$451,$H96,Dati!$A$2:$A$451,$Y96)+SUMIFS(Dati!$C$2:$C$451,Dati!$A$2:$A$451,$H96,Dati!$H$2:$H$451,$Y96)+SUMIFS(Dati!$J$2:$J$451,Dati!$H$2:$H$451,$H96,Dati!$A$2:$A$451,$Y96),"-")</f>
        <v/>
      </c>
      <c r="AX96" s="22">
        <f>IF(AND($H96&lt;&gt;"",$Z96&lt;&gt;"",$H96&lt;&gt;$Z96,IFERROR(VLOOKUP($H96,areaCercaPuntiClassificaSquadra,3,FALSE),-1)=IFERROR(VLOOKUP($Z96,areaCercaPuntiClassificaSquadra,3,FALSE),-2)),SUMIFS(Dati!$D$2:$D$451,Dati!$A$2:$A$451,$H96,Dati!$H$2:$H$451,$Z96)+SUMIFS(Dati!$K$2:$K$451,Dati!$H$2:$H$451,$H96,Dati!$A$2:$A$451,$Z96)+SUMIFS(Dati!$C$2:$C$451,Dati!$A$2:$A$451,$H96,Dati!$H$2:$H$451,$Z96)+SUMIFS(Dati!$J$2:$J$451,Dati!$H$2:$H$451,$H96,Dati!$A$2:$A$451,$Z96),"-")</f>
        <v/>
      </c>
      <c r="AY96" s="22">
        <f>IF(AND($H96&lt;&gt;"",$AA96&lt;&gt;"",$H96&lt;&gt;$AA96,IFERROR(VLOOKUP($H96,areaCercaPuntiClassificaSquadra,3,FALSE),-1)=IFERROR(VLOOKUP($AA96,areaCercaPuntiClassificaSquadra,3,FALSE),-2)),SUMIFS(Dati!$D$2:$D$451,Dati!$A$2:$A$451,$H96,Dati!$H$2:$H$451,$AA96)+SUMIFS(Dati!$K$2:$K$451,Dati!$H$2:$H$451,$H96,Dati!$A$2:$A$451,$AA96)+SUMIFS(Dati!$C$2:$C$451,Dati!$A$2:$A$451,$H96,Dati!$H$2:$H$451,$AA96)+SUMIFS(Dati!$J$2:$J$451,Dati!$H$2:$H$451,$H96,Dati!$A$2:$A$451,$AA96),"-")</f>
        <v/>
      </c>
      <c r="AZ96" s="22">
        <f>IF(AND($H96&lt;&gt;"",$AB96&lt;&gt;"",$H96&lt;&gt;$AB96,IFERROR(VLOOKUP($H96,areaCercaPuntiClassificaSquadra,3,FALSE),-1)=IFERROR(VLOOKUP($AB96,areaCercaPuntiClassificaSquadra,3,FALSE),-2)),SUMIFS(Dati!$D$2:$D$451,Dati!$A$2:$A$451,$H96,Dati!$H$2:$H$451,$AB96)+SUMIFS(Dati!$K$2:$K$451,Dati!$H$2:$H$451,$H96,Dati!$A$2:$A$451,$AB96)+SUMIFS(Dati!$C$2:$C$451,Dati!$A$2:$A$451,$H96,Dati!$H$2:$H$451,$AB96)+SUMIFS(Dati!$J$2:$J$451,Dati!$H$2:$H$451,$H96,Dati!$A$2:$A$451,$AB96),"-")</f>
        <v/>
      </c>
      <c r="BA96" s="22">
        <f>IF(AND($H96&lt;&gt;"",$AC96&lt;&gt;"",$H96&lt;&gt;$AC96,IFERROR(VLOOKUP($H96,areaCercaPuntiClassificaSquadra,3,FALSE),-1)=IFERROR(VLOOKUP($AC96,areaCercaPuntiClassificaSquadra,3,FALSE),-2)),SUMIFS(Dati!$D$2:$D$451,Dati!$A$2:$A$451,$H96,Dati!$H$2:$H$451,$AC96)+SUMIFS(Dati!$K$2:$K$451,Dati!$H$2:$H$451,$H96,Dati!$A$2:$A$451,$AC96)+SUMIFS(Dati!$C$2:$C$451,Dati!$A$2:$A$451,$H96,Dati!$H$2:$H$451,$AC96)+SUMIFS(Dati!$J$2:$J$451,Dati!$H$2:$H$451,$H96,Dati!$A$2:$A$451,$AC96),"-")</f>
        <v/>
      </c>
      <c r="BB96" s="22">
        <f>IF(AND($H96&lt;&gt;"",$AD96&lt;&gt;"",$H96&lt;&gt;$AD96,IFERROR(VLOOKUP($H96,areaCercaPuntiClassificaSquadra,3,FALSE),-1)=IFERROR(VLOOKUP($AD96,areaCercaPuntiClassificaSquadra,3,FALSE),-2)),SUMIFS(Dati!$D$2:$D$451,Dati!$A$2:$A$451,$H96,Dati!$H$2:$H$451,$AD96)+SUMIFS(Dati!$K$2:$K$451,Dati!$H$2:$H$451,$H96,Dati!$A$2:$A$451,$AD96)+SUMIFS(Dati!$C$2:$C$451,Dati!$A$2:$A$451,$H96,Dati!$H$2:$H$451,$AD96)+SUMIFS(Dati!$J$2:$J$451,Dati!$H$2:$H$451,$H96,Dati!$A$2:$A$451,$AD96),"-")</f>
        <v/>
      </c>
      <c r="BC96" s="22">
        <f>IF(AND($H96&lt;&gt;"",$AE96&lt;&gt;"",$H96&lt;&gt;$AE96,IFERROR(VLOOKUP($H96,areaCercaPuntiClassificaSquadra,3,FALSE),-1)=IFERROR(VLOOKUP($AE96,areaCercaPuntiClassificaSquadra,3,FALSE),-2)),SUMIFS(Dati!$D$2:$D$451,Dati!$A$2:$A$451,$H96,Dati!$H$2:$H$451,$AE96)+SUMIFS(Dati!$K$2:$K$451,Dati!$H$2:$H$451,$H96,Dati!$A$2:$A$451,$AE96)+SUMIFS(Dati!$C$2:$C$451,Dati!$A$2:$A$451,$H96,Dati!$H$2:$H$451,$AE96)+SUMIFS(Dati!$J$2:$J$451,Dati!$H$2:$H$451,$H96,Dati!$A$2:$A$451,$AE96),"-")</f>
        <v/>
      </c>
      <c r="BD96" s="22">
        <f>IF(AND($H96&lt;&gt;"",$AF96&lt;&gt;"",$H96&lt;&gt;$AF96,IFERROR(VLOOKUP($H96,areaCercaPuntiClassificaSquadra,3,FALSE),-1)=IFERROR(VLOOKUP($AF96,areaCercaPuntiClassificaSquadra,3,FALSE),-2)),SUMIFS(Dati!$D$2:$D$451,Dati!$A$2:$A$451,$H96,Dati!$H$2:$H$451,$AF96)+SUMIFS(Dati!$K$2:$K$451,Dati!$H$2:$H$451,$H96,Dati!$A$2:$A$451,$AF96)+SUMIFS(Dati!$C$2:$C$451,Dati!$A$2:$A$451,$H96,Dati!$H$2:$H$451,$AF96)+SUMIFS(Dati!$J$2:$J$451,Dati!$H$2:$H$451,$H96,Dati!$A$2:$A$451,$AF96),"-")</f>
        <v/>
      </c>
      <c r="BE96" s="22">
        <f>IF(AND($H96&lt;&gt;"",$AG96&lt;&gt;"",$H96&lt;&gt;$AG96,IFERROR(VLOOKUP($H96,areaCercaPuntiClassificaSquadra,3,FALSE),-1)=IFERROR(VLOOKUP($AG96,areaCercaPuntiClassificaSquadra,3,FALSE),-2)),SUMIFS(Dati!$D$2:$D$451,Dati!$A$2:$A$451,$H96,Dati!$H$2:$H$451,$AG96)+SUMIFS(Dati!$K$2:$K$451,Dati!$H$2:$H$451,$H96,Dati!$A$2:$A$451,$AG96)+SUMIFS(Dati!$C$2:$C$451,Dati!$A$2:$A$451,$H96,Dati!$H$2:$H$451,$AG96)+SUMIFS(Dati!$J$2:$J$451,Dati!$H$2:$H$451,$H96,Dati!$A$2:$A$451,$AG96),"-")</f>
        <v/>
      </c>
      <c r="BF96" s="22">
        <f>IF(AND($H96&lt;&gt;"",$AH96&lt;&gt;"",$H96&lt;&gt;$AH96,IFERROR(VLOOKUP($H96,areaCercaPuntiClassificaSquadra,3,FALSE),-1)=IFERROR(VLOOKUP($AH96,areaCercaPuntiClassificaSquadra,3,FALSE),-2)),SUMIFS(Dati!$D$2:$D$451,Dati!$A$2:$A$451,$H96,Dati!$H$2:$H$451,$AH96)+SUMIFS(Dati!$K$2:$K$451,Dati!$H$2:$H$451,$H96,Dati!$A$2:$A$451,$AH96)+SUMIFS(Dati!$C$2:$C$451,Dati!$A$2:$A$451,$H96,Dati!$H$2:$H$451,$AH96)+SUMIFS(Dati!$J$2:$J$451,Dati!$H$2:$H$451,$H96,Dati!$A$2:$A$451,$AH96),"-")</f>
        <v/>
      </c>
      <c r="BH96" s="21">
        <f>$C96</f>
        <v/>
      </c>
      <c r="BI96" s="22">
        <f>IF(AND($H96&lt;&gt;"",$Y96&lt;&gt;"",$H96&lt;&gt;$Y96,IFERROR(VLOOKUP($H96,areaCercaPuntiClassificaSquadra,3,FALSE),-1)=IFERROR(VLOOKUP($Y96,areaCercaPuntiClassificaSquadra,3,FALSE),-2)),SUMIFS(Dati!$E$2:$E$451,Dati!$A$2:$A$451,$H96,Dati!$H$2:$H$451,$Y96)+SUMIFS(Dati!$L$2:$L$451,Dati!$H$2:$H$451,$H96,Dati!$A$2:$A$451,$Y96),"-")</f>
        <v/>
      </c>
      <c r="BJ96" s="22">
        <f>IF(AND($H96&lt;&gt;"",$Z96&lt;&gt;"",$H96&lt;&gt;$Z96,IFERROR(VLOOKUP($H96,areaCercaPuntiClassificaSquadra,3,FALSE),-1)=IFERROR(VLOOKUP($Z96,areaCercaPuntiClassificaSquadra,3,FALSE),-2)),SUMIFS(Dati!$E$2:$E$451,Dati!$A$2:$A$451,$H96,Dati!$H$2:$H$451,$Z96)+SUMIFS(Dati!$L$2:$L$451,Dati!$H$2:$H$451,$H96,Dati!$A$2:$A$451,$Z96),"-")</f>
        <v/>
      </c>
      <c r="BK96" s="22">
        <f>IF(AND($H96&lt;&gt;"",$AA96&lt;&gt;"",$H96&lt;&gt;$AA96,IFERROR(VLOOKUP($H96,areaCercaPuntiClassificaSquadra,3,FALSE),-1)=IFERROR(VLOOKUP($AA96,areaCercaPuntiClassificaSquadra,3,FALSE),-2)),SUMIFS(Dati!$E$2:$E$451,Dati!$A$2:$A$451,$H96,Dati!$H$2:$H$451,$AA96)+SUMIFS(Dati!$L$2:$L$451,Dati!$H$2:$H$451,$H96,Dati!$A$2:$A$451,$AA96),"-")</f>
        <v/>
      </c>
      <c r="BL96" s="22">
        <f>IF(AND($H96&lt;&gt;"",$AB96&lt;&gt;"",$H96&lt;&gt;$AB96,IFERROR(VLOOKUP($H96,areaCercaPuntiClassificaSquadra,3,FALSE),-1)=IFERROR(VLOOKUP($AB96,areaCercaPuntiClassificaSquadra,3,FALSE),-2)),SUMIFS(Dati!$E$2:$E$451,Dati!$A$2:$A$451,$H96,Dati!$H$2:$H$451,$AB96)+SUMIFS(Dati!$L$2:$L$451,Dati!$H$2:$H$451,$H96,Dati!$A$2:$A$451,$AB96),"-")</f>
        <v/>
      </c>
      <c r="BM96" s="22">
        <f>IF(AND($H96&lt;&gt;"",$AC96&lt;&gt;"",$H96&lt;&gt;$AC96,IFERROR(VLOOKUP($H96,areaCercaPuntiClassificaSquadra,3,FALSE),-1)=IFERROR(VLOOKUP($AC96,areaCercaPuntiClassificaSquadra,3,FALSE),-2)),SUMIFS(Dati!$E$2:$E$451,Dati!$A$2:$A$451,$H96,Dati!$H$2:$H$451,$AC96)+SUMIFS(Dati!$L$2:$L$451,Dati!$H$2:$H$451,$H96,Dati!$A$2:$A$451,$AC96),"-")</f>
        <v/>
      </c>
      <c r="BN96" s="22">
        <f>IF(AND($H96&lt;&gt;"",$AD96&lt;&gt;"",$H96&lt;&gt;$AD96,IFERROR(VLOOKUP($H96,areaCercaPuntiClassificaSquadra,3,FALSE),-1)=IFERROR(VLOOKUP($AD96,areaCercaPuntiClassificaSquadra,3,FALSE),-2)),SUMIFS(Dati!$E$2:$E$451,Dati!$A$2:$A$451,$H96,Dati!$H$2:$H$451,$AD96)+SUMIFS(Dati!$L$2:$L$451,Dati!$H$2:$H$451,$H96,Dati!$A$2:$A$451,$AD96),"-")</f>
        <v/>
      </c>
      <c r="BO96" s="22">
        <f>IF(AND($H96&lt;&gt;"",$AE96&lt;&gt;"",$H96&lt;&gt;$AE96,IFERROR(VLOOKUP($H96,areaCercaPuntiClassificaSquadra,3,FALSE),-1)=IFERROR(VLOOKUP($AE96,areaCercaPuntiClassificaSquadra,3,FALSE),-2)),SUMIFS(Dati!$E$2:$E$451,Dati!$A$2:$A$451,$H96,Dati!$H$2:$H$451,$AE96)+SUMIFS(Dati!$L$2:$L$451,Dati!$H$2:$H$451,$H96,Dati!$A$2:$A$451,$AE96),"-")</f>
        <v/>
      </c>
      <c r="BP96" s="22">
        <f>IF(AND($H96&lt;&gt;"",$AF96&lt;&gt;"",$H96&lt;&gt;$AF96,IFERROR(VLOOKUP($H96,areaCercaPuntiClassificaSquadra,3,FALSE),-1)=IFERROR(VLOOKUP($AF96,areaCercaPuntiClassificaSquadra,3,FALSE),-2)),SUMIFS(Dati!$E$2:$E$451,Dati!$A$2:$A$451,$H96,Dati!$H$2:$H$451,$AF96)+SUMIFS(Dati!$L$2:$L$451,Dati!$H$2:$H$451,$H96,Dati!$A$2:$A$451,$AF96),"-")</f>
        <v/>
      </c>
      <c r="BQ96" s="22">
        <f>IF(AND($H96&lt;&gt;"",$AG96&lt;&gt;"",$H96&lt;&gt;$AG96,IFERROR(VLOOKUP($H96,areaCercaPuntiClassificaSquadra,3,FALSE),-1)=IFERROR(VLOOKUP($AG96,areaCercaPuntiClassificaSquadra,3,FALSE),-2)),SUMIFS(Dati!$E$2:$E$451,Dati!$A$2:$A$451,$H96,Dati!$H$2:$H$451,$AG96)+SUMIFS(Dati!$L$2:$L$451,Dati!$H$2:$H$451,$H96,Dati!$A$2:$A$451,$AG96),"-")</f>
        <v/>
      </c>
      <c r="BR96" s="22">
        <f>IF(AND($H96&lt;&gt;"",$AH96&lt;&gt;"",$H96&lt;&gt;$AH96,IFERROR(VLOOKUP($H96,areaCercaPuntiClassificaSquadra,3,FALSE),-1)=IFERROR(VLOOKUP($AH96,areaCercaPuntiClassificaSquadra,3,FALSE),-2)),SUMIFS(Dati!$E$2:$E$451,Dati!$A$2:$A$451,$H96,Dati!$H$2:$H$451,$AH96)+SUMIFS(Dati!$L$2:$L$451,Dati!$H$2:$H$451,$H96,Dati!$A$2:$A$451,$AH96),"-")</f>
        <v/>
      </c>
      <c r="BT96" s="21">
        <f>$C96</f>
        <v/>
      </c>
      <c r="BU96" s="22">
        <f>IF(AND($H96&lt;&gt;"",$Y96&lt;&gt;"",$H96&lt;&gt;$Y96,IFERROR(VLOOKUP($H96,areaCercaPuntiClassificaSquadra,3,FALSE),-1)=IFERROR(VLOOKUP($Y96,areaCercaPuntiClassificaSquadra,3,FALSE),-2)),SUMIFS(Dati!$F$2:$F$451,Dati!$A$2:$A$451,$H96,Dati!$H$2:$H$451,$Y96)+SUMIFS(Dati!$M$2:$M$451,Dati!$H$2:$H$451,$H96,Dati!$A$2:$A$451,$Y96),"-")</f>
        <v/>
      </c>
      <c r="BV96" s="22">
        <f>IF(AND($H96&lt;&gt;"",$Z96&lt;&gt;"",$H96&lt;&gt;$Z96,IFERROR(VLOOKUP($H96,areaCercaPuntiClassificaSquadra,3,FALSE),-1)=IFERROR(VLOOKUP($Z96,areaCercaPuntiClassificaSquadra,3,FALSE),-2)),SUMIFS(Dati!$F$2:$F$451,Dati!$A$2:$A$451,$H96,Dati!$H$2:$H$451,$Z96)+SUMIFS(Dati!$M$2:$M$451,Dati!$H$2:$H$451,$H96,Dati!$A$2:$A$451,$Z96),"-")</f>
        <v/>
      </c>
      <c r="BW96" s="22">
        <f>IF(AND($H96&lt;&gt;"",$AA96&lt;&gt;"",$H96&lt;&gt;$AA96,IFERROR(VLOOKUP($H96,areaCercaPuntiClassificaSquadra,3,FALSE),-1)=IFERROR(VLOOKUP($AA96,areaCercaPuntiClassificaSquadra,3,FALSE),-2)),SUMIFS(Dati!$F$2:$F$451,Dati!$A$2:$A$451,$H96,Dati!$H$2:$H$451,$AA96)+SUMIFS(Dati!$M$2:$M$451,Dati!$H$2:$H$451,$H96,Dati!$A$2:$A$451,$AA96),"-")</f>
        <v/>
      </c>
      <c r="BX96" s="22">
        <f>IF(AND($H96&lt;&gt;"",$AB96&lt;&gt;"",$H96&lt;&gt;$AB96,IFERROR(VLOOKUP($H96,areaCercaPuntiClassificaSquadra,3,FALSE),-1)=IFERROR(VLOOKUP($AB96,areaCercaPuntiClassificaSquadra,3,FALSE),-2)),SUMIFS(Dati!$F$2:$F$451,Dati!$A$2:$A$451,$H96,Dati!$H$2:$H$451,$AB96)+SUMIFS(Dati!$M$2:$M$451,Dati!$H$2:$H$451,$H96,Dati!$A$2:$A$451,$AB96),"-")</f>
        <v/>
      </c>
      <c r="BY96" s="22">
        <f>IF(AND($H96&lt;&gt;"",$AC96&lt;&gt;"",$H96&lt;&gt;$AC96,IFERROR(VLOOKUP($H96,areaCercaPuntiClassificaSquadra,3,FALSE),-1)=IFERROR(VLOOKUP($AC96,areaCercaPuntiClassificaSquadra,3,FALSE),-2)),SUMIFS(Dati!$F$2:$F$451,Dati!$A$2:$A$451,$H96,Dati!$H$2:$H$451,$AC96)+SUMIFS(Dati!$M$2:$M$451,Dati!$H$2:$H$451,$H96,Dati!$A$2:$A$451,$AC96),"-")</f>
        <v/>
      </c>
      <c r="BZ96" s="22">
        <f>IF(AND($H96&lt;&gt;"",$AD96&lt;&gt;"",$H96&lt;&gt;$AD96,IFERROR(VLOOKUP($H96,areaCercaPuntiClassificaSquadra,3,FALSE),-1)=IFERROR(VLOOKUP($AD96,areaCercaPuntiClassificaSquadra,3,FALSE),-2)),SUMIFS(Dati!$F$2:$F$451,Dati!$A$2:$A$451,$H96,Dati!$H$2:$H$451,$AD96)+SUMIFS(Dati!$M$2:$M$451,Dati!$H$2:$H$451,$H96,Dati!$A$2:$A$451,$AD96),"-")</f>
        <v/>
      </c>
      <c r="CA96" s="22">
        <f>IF(AND($H96&lt;&gt;"",$AE96&lt;&gt;"",$H96&lt;&gt;$AE96,IFERROR(VLOOKUP($H96,areaCercaPuntiClassificaSquadra,3,FALSE),-1)=IFERROR(VLOOKUP($AE96,areaCercaPuntiClassificaSquadra,3,FALSE),-2)),SUMIFS(Dati!$F$2:$F$451,Dati!$A$2:$A$451,$H96,Dati!$H$2:$H$451,$AE96)+SUMIFS(Dati!$M$2:$M$451,Dati!$H$2:$H$451,$H96,Dati!$A$2:$A$451,$AE96),"-")</f>
        <v/>
      </c>
      <c r="CB96" s="22">
        <f>IF(AND($H96&lt;&gt;"",$AF96&lt;&gt;"",$H96&lt;&gt;$AF96,IFERROR(VLOOKUP($H96,areaCercaPuntiClassificaSquadra,3,FALSE),-1)=IFERROR(VLOOKUP($AF96,areaCercaPuntiClassificaSquadra,3,FALSE),-2)),SUMIFS(Dati!$F$2:$F$451,Dati!$A$2:$A$451,$H96,Dati!$H$2:$H$451,$AF96)+SUMIFS(Dati!$M$2:$M$451,Dati!$H$2:$H$451,$H96,Dati!$A$2:$A$451,$AF96),"-")</f>
        <v/>
      </c>
      <c r="CC96" s="22">
        <f>IF(AND($H96&lt;&gt;"",$AG96&lt;&gt;"",$H96&lt;&gt;$AG96,IFERROR(VLOOKUP($H96,areaCercaPuntiClassificaSquadra,3,FALSE),-1)=IFERROR(VLOOKUP($AG96,areaCercaPuntiClassificaSquadra,3,FALSE),-2)),SUMIFS(Dati!$F$2:$F$451,Dati!$A$2:$A$451,$H96,Dati!$H$2:$H$451,$AG96)+SUMIFS(Dati!$M$2:$M$451,Dati!$H$2:$H$451,$H96,Dati!$A$2:$A$451,$AG96),"-")</f>
        <v/>
      </c>
      <c r="CD96" s="22">
        <f>IF(AND($H96&lt;&gt;"",$AH96&lt;&gt;"",$H96&lt;&gt;$AH96,IFERROR(VLOOKUP($H96,areaCercaPuntiClassificaSquadra,3,FALSE),-1)=IFERROR(VLOOKUP($AH96,areaCercaPuntiClassificaSquadra,3,FALSE),-2)),SUMIFS(Dati!$F$2:$F$451,Dati!$A$2:$A$451,$H96,Dati!$H$2:$H$451,$AH96)+SUMIFS(Dati!$M$2:$M$451,Dati!$H$2:$H$451,$H96,Dati!$A$2:$A$451,$AH96),"-")</f>
        <v/>
      </c>
      <c r="CF96" s="22">
        <f>IF($C96="","",SUM(AK96:AT96))</f>
        <v/>
      </c>
    </row>
    <row r="97">
      <c r="B97" s="12" t="inlineStr">
        <is>
          <t>I04</t>
        </is>
      </c>
      <c r="C97" s="13" t="n"/>
      <c r="D97" s="14" t="n"/>
      <c r="E97" s="37" t="inlineStr">
        <is>
          <t>I</t>
        </is>
      </c>
      <c r="G97" s="38">
        <f>IF($C97="","",$E97&amp;(COUNTIFS(I$14:I$113,"&gt;"&amp;I97,E$14:E$113,"="&amp;E97,C$14:C$113,"&lt;&gt;")+COUNTIFS(I$14:I$113,"="&amp;I97,H$14:H$113,"&lt;="&amp;H97,E$14:E$113,"="&amp;E97,C$14:C$113,"&lt;&gt;")))</f>
        <v/>
      </c>
      <c r="H97" s="17">
        <f>IF($C97="","",IFERROR(LEFT($C97,FIND("-",$C97)-1),$C97))</f>
        <v/>
      </c>
      <c r="I97" s="12">
        <f>TEXT(1000000000+J97,"|0000000000|")&amp;TEXT(SUM(AK97:AT97),"0000000000|")&amp;IF(SUM(BU97:CD97)=0,"0000000000|",TEXT(ROUND(SUM(BI97:BR97)/SUM(BU97:CD97),4)*100000,"0000000000|"))&amp;IF(P97=0,"0000000000|",TEXT(ROUND(O97/P97,4)*100000,"0000000000|"))</f>
        <v/>
      </c>
      <c r="J97" s="38">
        <f>L97*constPuntiVittoria+M97*constPuntiSconfitta+N97*constPuntiForfait+IF(D97="",0,D97)</f>
        <v/>
      </c>
      <c r="K97" s="12">
        <f>SUM(L97:N97)</f>
        <v/>
      </c>
      <c r="L97" s="12">
        <f>IF($H97="",0,SUMIF(Dati!$A$2:$A$451,$H97,Dati!$B$2:$B$451)+SUMIF(Dati!$H$2:$H$451,$H97,Dati!$I$2:$I$451))</f>
        <v/>
      </c>
      <c r="M97" s="12">
        <f>IF($H97="",0,SUMIF(Dati!$A$2:$A$451,$H97,Dati!$D$2:$D$451)+SUMIF(Dati!$H$2:$H$451,$H97,Dati!$K$2:$K$451))</f>
        <v/>
      </c>
      <c r="N97" s="12">
        <f>IF($H97="",0,SUMIF(Dati!$A$2:$A$451,$H97,Dati!$C$2:$C$451)+SUMIF(Dati!$H$2:$H$451,$H97,Dati!$J$2:$J$451))</f>
        <v/>
      </c>
      <c r="O97" s="12">
        <f>IF($H97="",0,SUMIF(Dati!$A$2:$A$451,$H97,Dati!$E$2:$E$451)+SUMIF(Dati!$H$2:$H$451,$H97,Dati!$L$2:$L$451))</f>
        <v/>
      </c>
      <c r="P97" s="12">
        <f>IF($H97="",0,SUMIF(Dati!$A$2:$A$451,$H97,Dati!$F$2:$F$451)+SUMIF(Dati!$H$2:$H$451,$H97,Dati!$M$2:$M$451))</f>
        <v/>
      </c>
      <c r="Q97" s="12">
        <f>IF($H97="",0,SUMIF(Dati!$A$2:$A$451,$H97,Dati!$G$2:$G$451)+SUMIF(Dati!$H$2:$H$451,$H97,Dati!$N$2:$N$451))</f>
        <v/>
      </c>
      <c r="R97" s="12">
        <f>IF(K97=0,0,ROUND(O97/K97,2))</f>
        <v/>
      </c>
      <c r="S97" s="12">
        <f>IF(K97=0,0,ROUND(P97/K97,2))</f>
        <v/>
      </c>
      <c r="T97" s="12">
        <f>IF(K97=0,0,ROUND(Q97/K97,2))</f>
        <v/>
      </c>
      <c r="U97" s="12">
        <f>IF(COUNTIFS($E$14:$E$113,$E97,$J$14:$J$113,$J97,$C$14:$C$113,"&lt;&gt;")&lt;=1,"-",SUM(AK97:AT97)&amp;"-"&amp;SUM(AW97:BF97))</f>
        <v/>
      </c>
      <c r="V97" s="18">
        <f>IF(COUNTIFS($E$14:$E$113,$E97,$J$14:$J$113,$J97,$C$14:$C$113,"&lt;&gt;",$CF$14:$CF$113,$CF97)&lt;=1,"-",IF(SUM(BU97:CD97)=0,0,ROUND(SUM(BI97:BR97)/SUM(BU97:CD97),3)))</f>
        <v/>
      </c>
      <c r="W97" s="18">
        <f>IF(COUNTIFS($E$14:$E$113,$E97,$J$14:$J$113,$J97,$C$14:$C$113,"&lt;&gt;",$CF$14:$CF$113,$CF97,$V$14:$V$113,$V97)&lt;=1,"-",IF(P97=0,0,ROUND(O97/P97,3)))</f>
        <v/>
      </c>
      <c r="X97" s="19">
        <f>IF($C97="","",$E97&amp;"#"&amp;COUNTIFS($E$14:$E97,$E97,$C$14:$C97,"&lt;&gt;"))</f>
        <v/>
      </c>
      <c r="Y97" s="20">
        <f>IFERROR(INDEX($H$14:$H$113,MATCH($E97&amp;"#1",$X$14:$X$113,0)),"")</f>
        <v/>
      </c>
      <c r="Z97" s="20">
        <f>IFERROR(INDEX($H$14:$H$113,MATCH($E97&amp;"#2",$X$14:$X$113,0)),"")</f>
        <v/>
      </c>
      <c r="AA97" s="20">
        <f>IFERROR(INDEX($H$14:$H$113,MATCH($E97&amp;"#3",$X$14:$X$113,0)),"")</f>
        <v/>
      </c>
      <c r="AB97" s="20">
        <f>IFERROR(INDEX($H$14:$H$113,MATCH($E97&amp;"#4",$X$14:$X$113,0)),"")</f>
        <v/>
      </c>
      <c r="AC97" s="20">
        <f>IFERROR(INDEX($H$14:$H$113,MATCH($E97&amp;"#5",$X$14:$X$113,0)),"")</f>
        <v/>
      </c>
      <c r="AD97" s="20">
        <f>IFERROR(INDEX($H$14:$H$113,MATCH($E97&amp;"#6",$X$14:$X$113,0)),"")</f>
        <v/>
      </c>
      <c r="AE97" s="20">
        <f>IFERROR(INDEX($H$14:$H$113,MATCH($E97&amp;"#7",$X$14:$X$113,0)),"")</f>
        <v/>
      </c>
      <c r="AF97" s="20">
        <f>IFERROR(INDEX($H$14:$H$113,MATCH($E97&amp;"#8",$X$14:$X$113,0)),"")</f>
        <v/>
      </c>
      <c r="AG97" s="20">
        <f>IFERROR(INDEX($H$14:$H$113,MATCH($E97&amp;"#9",$X$14:$X$113,0)),"")</f>
        <v/>
      </c>
      <c r="AH97" s="20">
        <f>IFERROR(INDEX($H$14:$H$113,MATCH($E97&amp;"#10",$X$14:$X$113,0)),"")</f>
        <v/>
      </c>
      <c r="AJ97" s="21">
        <f>$C97</f>
        <v/>
      </c>
      <c r="AK97" s="22">
        <f>IF(AND($H97&lt;&gt;"",$Y97&lt;&gt;"",$H97&lt;&gt;$Y97,IFERROR(VLOOKUP($H97,areaCercaPuntiClassificaSquadra,3,FALSE),-1)=IFERROR(VLOOKUP($Y97,areaCercaPuntiClassificaSquadra,3,FALSE),-2)),SUMIFS(Dati!$B$2:$B$451,Dati!$A$2:$A$451,$H97,Dati!$H$2:$H$451,$Y97)+SUMIFS(Dati!$I$2:$I$451,Dati!$H$2:$H$451,$H97,Dati!$A$2:$A$451,$Y97),"-")</f>
        <v/>
      </c>
      <c r="AL97" s="22">
        <f>IF(AND($H97&lt;&gt;"",$Z97&lt;&gt;"",$H97&lt;&gt;$Z97,IFERROR(VLOOKUP($H97,areaCercaPuntiClassificaSquadra,3,FALSE),-1)=IFERROR(VLOOKUP($Z97,areaCercaPuntiClassificaSquadra,3,FALSE),-2)),SUMIFS(Dati!$B$2:$B$451,Dati!$A$2:$A$451,$H97,Dati!$H$2:$H$451,$Z97)+SUMIFS(Dati!$I$2:$I$451,Dati!$H$2:$H$451,$H97,Dati!$A$2:$A$451,$Z97),"-")</f>
        <v/>
      </c>
      <c r="AM97" s="22">
        <f>IF(AND($H97&lt;&gt;"",$AA97&lt;&gt;"",$H97&lt;&gt;$AA97,IFERROR(VLOOKUP($H97,areaCercaPuntiClassificaSquadra,3,FALSE),-1)=IFERROR(VLOOKUP($AA97,areaCercaPuntiClassificaSquadra,3,FALSE),-2)),SUMIFS(Dati!$B$2:$B$451,Dati!$A$2:$A$451,$H97,Dati!$H$2:$H$451,$AA97)+SUMIFS(Dati!$I$2:$I$451,Dati!$H$2:$H$451,$H97,Dati!$A$2:$A$451,$AA97),"-")</f>
        <v/>
      </c>
      <c r="AN97" s="22">
        <f>IF(AND($H97&lt;&gt;"",$AB97&lt;&gt;"",$H97&lt;&gt;$AB97,IFERROR(VLOOKUP($H97,areaCercaPuntiClassificaSquadra,3,FALSE),-1)=IFERROR(VLOOKUP($AB97,areaCercaPuntiClassificaSquadra,3,FALSE),-2)),SUMIFS(Dati!$B$2:$B$451,Dati!$A$2:$A$451,$H97,Dati!$H$2:$H$451,$AB97)+SUMIFS(Dati!$I$2:$I$451,Dati!$H$2:$H$451,$H97,Dati!$A$2:$A$451,$AB97),"-")</f>
        <v/>
      </c>
      <c r="AO97" s="22">
        <f>IF(AND($H97&lt;&gt;"",$AC97&lt;&gt;"",$H97&lt;&gt;$AC97,IFERROR(VLOOKUP($H97,areaCercaPuntiClassificaSquadra,3,FALSE),-1)=IFERROR(VLOOKUP($AC97,areaCercaPuntiClassificaSquadra,3,FALSE),-2)),SUMIFS(Dati!$B$2:$B$451,Dati!$A$2:$A$451,$H97,Dati!$H$2:$H$451,$AC97)+SUMIFS(Dati!$I$2:$I$451,Dati!$H$2:$H$451,$H97,Dati!$A$2:$A$451,$AC97),"-")</f>
        <v/>
      </c>
      <c r="AP97" s="22">
        <f>IF(AND($H97&lt;&gt;"",$AD97&lt;&gt;"",$H97&lt;&gt;$AD97,IFERROR(VLOOKUP($H97,areaCercaPuntiClassificaSquadra,3,FALSE),-1)=IFERROR(VLOOKUP($AD97,areaCercaPuntiClassificaSquadra,3,FALSE),-2)),SUMIFS(Dati!$B$2:$B$451,Dati!$A$2:$A$451,$H97,Dati!$H$2:$H$451,$AD97)+SUMIFS(Dati!$I$2:$I$451,Dati!$H$2:$H$451,$H97,Dati!$A$2:$A$451,$AD97),"-")</f>
        <v/>
      </c>
      <c r="AQ97" s="22">
        <f>IF(AND($H97&lt;&gt;"",$AE97&lt;&gt;"",$H97&lt;&gt;$AE97,IFERROR(VLOOKUP($H97,areaCercaPuntiClassificaSquadra,3,FALSE),-1)=IFERROR(VLOOKUP($AE97,areaCercaPuntiClassificaSquadra,3,FALSE),-2)),SUMIFS(Dati!$B$2:$B$451,Dati!$A$2:$A$451,$H97,Dati!$H$2:$H$451,$AE97)+SUMIFS(Dati!$I$2:$I$451,Dati!$H$2:$H$451,$H97,Dati!$A$2:$A$451,$AE97),"-")</f>
        <v/>
      </c>
      <c r="AR97" s="22">
        <f>IF(AND($H97&lt;&gt;"",$AF97&lt;&gt;"",$H97&lt;&gt;$AF97,IFERROR(VLOOKUP($H97,areaCercaPuntiClassificaSquadra,3,FALSE),-1)=IFERROR(VLOOKUP($AF97,areaCercaPuntiClassificaSquadra,3,FALSE),-2)),SUMIFS(Dati!$B$2:$B$451,Dati!$A$2:$A$451,$H97,Dati!$H$2:$H$451,$AF97)+SUMIFS(Dati!$I$2:$I$451,Dati!$H$2:$H$451,$H97,Dati!$A$2:$A$451,$AF97),"-")</f>
        <v/>
      </c>
      <c r="AS97" s="22">
        <f>IF(AND($H97&lt;&gt;"",$AG97&lt;&gt;"",$H97&lt;&gt;$AG97,IFERROR(VLOOKUP($H97,areaCercaPuntiClassificaSquadra,3,FALSE),-1)=IFERROR(VLOOKUP($AG97,areaCercaPuntiClassificaSquadra,3,FALSE),-2)),SUMIFS(Dati!$B$2:$B$451,Dati!$A$2:$A$451,$H97,Dati!$H$2:$H$451,$AG97)+SUMIFS(Dati!$I$2:$I$451,Dati!$H$2:$H$451,$H97,Dati!$A$2:$A$451,$AG97),"-")</f>
        <v/>
      </c>
      <c r="AT97" s="22">
        <f>IF(AND($H97&lt;&gt;"",$AH97&lt;&gt;"",$H97&lt;&gt;$AH97,IFERROR(VLOOKUP($H97,areaCercaPuntiClassificaSquadra,3,FALSE),-1)=IFERROR(VLOOKUP($AH97,areaCercaPuntiClassificaSquadra,3,FALSE),-2)),SUMIFS(Dati!$B$2:$B$451,Dati!$A$2:$A$451,$H97,Dati!$H$2:$H$451,$AH97)+SUMIFS(Dati!$I$2:$I$451,Dati!$H$2:$H$451,$H97,Dati!$A$2:$A$451,$AH97),"-")</f>
        <v/>
      </c>
      <c r="AV97" s="21">
        <f>$C97</f>
        <v/>
      </c>
      <c r="AW97" s="22">
        <f>IF(AND($H97&lt;&gt;"",$Y97&lt;&gt;"",$H97&lt;&gt;$Y97,IFERROR(VLOOKUP($H97,areaCercaPuntiClassificaSquadra,3,FALSE),-1)=IFERROR(VLOOKUP($Y97,areaCercaPuntiClassificaSquadra,3,FALSE),-2)),SUMIFS(Dati!$D$2:$D$451,Dati!$A$2:$A$451,$H97,Dati!$H$2:$H$451,$Y97)+SUMIFS(Dati!$K$2:$K$451,Dati!$H$2:$H$451,$H97,Dati!$A$2:$A$451,$Y97)+SUMIFS(Dati!$C$2:$C$451,Dati!$A$2:$A$451,$H97,Dati!$H$2:$H$451,$Y97)+SUMIFS(Dati!$J$2:$J$451,Dati!$H$2:$H$451,$H97,Dati!$A$2:$A$451,$Y97),"-")</f>
        <v/>
      </c>
      <c r="AX97" s="22">
        <f>IF(AND($H97&lt;&gt;"",$Z97&lt;&gt;"",$H97&lt;&gt;$Z97,IFERROR(VLOOKUP($H97,areaCercaPuntiClassificaSquadra,3,FALSE),-1)=IFERROR(VLOOKUP($Z97,areaCercaPuntiClassificaSquadra,3,FALSE),-2)),SUMIFS(Dati!$D$2:$D$451,Dati!$A$2:$A$451,$H97,Dati!$H$2:$H$451,$Z97)+SUMIFS(Dati!$K$2:$K$451,Dati!$H$2:$H$451,$H97,Dati!$A$2:$A$451,$Z97)+SUMIFS(Dati!$C$2:$C$451,Dati!$A$2:$A$451,$H97,Dati!$H$2:$H$451,$Z97)+SUMIFS(Dati!$J$2:$J$451,Dati!$H$2:$H$451,$H97,Dati!$A$2:$A$451,$Z97),"-")</f>
        <v/>
      </c>
      <c r="AY97" s="22">
        <f>IF(AND($H97&lt;&gt;"",$AA97&lt;&gt;"",$H97&lt;&gt;$AA97,IFERROR(VLOOKUP($H97,areaCercaPuntiClassificaSquadra,3,FALSE),-1)=IFERROR(VLOOKUP($AA97,areaCercaPuntiClassificaSquadra,3,FALSE),-2)),SUMIFS(Dati!$D$2:$D$451,Dati!$A$2:$A$451,$H97,Dati!$H$2:$H$451,$AA97)+SUMIFS(Dati!$K$2:$K$451,Dati!$H$2:$H$451,$H97,Dati!$A$2:$A$451,$AA97)+SUMIFS(Dati!$C$2:$C$451,Dati!$A$2:$A$451,$H97,Dati!$H$2:$H$451,$AA97)+SUMIFS(Dati!$J$2:$J$451,Dati!$H$2:$H$451,$H97,Dati!$A$2:$A$451,$AA97),"-")</f>
        <v/>
      </c>
      <c r="AZ97" s="22">
        <f>IF(AND($H97&lt;&gt;"",$AB97&lt;&gt;"",$H97&lt;&gt;$AB97,IFERROR(VLOOKUP($H97,areaCercaPuntiClassificaSquadra,3,FALSE),-1)=IFERROR(VLOOKUP($AB97,areaCercaPuntiClassificaSquadra,3,FALSE),-2)),SUMIFS(Dati!$D$2:$D$451,Dati!$A$2:$A$451,$H97,Dati!$H$2:$H$451,$AB97)+SUMIFS(Dati!$K$2:$K$451,Dati!$H$2:$H$451,$H97,Dati!$A$2:$A$451,$AB97)+SUMIFS(Dati!$C$2:$C$451,Dati!$A$2:$A$451,$H97,Dati!$H$2:$H$451,$AB97)+SUMIFS(Dati!$J$2:$J$451,Dati!$H$2:$H$451,$H97,Dati!$A$2:$A$451,$AB97),"-")</f>
        <v/>
      </c>
      <c r="BA97" s="22">
        <f>IF(AND($H97&lt;&gt;"",$AC97&lt;&gt;"",$H97&lt;&gt;$AC97,IFERROR(VLOOKUP($H97,areaCercaPuntiClassificaSquadra,3,FALSE),-1)=IFERROR(VLOOKUP($AC97,areaCercaPuntiClassificaSquadra,3,FALSE),-2)),SUMIFS(Dati!$D$2:$D$451,Dati!$A$2:$A$451,$H97,Dati!$H$2:$H$451,$AC97)+SUMIFS(Dati!$K$2:$K$451,Dati!$H$2:$H$451,$H97,Dati!$A$2:$A$451,$AC97)+SUMIFS(Dati!$C$2:$C$451,Dati!$A$2:$A$451,$H97,Dati!$H$2:$H$451,$AC97)+SUMIFS(Dati!$J$2:$J$451,Dati!$H$2:$H$451,$H97,Dati!$A$2:$A$451,$AC97),"-")</f>
        <v/>
      </c>
      <c r="BB97" s="22">
        <f>IF(AND($H97&lt;&gt;"",$AD97&lt;&gt;"",$H97&lt;&gt;$AD97,IFERROR(VLOOKUP($H97,areaCercaPuntiClassificaSquadra,3,FALSE),-1)=IFERROR(VLOOKUP($AD97,areaCercaPuntiClassificaSquadra,3,FALSE),-2)),SUMIFS(Dati!$D$2:$D$451,Dati!$A$2:$A$451,$H97,Dati!$H$2:$H$451,$AD97)+SUMIFS(Dati!$K$2:$K$451,Dati!$H$2:$H$451,$H97,Dati!$A$2:$A$451,$AD97)+SUMIFS(Dati!$C$2:$C$451,Dati!$A$2:$A$451,$H97,Dati!$H$2:$H$451,$AD97)+SUMIFS(Dati!$J$2:$J$451,Dati!$H$2:$H$451,$H97,Dati!$A$2:$A$451,$AD97),"-")</f>
        <v/>
      </c>
      <c r="BC97" s="22">
        <f>IF(AND($H97&lt;&gt;"",$AE97&lt;&gt;"",$H97&lt;&gt;$AE97,IFERROR(VLOOKUP($H97,areaCercaPuntiClassificaSquadra,3,FALSE),-1)=IFERROR(VLOOKUP($AE97,areaCercaPuntiClassificaSquadra,3,FALSE),-2)),SUMIFS(Dati!$D$2:$D$451,Dati!$A$2:$A$451,$H97,Dati!$H$2:$H$451,$AE97)+SUMIFS(Dati!$K$2:$K$451,Dati!$H$2:$H$451,$H97,Dati!$A$2:$A$451,$AE97)+SUMIFS(Dati!$C$2:$C$451,Dati!$A$2:$A$451,$H97,Dati!$H$2:$H$451,$AE97)+SUMIFS(Dati!$J$2:$J$451,Dati!$H$2:$H$451,$H97,Dati!$A$2:$A$451,$AE97),"-")</f>
        <v/>
      </c>
      <c r="BD97" s="22">
        <f>IF(AND($H97&lt;&gt;"",$AF97&lt;&gt;"",$H97&lt;&gt;$AF97,IFERROR(VLOOKUP($H97,areaCercaPuntiClassificaSquadra,3,FALSE),-1)=IFERROR(VLOOKUP($AF97,areaCercaPuntiClassificaSquadra,3,FALSE),-2)),SUMIFS(Dati!$D$2:$D$451,Dati!$A$2:$A$451,$H97,Dati!$H$2:$H$451,$AF97)+SUMIFS(Dati!$K$2:$K$451,Dati!$H$2:$H$451,$H97,Dati!$A$2:$A$451,$AF97)+SUMIFS(Dati!$C$2:$C$451,Dati!$A$2:$A$451,$H97,Dati!$H$2:$H$451,$AF97)+SUMIFS(Dati!$J$2:$J$451,Dati!$H$2:$H$451,$H97,Dati!$A$2:$A$451,$AF97),"-")</f>
        <v/>
      </c>
      <c r="BE97" s="22">
        <f>IF(AND($H97&lt;&gt;"",$AG97&lt;&gt;"",$H97&lt;&gt;$AG97,IFERROR(VLOOKUP($H97,areaCercaPuntiClassificaSquadra,3,FALSE),-1)=IFERROR(VLOOKUP($AG97,areaCercaPuntiClassificaSquadra,3,FALSE),-2)),SUMIFS(Dati!$D$2:$D$451,Dati!$A$2:$A$451,$H97,Dati!$H$2:$H$451,$AG97)+SUMIFS(Dati!$K$2:$K$451,Dati!$H$2:$H$451,$H97,Dati!$A$2:$A$451,$AG97)+SUMIFS(Dati!$C$2:$C$451,Dati!$A$2:$A$451,$H97,Dati!$H$2:$H$451,$AG97)+SUMIFS(Dati!$J$2:$J$451,Dati!$H$2:$H$451,$H97,Dati!$A$2:$A$451,$AG97),"-")</f>
        <v/>
      </c>
      <c r="BF97" s="22">
        <f>IF(AND($H97&lt;&gt;"",$AH97&lt;&gt;"",$H97&lt;&gt;$AH97,IFERROR(VLOOKUP($H97,areaCercaPuntiClassificaSquadra,3,FALSE),-1)=IFERROR(VLOOKUP($AH97,areaCercaPuntiClassificaSquadra,3,FALSE),-2)),SUMIFS(Dati!$D$2:$D$451,Dati!$A$2:$A$451,$H97,Dati!$H$2:$H$451,$AH97)+SUMIFS(Dati!$K$2:$K$451,Dati!$H$2:$H$451,$H97,Dati!$A$2:$A$451,$AH97)+SUMIFS(Dati!$C$2:$C$451,Dati!$A$2:$A$451,$H97,Dati!$H$2:$H$451,$AH97)+SUMIFS(Dati!$J$2:$J$451,Dati!$H$2:$H$451,$H97,Dati!$A$2:$A$451,$AH97),"-")</f>
        <v/>
      </c>
      <c r="BH97" s="21">
        <f>$C97</f>
        <v/>
      </c>
      <c r="BI97" s="22">
        <f>IF(AND($H97&lt;&gt;"",$Y97&lt;&gt;"",$H97&lt;&gt;$Y97,IFERROR(VLOOKUP($H97,areaCercaPuntiClassificaSquadra,3,FALSE),-1)=IFERROR(VLOOKUP($Y97,areaCercaPuntiClassificaSquadra,3,FALSE),-2)),SUMIFS(Dati!$E$2:$E$451,Dati!$A$2:$A$451,$H97,Dati!$H$2:$H$451,$Y97)+SUMIFS(Dati!$L$2:$L$451,Dati!$H$2:$H$451,$H97,Dati!$A$2:$A$451,$Y97),"-")</f>
        <v/>
      </c>
      <c r="BJ97" s="22">
        <f>IF(AND($H97&lt;&gt;"",$Z97&lt;&gt;"",$H97&lt;&gt;$Z97,IFERROR(VLOOKUP($H97,areaCercaPuntiClassificaSquadra,3,FALSE),-1)=IFERROR(VLOOKUP($Z97,areaCercaPuntiClassificaSquadra,3,FALSE),-2)),SUMIFS(Dati!$E$2:$E$451,Dati!$A$2:$A$451,$H97,Dati!$H$2:$H$451,$Z97)+SUMIFS(Dati!$L$2:$L$451,Dati!$H$2:$H$451,$H97,Dati!$A$2:$A$451,$Z97),"-")</f>
        <v/>
      </c>
      <c r="BK97" s="22">
        <f>IF(AND($H97&lt;&gt;"",$AA97&lt;&gt;"",$H97&lt;&gt;$AA97,IFERROR(VLOOKUP($H97,areaCercaPuntiClassificaSquadra,3,FALSE),-1)=IFERROR(VLOOKUP($AA97,areaCercaPuntiClassificaSquadra,3,FALSE),-2)),SUMIFS(Dati!$E$2:$E$451,Dati!$A$2:$A$451,$H97,Dati!$H$2:$H$451,$AA97)+SUMIFS(Dati!$L$2:$L$451,Dati!$H$2:$H$451,$H97,Dati!$A$2:$A$451,$AA97),"-")</f>
        <v/>
      </c>
      <c r="BL97" s="22">
        <f>IF(AND($H97&lt;&gt;"",$AB97&lt;&gt;"",$H97&lt;&gt;$AB97,IFERROR(VLOOKUP($H97,areaCercaPuntiClassificaSquadra,3,FALSE),-1)=IFERROR(VLOOKUP($AB97,areaCercaPuntiClassificaSquadra,3,FALSE),-2)),SUMIFS(Dati!$E$2:$E$451,Dati!$A$2:$A$451,$H97,Dati!$H$2:$H$451,$AB97)+SUMIFS(Dati!$L$2:$L$451,Dati!$H$2:$H$451,$H97,Dati!$A$2:$A$451,$AB97),"-")</f>
        <v/>
      </c>
      <c r="BM97" s="22">
        <f>IF(AND($H97&lt;&gt;"",$AC97&lt;&gt;"",$H97&lt;&gt;$AC97,IFERROR(VLOOKUP($H97,areaCercaPuntiClassificaSquadra,3,FALSE),-1)=IFERROR(VLOOKUP($AC97,areaCercaPuntiClassificaSquadra,3,FALSE),-2)),SUMIFS(Dati!$E$2:$E$451,Dati!$A$2:$A$451,$H97,Dati!$H$2:$H$451,$AC97)+SUMIFS(Dati!$L$2:$L$451,Dati!$H$2:$H$451,$H97,Dati!$A$2:$A$451,$AC97),"-")</f>
        <v/>
      </c>
      <c r="BN97" s="22">
        <f>IF(AND($H97&lt;&gt;"",$AD97&lt;&gt;"",$H97&lt;&gt;$AD97,IFERROR(VLOOKUP($H97,areaCercaPuntiClassificaSquadra,3,FALSE),-1)=IFERROR(VLOOKUP($AD97,areaCercaPuntiClassificaSquadra,3,FALSE),-2)),SUMIFS(Dati!$E$2:$E$451,Dati!$A$2:$A$451,$H97,Dati!$H$2:$H$451,$AD97)+SUMIFS(Dati!$L$2:$L$451,Dati!$H$2:$H$451,$H97,Dati!$A$2:$A$451,$AD97),"-")</f>
        <v/>
      </c>
      <c r="BO97" s="22">
        <f>IF(AND($H97&lt;&gt;"",$AE97&lt;&gt;"",$H97&lt;&gt;$AE97,IFERROR(VLOOKUP($H97,areaCercaPuntiClassificaSquadra,3,FALSE),-1)=IFERROR(VLOOKUP($AE97,areaCercaPuntiClassificaSquadra,3,FALSE),-2)),SUMIFS(Dati!$E$2:$E$451,Dati!$A$2:$A$451,$H97,Dati!$H$2:$H$451,$AE97)+SUMIFS(Dati!$L$2:$L$451,Dati!$H$2:$H$451,$H97,Dati!$A$2:$A$451,$AE97),"-")</f>
        <v/>
      </c>
      <c r="BP97" s="22">
        <f>IF(AND($H97&lt;&gt;"",$AF97&lt;&gt;"",$H97&lt;&gt;$AF97,IFERROR(VLOOKUP($H97,areaCercaPuntiClassificaSquadra,3,FALSE),-1)=IFERROR(VLOOKUP($AF97,areaCercaPuntiClassificaSquadra,3,FALSE),-2)),SUMIFS(Dati!$E$2:$E$451,Dati!$A$2:$A$451,$H97,Dati!$H$2:$H$451,$AF97)+SUMIFS(Dati!$L$2:$L$451,Dati!$H$2:$H$451,$H97,Dati!$A$2:$A$451,$AF97),"-")</f>
        <v/>
      </c>
      <c r="BQ97" s="22">
        <f>IF(AND($H97&lt;&gt;"",$AG97&lt;&gt;"",$H97&lt;&gt;$AG97,IFERROR(VLOOKUP($H97,areaCercaPuntiClassificaSquadra,3,FALSE),-1)=IFERROR(VLOOKUP($AG97,areaCercaPuntiClassificaSquadra,3,FALSE),-2)),SUMIFS(Dati!$E$2:$E$451,Dati!$A$2:$A$451,$H97,Dati!$H$2:$H$451,$AG97)+SUMIFS(Dati!$L$2:$L$451,Dati!$H$2:$H$451,$H97,Dati!$A$2:$A$451,$AG97),"-")</f>
        <v/>
      </c>
      <c r="BR97" s="22">
        <f>IF(AND($H97&lt;&gt;"",$AH97&lt;&gt;"",$H97&lt;&gt;$AH97,IFERROR(VLOOKUP($H97,areaCercaPuntiClassificaSquadra,3,FALSE),-1)=IFERROR(VLOOKUP($AH97,areaCercaPuntiClassificaSquadra,3,FALSE),-2)),SUMIFS(Dati!$E$2:$E$451,Dati!$A$2:$A$451,$H97,Dati!$H$2:$H$451,$AH97)+SUMIFS(Dati!$L$2:$L$451,Dati!$H$2:$H$451,$H97,Dati!$A$2:$A$451,$AH97),"-")</f>
        <v/>
      </c>
      <c r="BT97" s="21">
        <f>$C97</f>
        <v/>
      </c>
      <c r="BU97" s="22">
        <f>IF(AND($H97&lt;&gt;"",$Y97&lt;&gt;"",$H97&lt;&gt;$Y97,IFERROR(VLOOKUP($H97,areaCercaPuntiClassificaSquadra,3,FALSE),-1)=IFERROR(VLOOKUP($Y97,areaCercaPuntiClassificaSquadra,3,FALSE),-2)),SUMIFS(Dati!$F$2:$F$451,Dati!$A$2:$A$451,$H97,Dati!$H$2:$H$451,$Y97)+SUMIFS(Dati!$M$2:$M$451,Dati!$H$2:$H$451,$H97,Dati!$A$2:$A$451,$Y97),"-")</f>
        <v/>
      </c>
      <c r="BV97" s="22">
        <f>IF(AND($H97&lt;&gt;"",$Z97&lt;&gt;"",$H97&lt;&gt;$Z97,IFERROR(VLOOKUP($H97,areaCercaPuntiClassificaSquadra,3,FALSE),-1)=IFERROR(VLOOKUP($Z97,areaCercaPuntiClassificaSquadra,3,FALSE),-2)),SUMIFS(Dati!$F$2:$F$451,Dati!$A$2:$A$451,$H97,Dati!$H$2:$H$451,$Z97)+SUMIFS(Dati!$M$2:$M$451,Dati!$H$2:$H$451,$H97,Dati!$A$2:$A$451,$Z97),"-")</f>
        <v/>
      </c>
      <c r="BW97" s="22">
        <f>IF(AND($H97&lt;&gt;"",$AA97&lt;&gt;"",$H97&lt;&gt;$AA97,IFERROR(VLOOKUP($H97,areaCercaPuntiClassificaSquadra,3,FALSE),-1)=IFERROR(VLOOKUP($AA97,areaCercaPuntiClassificaSquadra,3,FALSE),-2)),SUMIFS(Dati!$F$2:$F$451,Dati!$A$2:$A$451,$H97,Dati!$H$2:$H$451,$AA97)+SUMIFS(Dati!$M$2:$M$451,Dati!$H$2:$H$451,$H97,Dati!$A$2:$A$451,$AA97),"-")</f>
        <v/>
      </c>
      <c r="BX97" s="22">
        <f>IF(AND($H97&lt;&gt;"",$AB97&lt;&gt;"",$H97&lt;&gt;$AB97,IFERROR(VLOOKUP($H97,areaCercaPuntiClassificaSquadra,3,FALSE),-1)=IFERROR(VLOOKUP($AB97,areaCercaPuntiClassificaSquadra,3,FALSE),-2)),SUMIFS(Dati!$F$2:$F$451,Dati!$A$2:$A$451,$H97,Dati!$H$2:$H$451,$AB97)+SUMIFS(Dati!$M$2:$M$451,Dati!$H$2:$H$451,$H97,Dati!$A$2:$A$451,$AB97),"-")</f>
        <v/>
      </c>
      <c r="BY97" s="22">
        <f>IF(AND($H97&lt;&gt;"",$AC97&lt;&gt;"",$H97&lt;&gt;$AC97,IFERROR(VLOOKUP($H97,areaCercaPuntiClassificaSquadra,3,FALSE),-1)=IFERROR(VLOOKUP($AC97,areaCercaPuntiClassificaSquadra,3,FALSE),-2)),SUMIFS(Dati!$F$2:$F$451,Dati!$A$2:$A$451,$H97,Dati!$H$2:$H$451,$AC97)+SUMIFS(Dati!$M$2:$M$451,Dati!$H$2:$H$451,$H97,Dati!$A$2:$A$451,$AC97),"-")</f>
        <v/>
      </c>
      <c r="BZ97" s="22">
        <f>IF(AND($H97&lt;&gt;"",$AD97&lt;&gt;"",$H97&lt;&gt;$AD97,IFERROR(VLOOKUP($H97,areaCercaPuntiClassificaSquadra,3,FALSE),-1)=IFERROR(VLOOKUP($AD97,areaCercaPuntiClassificaSquadra,3,FALSE),-2)),SUMIFS(Dati!$F$2:$F$451,Dati!$A$2:$A$451,$H97,Dati!$H$2:$H$451,$AD97)+SUMIFS(Dati!$M$2:$M$451,Dati!$H$2:$H$451,$H97,Dati!$A$2:$A$451,$AD97),"-")</f>
        <v/>
      </c>
      <c r="CA97" s="22">
        <f>IF(AND($H97&lt;&gt;"",$AE97&lt;&gt;"",$H97&lt;&gt;$AE97,IFERROR(VLOOKUP($H97,areaCercaPuntiClassificaSquadra,3,FALSE),-1)=IFERROR(VLOOKUP($AE97,areaCercaPuntiClassificaSquadra,3,FALSE),-2)),SUMIFS(Dati!$F$2:$F$451,Dati!$A$2:$A$451,$H97,Dati!$H$2:$H$451,$AE97)+SUMIFS(Dati!$M$2:$M$451,Dati!$H$2:$H$451,$H97,Dati!$A$2:$A$451,$AE97),"-")</f>
        <v/>
      </c>
      <c r="CB97" s="22">
        <f>IF(AND($H97&lt;&gt;"",$AF97&lt;&gt;"",$H97&lt;&gt;$AF97,IFERROR(VLOOKUP($H97,areaCercaPuntiClassificaSquadra,3,FALSE),-1)=IFERROR(VLOOKUP($AF97,areaCercaPuntiClassificaSquadra,3,FALSE),-2)),SUMIFS(Dati!$F$2:$F$451,Dati!$A$2:$A$451,$H97,Dati!$H$2:$H$451,$AF97)+SUMIFS(Dati!$M$2:$M$451,Dati!$H$2:$H$451,$H97,Dati!$A$2:$A$451,$AF97),"-")</f>
        <v/>
      </c>
      <c r="CC97" s="22">
        <f>IF(AND($H97&lt;&gt;"",$AG97&lt;&gt;"",$H97&lt;&gt;$AG97,IFERROR(VLOOKUP($H97,areaCercaPuntiClassificaSquadra,3,FALSE),-1)=IFERROR(VLOOKUP($AG97,areaCercaPuntiClassificaSquadra,3,FALSE),-2)),SUMIFS(Dati!$F$2:$F$451,Dati!$A$2:$A$451,$H97,Dati!$H$2:$H$451,$AG97)+SUMIFS(Dati!$M$2:$M$451,Dati!$H$2:$H$451,$H97,Dati!$A$2:$A$451,$AG97),"-")</f>
        <v/>
      </c>
      <c r="CD97" s="22">
        <f>IF(AND($H97&lt;&gt;"",$AH97&lt;&gt;"",$H97&lt;&gt;$AH97,IFERROR(VLOOKUP($H97,areaCercaPuntiClassificaSquadra,3,FALSE),-1)=IFERROR(VLOOKUP($AH97,areaCercaPuntiClassificaSquadra,3,FALSE),-2)),SUMIFS(Dati!$F$2:$F$451,Dati!$A$2:$A$451,$H97,Dati!$H$2:$H$451,$AH97)+SUMIFS(Dati!$M$2:$M$451,Dati!$H$2:$H$451,$H97,Dati!$A$2:$A$451,$AH97),"-")</f>
        <v/>
      </c>
      <c r="CF97" s="22">
        <f>IF($C97="","",SUM(AK97:AT97))</f>
        <v/>
      </c>
    </row>
    <row r="98">
      <c r="B98" s="12" t="inlineStr">
        <is>
          <t>I05</t>
        </is>
      </c>
      <c r="C98" s="13" t="n"/>
      <c r="D98" s="14" t="n"/>
      <c r="E98" s="37" t="inlineStr">
        <is>
          <t>I</t>
        </is>
      </c>
      <c r="G98" s="38">
        <f>IF($C98="","",$E98&amp;(COUNTIFS(I$14:I$113,"&gt;"&amp;I98,E$14:E$113,"="&amp;E98,C$14:C$113,"&lt;&gt;")+COUNTIFS(I$14:I$113,"="&amp;I98,H$14:H$113,"&lt;="&amp;H98,E$14:E$113,"="&amp;E98,C$14:C$113,"&lt;&gt;")))</f>
        <v/>
      </c>
      <c r="H98" s="17">
        <f>IF($C98="","",IFERROR(LEFT($C98,FIND("-",$C98)-1),$C98))</f>
        <v/>
      </c>
      <c r="I98" s="12">
        <f>TEXT(1000000000+J98,"|0000000000|")&amp;TEXT(SUM(AK98:AT98),"0000000000|")&amp;IF(SUM(BU98:CD98)=0,"0000000000|",TEXT(ROUND(SUM(BI98:BR98)/SUM(BU98:CD98),4)*100000,"0000000000|"))&amp;IF(P98=0,"0000000000|",TEXT(ROUND(O98/P98,4)*100000,"0000000000|"))</f>
        <v/>
      </c>
      <c r="J98" s="38">
        <f>L98*constPuntiVittoria+M98*constPuntiSconfitta+N98*constPuntiForfait+IF(D98="",0,D98)</f>
        <v/>
      </c>
      <c r="K98" s="12">
        <f>SUM(L98:N98)</f>
        <v/>
      </c>
      <c r="L98" s="12">
        <f>IF($H98="",0,SUMIF(Dati!$A$2:$A$451,$H98,Dati!$B$2:$B$451)+SUMIF(Dati!$H$2:$H$451,$H98,Dati!$I$2:$I$451))</f>
        <v/>
      </c>
      <c r="M98" s="12">
        <f>IF($H98="",0,SUMIF(Dati!$A$2:$A$451,$H98,Dati!$D$2:$D$451)+SUMIF(Dati!$H$2:$H$451,$H98,Dati!$K$2:$K$451))</f>
        <v/>
      </c>
      <c r="N98" s="12">
        <f>IF($H98="",0,SUMIF(Dati!$A$2:$A$451,$H98,Dati!$C$2:$C$451)+SUMIF(Dati!$H$2:$H$451,$H98,Dati!$J$2:$J$451))</f>
        <v/>
      </c>
      <c r="O98" s="12">
        <f>IF($H98="",0,SUMIF(Dati!$A$2:$A$451,$H98,Dati!$E$2:$E$451)+SUMIF(Dati!$H$2:$H$451,$H98,Dati!$L$2:$L$451))</f>
        <v/>
      </c>
      <c r="P98" s="12">
        <f>IF($H98="",0,SUMIF(Dati!$A$2:$A$451,$H98,Dati!$F$2:$F$451)+SUMIF(Dati!$H$2:$H$451,$H98,Dati!$M$2:$M$451))</f>
        <v/>
      </c>
      <c r="Q98" s="12">
        <f>IF($H98="",0,SUMIF(Dati!$A$2:$A$451,$H98,Dati!$G$2:$G$451)+SUMIF(Dati!$H$2:$H$451,$H98,Dati!$N$2:$N$451))</f>
        <v/>
      </c>
      <c r="R98" s="12">
        <f>IF(K98=0,0,ROUND(O98/K98,2))</f>
        <v/>
      </c>
      <c r="S98" s="12">
        <f>IF(K98=0,0,ROUND(P98/K98,2))</f>
        <v/>
      </c>
      <c r="T98" s="12">
        <f>IF(K98=0,0,ROUND(Q98/K98,2))</f>
        <v/>
      </c>
      <c r="U98" s="12">
        <f>IF(COUNTIFS($E$14:$E$113,$E98,$J$14:$J$113,$J98,$C$14:$C$113,"&lt;&gt;")&lt;=1,"-",SUM(AK98:AT98)&amp;"-"&amp;SUM(AW98:BF98))</f>
        <v/>
      </c>
      <c r="V98" s="18">
        <f>IF(COUNTIFS($E$14:$E$113,$E98,$J$14:$J$113,$J98,$C$14:$C$113,"&lt;&gt;",$CF$14:$CF$113,$CF98)&lt;=1,"-",IF(SUM(BU98:CD98)=0,0,ROUND(SUM(BI98:BR98)/SUM(BU98:CD98),3)))</f>
        <v/>
      </c>
      <c r="W98" s="18">
        <f>IF(COUNTIFS($E$14:$E$113,$E98,$J$14:$J$113,$J98,$C$14:$C$113,"&lt;&gt;",$CF$14:$CF$113,$CF98,$V$14:$V$113,$V98)&lt;=1,"-",IF(P98=0,0,ROUND(O98/P98,3)))</f>
        <v/>
      </c>
      <c r="X98" s="19">
        <f>IF($C98="","",$E98&amp;"#"&amp;COUNTIFS($E$14:$E98,$E98,$C$14:$C98,"&lt;&gt;"))</f>
        <v/>
      </c>
      <c r="Y98" s="20">
        <f>IFERROR(INDEX($H$14:$H$113,MATCH($E98&amp;"#1",$X$14:$X$113,0)),"")</f>
        <v/>
      </c>
      <c r="Z98" s="20">
        <f>IFERROR(INDEX($H$14:$H$113,MATCH($E98&amp;"#2",$X$14:$X$113,0)),"")</f>
        <v/>
      </c>
      <c r="AA98" s="20">
        <f>IFERROR(INDEX($H$14:$H$113,MATCH($E98&amp;"#3",$X$14:$X$113,0)),"")</f>
        <v/>
      </c>
      <c r="AB98" s="20">
        <f>IFERROR(INDEX($H$14:$H$113,MATCH($E98&amp;"#4",$X$14:$X$113,0)),"")</f>
        <v/>
      </c>
      <c r="AC98" s="20">
        <f>IFERROR(INDEX($H$14:$H$113,MATCH($E98&amp;"#5",$X$14:$X$113,0)),"")</f>
        <v/>
      </c>
      <c r="AD98" s="20">
        <f>IFERROR(INDEX($H$14:$H$113,MATCH($E98&amp;"#6",$X$14:$X$113,0)),"")</f>
        <v/>
      </c>
      <c r="AE98" s="20">
        <f>IFERROR(INDEX($H$14:$H$113,MATCH($E98&amp;"#7",$X$14:$X$113,0)),"")</f>
        <v/>
      </c>
      <c r="AF98" s="20">
        <f>IFERROR(INDEX($H$14:$H$113,MATCH($E98&amp;"#8",$X$14:$X$113,0)),"")</f>
        <v/>
      </c>
      <c r="AG98" s="20">
        <f>IFERROR(INDEX($H$14:$H$113,MATCH($E98&amp;"#9",$X$14:$X$113,0)),"")</f>
        <v/>
      </c>
      <c r="AH98" s="20">
        <f>IFERROR(INDEX($H$14:$H$113,MATCH($E98&amp;"#10",$X$14:$X$113,0)),"")</f>
        <v/>
      </c>
      <c r="AJ98" s="21">
        <f>$C98</f>
        <v/>
      </c>
      <c r="AK98" s="22">
        <f>IF(AND($H98&lt;&gt;"",$Y98&lt;&gt;"",$H98&lt;&gt;$Y98,IFERROR(VLOOKUP($H98,areaCercaPuntiClassificaSquadra,3,FALSE),-1)=IFERROR(VLOOKUP($Y98,areaCercaPuntiClassificaSquadra,3,FALSE),-2)),SUMIFS(Dati!$B$2:$B$451,Dati!$A$2:$A$451,$H98,Dati!$H$2:$H$451,$Y98)+SUMIFS(Dati!$I$2:$I$451,Dati!$H$2:$H$451,$H98,Dati!$A$2:$A$451,$Y98),"-")</f>
        <v/>
      </c>
      <c r="AL98" s="22">
        <f>IF(AND($H98&lt;&gt;"",$Z98&lt;&gt;"",$H98&lt;&gt;$Z98,IFERROR(VLOOKUP($H98,areaCercaPuntiClassificaSquadra,3,FALSE),-1)=IFERROR(VLOOKUP($Z98,areaCercaPuntiClassificaSquadra,3,FALSE),-2)),SUMIFS(Dati!$B$2:$B$451,Dati!$A$2:$A$451,$H98,Dati!$H$2:$H$451,$Z98)+SUMIFS(Dati!$I$2:$I$451,Dati!$H$2:$H$451,$H98,Dati!$A$2:$A$451,$Z98),"-")</f>
        <v/>
      </c>
      <c r="AM98" s="22">
        <f>IF(AND($H98&lt;&gt;"",$AA98&lt;&gt;"",$H98&lt;&gt;$AA98,IFERROR(VLOOKUP($H98,areaCercaPuntiClassificaSquadra,3,FALSE),-1)=IFERROR(VLOOKUP($AA98,areaCercaPuntiClassificaSquadra,3,FALSE),-2)),SUMIFS(Dati!$B$2:$B$451,Dati!$A$2:$A$451,$H98,Dati!$H$2:$H$451,$AA98)+SUMIFS(Dati!$I$2:$I$451,Dati!$H$2:$H$451,$H98,Dati!$A$2:$A$451,$AA98),"-")</f>
        <v/>
      </c>
      <c r="AN98" s="22">
        <f>IF(AND($H98&lt;&gt;"",$AB98&lt;&gt;"",$H98&lt;&gt;$AB98,IFERROR(VLOOKUP($H98,areaCercaPuntiClassificaSquadra,3,FALSE),-1)=IFERROR(VLOOKUP($AB98,areaCercaPuntiClassificaSquadra,3,FALSE),-2)),SUMIFS(Dati!$B$2:$B$451,Dati!$A$2:$A$451,$H98,Dati!$H$2:$H$451,$AB98)+SUMIFS(Dati!$I$2:$I$451,Dati!$H$2:$H$451,$H98,Dati!$A$2:$A$451,$AB98),"-")</f>
        <v/>
      </c>
      <c r="AO98" s="22">
        <f>IF(AND($H98&lt;&gt;"",$AC98&lt;&gt;"",$H98&lt;&gt;$AC98,IFERROR(VLOOKUP($H98,areaCercaPuntiClassificaSquadra,3,FALSE),-1)=IFERROR(VLOOKUP($AC98,areaCercaPuntiClassificaSquadra,3,FALSE),-2)),SUMIFS(Dati!$B$2:$B$451,Dati!$A$2:$A$451,$H98,Dati!$H$2:$H$451,$AC98)+SUMIFS(Dati!$I$2:$I$451,Dati!$H$2:$H$451,$H98,Dati!$A$2:$A$451,$AC98),"-")</f>
        <v/>
      </c>
      <c r="AP98" s="22">
        <f>IF(AND($H98&lt;&gt;"",$AD98&lt;&gt;"",$H98&lt;&gt;$AD98,IFERROR(VLOOKUP($H98,areaCercaPuntiClassificaSquadra,3,FALSE),-1)=IFERROR(VLOOKUP($AD98,areaCercaPuntiClassificaSquadra,3,FALSE),-2)),SUMIFS(Dati!$B$2:$B$451,Dati!$A$2:$A$451,$H98,Dati!$H$2:$H$451,$AD98)+SUMIFS(Dati!$I$2:$I$451,Dati!$H$2:$H$451,$H98,Dati!$A$2:$A$451,$AD98),"-")</f>
        <v/>
      </c>
      <c r="AQ98" s="22">
        <f>IF(AND($H98&lt;&gt;"",$AE98&lt;&gt;"",$H98&lt;&gt;$AE98,IFERROR(VLOOKUP($H98,areaCercaPuntiClassificaSquadra,3,FALSE),-1)=IFERROR(VLOOKUP($AE98,areaCercaPuntiClassificaSquadra,3,FALSE),-2)),SUMIFS(Dati!$B$2:$B$451,Dati!$A$2:$A$451,$H98,Dati!$H$2:$H$451,$AE98)+SUMIFS(Dati!$I$2:$I$451,Dati!$H$2:$H$451,$H98,Dati!$A$2:$A$451,$AE98),"-")</f>
        <v/>
      </c>
      <c r="AR98" s="22">
        <f>IF(AND($H98&lt;&gt;"",$AF98&lt;&gt;"",$H98&lt;&gt;$AF98,IFERROR(VLOOKUP($H98,areaCercaPuntiClassificaSquadra,3,FALSE),-1)=IFERROR(VLOOKUP($AF98,areaCercaPuntiClassificaSquadra,3,FALSE),-2)),SUMIFS(Dati!$B$2:$B$451,Dati!$A$2:$A$451,$H98,Dati!$H$2:$H$451,$AF98)+SUMIFS(Dati!$I$2:$I$451,Dati!$H$2:$H$451,$H98,Dati!$A$2:$A$451,$AF98),"-")</f>
        <v/>
      </c>
      <c r="AS98" s="22">
        <f>IF(AND($H98&lt;&gt;"",$AG98&lt;&gt;"",$H98&lt;&gt;$AG98,IFERROR(VLOOKUP($H98,areaCercaPuntiClassificaSquadra,3,FALSE),-1)=IFERROR(VLOOKUP($AG98,areaCercaPuntiClassificaSquadra,3,FALSE),-2)),SUMIFS(Dati!$B$2:$B$451,Dati!$A$2:$A$451,$H98,Dati!$H$2:$H$451,$AG98)+SUMIFS(Dati!$I$2:$I$451,Dati!$H$2:$H$451,$H98,Dati!$A$2:$A$451,$AG98),"-")</f>
        <v/>
      </c>
      <c r="AT98" s="22">
        <f>IF(AND($H98&lt;&gt;"",$AH98&lt;&gt;"",$H98&lt;&gt;$AH98,IFERROR(VLOOKUP($H98,areaCercaPuntiClassificaSquadra,3,FALSE),-1)=IFERROR(VLOOKUP($AH98,areaCercaPuntiClassificaSquadra,3,FALSE),-2)),SUMIFS(Dati!$B$2:$B$451,Dati!$A$2:$A$451,$H98,Dati!$H$2:$H$451,$AH98)+SUMIFS(Dati!$I$2:$I$451,Dati!$H$2:$H$451,$H98,Dati!$A$2:$A$451,$AH98),"-")</f>
        <v/>
      </c>
      <c r="AV98" s="21">
        <f>$C98</f>
        <v/>
      </c>
      <c r="AW98" s="22">
        <f>IF(AND($H98&lt;&gt;"",$Y98&lt;&gt;"",$H98&lt;&gt;$Y98,IFERROR(VLOOKUP($H98,areaCercaPuntiClassificaSquadra,3,FALSE),-1)=IFERROR(VLOOKUP($Y98,areaCercaPuntiClassificaSquadra,3,FALSE),-2)),SUMIFS(Dati!$D$2:$D$451,Dati!$A$2:$A$451,$H98,Dati!$H$2:$H$451,$Y98)+SUMIFS(Dati!$K$2:$K$451,Dati!$H$2:$H$451,$H98,Dati!$A$2:$A$451,$Y98)+SUMIFS(Dati!$C$2:$C$451,Dati!$A$2:$A$451,$H98,Dati!$H$2:$H$451,$Y98)+SUMIFS(Dati!$J$2:$J$451,Dati!$H$2:$H$451,$H98,Dati!$A$2:$A$451,$Y98),"-")</f>
        <v/>
      </c>
      <c r="AX98" s="22">
        <f>IF(AND($H98&lt;&gt;"",$Z98&lt;&gt;"",$H98&lt;&gt;$Z98,IFERROR(VLOOKUP($H98,areaCercaPuntiClassificaSquadra,3,FALSE),-1)=IFERROR(VLOOKUP($Z98,areaCercaPuntiClassificaSquadra,3,FALSE),-2)),SUMIFS(Dati!$D$2:$D$451,Dati!$A$2:$A$451,$H98,Dati!$H$2:$H$451,$Z98)+SUMIFS(Dati!$K$2:$K$451,Dati!$H$2:$H$451,$H98,Dati!$A$2:$A$451,$Z98)+SUMIFS(Dati!$C$2:$C$451,Dati!$A$2:$A$451,$H98,Dati!$H$2:$H$451,$Z98)+SUMIFS(Dati!$J$2:$J$451,Dati!$H$2:$H$451,$H98,Dati!$A$2:$A$451,$Z98),"-")</f>
        <v/>
      </c>
      <c r="AY98" s="22">
        <f>IF(AND($H98&lt;&gt;"",$AA98&lt;&gt;"",$H98&lt;&gt;$AA98,IFERROR(VLOOKUP($H98,areaCercaPuntiClassificaSquadra,3,FALSE),-1)=IFERROR(VLOOKUP($AA98,areaCercaPuntiClassificaSquadra,3,FALSE),-2)),SUMIFS(Dati!$D$2:$D$451,Dati!$A$2:$A$451,$H98,Dati!$H$2:$H$451,$AA98)+SUMIFS(Dati!$K$2:$K$451,Dati!$H$2:$H$451,$H98,Dati!$A$2:$A$451,$AA98)+SUMIFS(Dati!$C$2:$C$451,Dati!$A$2:$A$451,$H98,Dati!$H$2:$H$451,$AA98)+SUMIFS(Dati!$J$2:$J$451,Dati!$H$2:$H$451,$H98,Dati!$A$2:$A$451,$AA98),"-")</f>
        <v/>
      </c>
      <c r="AZ98" s="22">
        <f>IF(AND($H98&lt;&gt;"",$AB98&lt;&gt;"",$H98&lt;&gt;$AB98,IFERROR(VLOOKUP($H98,areaCercaPuntiClassificaSquadra,3,FALSE),-1)=IFERROR(VLOOKUP($AB98,areaCercaPuntiClassificaSquadra,3,FALSE),-2)),SUMIFS(Dati!$D$2:$D$451,Dati!$A$2:$A$451,$H98,Dati!$H$2:$H$451,$AB98)+SUMIFS(Dati!$K$2:$K$451,Dati!$H$2:$H$451,$H98,Dati!$A$2:$A$451,$AB98)+SUMIFS(Dati!$C$2:$C$451,Dati!$A$2:$A$451,$H98,Dati!$H$2:$H$451,$AB98)+SUMIFS(Dati!$J$2:$J$451,Dati!$H$2:$H$451,$H98,Dati!$A$2:$A$451,$AB98),"-")</f>
        <v/>
      </c>
      <c r="BA98" s="22">
        <f>IF(AND($H98&lt;&gt;"",$AC98&lt;&gt;"",$H98&lt;&gt;$AC98,IFERROR(VLOOKUP($H98,areaCercaPuntiClassificaSquadra,3,FALSE),-1)=IFERROR(VLOOKUP($AC98,areaCercaPuntiClassificaSquadra,3,FALSE),-2)),SUMIFS(Dati!$D$2:$D$451,Dati!$A$2:$A$451,$H98,Dati!$H$2:$H$451,$AC98)+SUMIFS(Dati!$K$2:$K$451,Dati!$H$2:$H$451,$H98,Dati!$A$2:$A$451,$AC98)+SUMIFS(Dati!$C$2:$C$451,Dati!$A$2:$A$451,$H98,Dati!$H$2:$H$451,$AC98)+SUMIFS(Dati!$J$2:$J$451,Dati!$H$2:$H$451,$H98,Dati!$A$2:$A$451,$AC98),"-")</f>
        <v/>
      </c>
      <c r="BB98" s="22">
        <f>IF(AND($H98&lt;&gt;"",$AD98&lt;&gt;"",$H98&lt;&gt;$AD98,IFERROR(VLOOKUP($H98,areaCercaPuntiClassificaSquadra,3,FALSE),-1)=IFERROR(VLOOKUP($AD98,areaCercaPuntiClassificaSquadra,3,FALSE),-2)),SUMIFS(Dati!$D$2:$D$451,Dati!$A$2:$A$451,$H98,Dati!$H$2:$H$451,$AD98)+SUMIFS(Dati!$K$2:$K$451,Dati!$H$2:$H$451,$H98,Dati!$A$2:$A$451,$AD98)+SUMIFS(Dati!$C$2:$C$451,Dati!$A$2:$A$451,$H98,Dati!$H$2:$H$451,$AD98)+SUMIFS(Dati!$J$2:$J$451,Dati!$H$2:$H$451,$H98,Dati!$A$2:$A$451,$AD98),"-")</f>
        <v/>
      </c>
      <c r="BC98" s="22">
        <f>IF(AND($H98&lt;&gt;"",$AE98&lt;&gt;"",$H98&lt;&gt;$AE98,IFERROR(VLOOKUP($H98,areaCercaPuntiClassificaSquadra,3,FALSE),-1)=IFERROR(VLOOKUP($AE98,areaCercaPuntiClassificaSquadra,3,FALSE),-2)),SUMIFS(Dati!$D$2:$D$451,Dati!$A$2:$A$451,$H98,Dati!$H$2:$H$451,$AE98)+SUMIFS(Dati!$K$2:$K$451,Dati!$H$2:$H$451,$H98,Dati!$A$2:$A$451,$AE98)+SUMIFS(Dati!$C$2:$C$451,Dati!$A$2:$A$451,$H98,Dati!$H$2:$H$451,$AE98)+SUMIFS(Dati!$J$2:$J$451,Dati!$H$2:$H$451,$H98,Dati!$A$2:$A$451,$AE98),"-")</f>
        <v/>
      </c>
      <c r="BD98" s="22">
        <f>IF(AND($H98&lt;&gt;"",$AF98&lt;&gt;"",$H98&lt;&gt;$AF98,IFERROR(VLOOKUP($H98,areaCercaPuntiClassificaSquadra,3,FALSE),-1)=IFERROR(VLOOKUP($AF98,areaCercaPuntiClassificaSquadra,3,FALSE),-2)),SUMIFS(Dati!$D$2:$D$451,Dati!$A$2:$A$451,$H98,Dati!$H$2:$H$451,$AF98)+SUMIFS(Dati!$K$2:$K$451,Dati!$H$2:$H$451,$H98,Dati!$A$2:$A$451,$AF98)+SUMIFS(Dati!$C$2:$C$451,Dati!$A$2:$A$451,$H98,Dati!$H$2:$H$451,$AF98)+SUMIFS(Dati!$J$2:$J$451,Dati!$H$2:$H$451,$H98,Dati!$A$2:$A$451,$AF98),"-")</f>
        <v/>
      </c>
      <c r="BE98" s="22">
        <f>IF(AND($H98&lt;&gt;"",$AG98&lt;&gt;"",$H98&lt;&gt;$AG98,IFERROR(VLOOKUP($H98,areaCercaPuntiClassificaSquadra,3,FALSE),-1)=IFERROR(VLOOKUP($AG98,areaCercaPuntiClassificaSquadra,3,FALSE),-2)),SUMIFS(Dati!$D$2:$D$451,Dati!$A$2:$A$451,$H98,Dati!$H$2:$H$451,$AG98)+SUMIFS(Dati!$K$2:$K$451,Dati!$H$2:$H$451,$H98,Dati!$A$2:$A$451,$AG98)+SUMIFS(Dati!$C$2:$C$451,Dati!$A$2:$A$451,$H98,Dati!$H$2:$H$451,$AG98)+SUMIFS(Dati!$J$2:$J$451,Dati!$H$2:$H$451,$H98,Dati!$A$2:$A$451,$AG98),"-")</f>
        <v/>
      </c>
      <c r="BF98" s="22">
        <f>IF(AND($H98&lt;&gt;"",$AH98&lt;&gt;"",$H98&lt;&gt;$AH98,IFERROR(VLOOKUP($H98,areaCercaPuntiClassificaSquadra,3,FALSE),-1)=IFERROR(VLOOKUP($AH98,areaCercaPuntiClassificaSquadra,3,FALSE),-2)),SUMIFS(Dati!$D$2:$D$451,Dati!$A$2:$A$451,$H98,Dati!$H$2:$H$451,$AH98)+SUMIFS(Dati!$K$2:$K$451,Dati!$H$2:$H$451,$H98,Dati!$A$2:$A$451,$AH98)+SUMIFS(Dati!$C$2:$C$451,Dati!$A$2:$A$451,$H98,Dati!$H$2:$H$451,$AH98)+SUMIFS(Dati!$J$2:$J$451,Dati!$H$2:$H$451,$H98,Dati!$A$2:$A$451,$AH98),"-")</f>
        <v/>
      </c>
      <c r="BH98" s="21">
        <f>$C98</f>
        <v/>
      </c>
      <c r="BI98" s="22">
        <f>IF(AND($H98&lt;&gt;"",$Y98&lt;&gt;"",$H98&lt;&gt;$Y98,IFERROR(VLOOKUP($H98,areaCercaPuntiClassificaSquadra,3,FALSE),-1)=IFERROR(VLOOKUP($Y98,areaCercaPuntiClassificaSquadra,3,FALSE),-2)),SUMIFS(Dati!$E$2:$E$451,Dati!$A$2:$A$451,$H98,Dati!$H$2:$H$451,$Y98)+SUMIFS(Dati!$L$2:$L$451,Dati!$H$2:$H$451,$H98,Dati!$A$2:$A$451,$Y98),"-")</f>
        <v/>
      </c>
      <c r="BJ98" s="22">
        <f>IF(AND($H98&lt;&gt;"",$Z98&lt;&gt;"",$H98&lt;&gt;$Z98,IFERROR(VLOOKUP($H98,areaCercaPuntiClassificaSquadra,3,FALSE),-1)=IFERROR(VLOOKUP($Z98,areaCercaPuntiClassificaSquadra,3,FALSE),-2)),SUMIFS(Dati!$E$2:$E$451,Dati!$A$2:$A$451,$H98,Dati!$H$2:$H$451,$Z98)+SUMIFS(Dati!$L$2:$L$451,Dati!$H$2:$H$451,$H98,Dati!$A$2:$A$451,$Z98),"-")</f>
        <v/>
      </c>
      <c r="BK98" s="22">
        <f>IF(AND($H98&lt;&gt;"",$AA98&lt;&gt;"",$H98&lt;&gt;$AA98,IFERROR(VLOOKUP($H98,areaCercaPuntiClassificaSquadra,3,FALSE),-1)=IFERROR(VLOOKUP($AA98,areaCercaPuntiClassificaSquadra,3,FALSE),-2)),SUMIFS(Dati!$E$2:$E$451,Dati!$A$2:$A$451,$H98,Dati!$H$2:$H$451,$AA98)+SUMIFS(Dati!$L$2:$L$451,Dati!$H$2:$H$451,$H98,Dati!$A$2:$A$451,$AA98),"-")</f>
        <v/>
      </c>
      <c r="BL98" s="22">
        <f>IF(AND($H98&lt;&gt;"",$AB98&lt;&gt;"",$H98&lt;&gt;$AB98,IFERROR(VLOOKUP($H98,areaCercaPuntiClassificaSquadra,3,FALSE),-1)=IFERROR(VLOOKUP($AB98,areaCercaPuntiClassificaSquadra,3,FALSE),-2)),SUMIFS(Dati!$E$2:$E$451,Dati!$A$2:$A$451,$H98,Dati!$H$2:$H$451,$AB98)+SUMIFS(Dati!$L$2:$L$451,Dati!$H$2:$H$451,$H98,Dati!$A$2:$A$451,$AB98),"-")</f>
        <v/>
      </c>
      <c r="BM98" s="22">
        <f>IF(AND($H98&lt;&gt;"",$AC98&lt;&gt;"",$H98&lt;&gt;$AC98,IFERROR(VLOOKUP($H98,areaCercaPuntiClassificaSquadra,3,FALSE),-1)=IFERROR(VLOOKUP($AC98,areaCercaPuntiClassificaSquadra,3,FALSE),-2)),SUMIFS(Dati!$E$2:$E$451,Dati!$A$2:$A$451,$H98,Dati!$H$2:$H$451,$AC98)+SUMIFS(Dati!$L$2:$L$451,Dati!$H$2:$H$451,$H98,Dati!$A$2:$A$451,$AC98),"-")</f>
        <v/>
      </c>
      <c r="BN98" s="22">
        <f>IF(AND($H98&lt;&gt;"",$AD98&lt;&gt;"",$H98&lt;&gt;$AD98,IFERROR(VLOOKUP($H98,areaCercaPuntiClassificaSquadra,3,FALSE),-1)=IFERROR(VLOOKUP($AD98,areaCercaPuntiClassificaSquadra,3,FALSE),-2)),SUMIFS(Dati!$E$2:$E$451,Dati!$A$2:$A$451,$H98,Dati!$H$2:$H$451,$AD98)+SUMIFS(Dati!$L$2:$L$451,Dati!$H$2:$H$451,$H98,Dati!$A$2:$A$451,$AD98),"-")</f>
        <v/>
      </c>
      <c r="BO98" s="22">
        <f>IF(AND($H98&lt;&gt;"",$AE98&lt;&gt;"",$H98&lt;&gt;$AE98,IFERROR(VLOOKUP($H98,areaCercaPuntiClassificaSquadra,3,FALSE),-1)=IFERROR(VLOOKUP($AE98,areaCercaPuntiClassificaSquadra,3,FALSE),-2)),SUMIFS(Dati!$E$2:$E$451,Dati!$A$2:$A$451,$H98,Dati!$H$2:$H$451,$AE98)+SUMIFS(Dati!$L$2:$L$451,Dati!$H$2:$H$451,$H98,Dati!$A$2:$A$451,$AE98),"-")</f>
        <v/>
      </c>
      <c r="BP98" s="22">
        <f>IF(AND($H98&lt;&gt;"",$AF98&lt;&gt;"",$H98&lt;&gt;$AF98,IFERROR(VLOOKUP($H98,areaCercaPuntiClassificaSquadra,3,FALSE),-1)=IFERROR(VLOOKUP($AF98,areaCercaPuntiClassificaSquadra,3,FALSE),-2)),SUMIFS(Dati!$E$2:$E$451,Dati!$A$2:$A$451,$H98,Dati!$H$2:$H$451,$AF98)+SUMIFS(Dati!$L$2:$L$451,Dati!$H$2:$H$451,$H98,Dati!$A$2:$A$451,$AF98),"-")</f>
        <v/>
      </c>
      <c r="BQ98" s="22">
        <f>IF(AND($H98&lt;&gt;"",$AG98&lt;&gt;"",$H98&lt;&gt;$AG98,IFERROR(VLOOKUP($H98,areaCercaPuntiClassificaSquadra,3,FALSE),-1)=IFERROR(VLOOKUP($AG98,areaCercaPuntiClassificaSquadra,3,FALSE),-2)),SUMIFS(Dati!$E$2:$E$451,Dati!$A$2:$A$451,$H98,Dati!$H$2:$H$451,$AG98)+SUMIFS(Dati!$L$2:$L$451,Dati!$H$2:$H$451,$H98,Dati!$A$2:$A$451,$AG98),"-")</f>
        <v/>
      </c>
      <c r="BR98" s="22">
        <f>IF(AND($H98&lt;&gt;"",$AH98&lt;&gt;"",$H98&lt;&gt;$AH98,IFERROR(VLOOKUP($H98,areaCercaPuntiClassificaSquadra,3,FALSE),-1)=IFERROR(VLOOKUP($AH98,areaCercaPuntiClassificaSquadra,3,FALSE),-2)),SUMIFS(Dati!$E$2:$E$451,Dati!$A$2:$A$451,$H98,Dati!$H$2:$H$451,$AH98)+SUMIFS(Dati!$L$2:$L$451,Dati!$H$2:$H$451,$H98,Dati!$A$2:$A$451,$AH98),"-")</f>
        <v/>
      </c>
      <c r="BT98" s="21">
        <f>$C98</f>
        <v/>
      </c>
      <c r="BU98" s="22">
        <f>IF(AND($H98&lt;&gt;"",$Y98&lt;&gt;"",$H98&lt;&gt;$Y98,IFERROR(VLOOKUP($H98,areaCercaPuntiClassificaSquadra,3,FALSE),-1)=IFERROR(VLOOKUP($Y98,areaCercaPuntiClassificaSquadra,3,FALSE),-2)),SUMIFS(Dati!$F$2:$F$451,Dati!$A$2:$A$451,$H98,Dati!$H$2:$H$451,$Y98)+SUMIFS(Dati!$M$2:$M$451,Dati!$H$2:$H$451,$H98,Dati!$A$2:$A$451,$Y98),"-")</f>
        <v/>
      </c>
      <c r="BV98" s="22">
        <f>IF(AND($H98&lt;&gt;"",$Z98&lt;&gt;"",$H98&lt;&gt;$Z98,IFERROR(VLOOKUP($H98,areaCercaPuntiClassificaSquadra,3,FALSE),-1)=IFERROR(VLOOKUP($Z98,areaCercaPuntiClassificaSquadra,3,FALSE),-2)),SUMIFS(Dati!$F$2:$F$451,Dati!$A$2:$A$451,$H98,Dati!$H$2:$H$451,$Z98)+SUMIFS(Dati!$M$2:$M$451,Dati!$H$2:$H$451,$H98,Dati!$A$2:$A$451,$Z98),"-")</f>
        <v/>
      </c>
      <c r="BW98" s="22">
        <f>IF(AND($H98&lt;&gt;"",$AA98&lt;&gt;"",$H98&lt;&gt;$AA98,IFERROR(VLOOKUP($H98,areaCercaPuntiClassificaSquadra,3,FALSE),-1)=IFERROR(VLOOKUP($AA98,areaCercaPuntiClassificaSquadra,3,FALSE),-2)),SUMIFS(Dati!$F$2:$F$451,Dati!$A$2:$A$451,$H98,Dati!$H$2:$H$451,$AA98)+SUMIFS(Dati!$M$2:$M$451,Dati!$H$2:$H$451,$H98,Dati!$A$2:$A$451,$AA98),"-")</f>
        <v/>
      </c>
      <c r="BX98" s="22">
        <f>IF(AND($H98&lt;&gt;"",$AB98&lt;&gt;"",$H98&lt;&gt;$AB98,IFERROR(VLOOKUP($H98,areaCercaPuntiClassificaSquadra,3,FALSE),-1)=IFERROR(VLOOKUP($AB98,areaCercaPuntiClassificaSquadra,3,FALSE),-2)),SUMIFS(Dati!$F$2:$F$451,Dati!$A$2:$A$451,$H98,Dati!$H$2:$H$451,$AB98)+SUMIFS(Dati!$M$2:$M$451,Dati!$H$2:$H$451,$H98,Dati!$A$2:$A$451,$AB98),"-")</f>
        <v/>
      </c>
      <c r="BY98" s="22">
        <f>IF(AND($H98&lt;&gt;"",$AC98&lt;&gt;"",$H98&lt;&gt;$AC98,IFERROR(VLOOKUP($H98,areaCercaPuntiClassificaSquadra,3,FALSE),-1)=IFERROR(VLOOKUP($AC98,areaCercaPuntiClassificaSquadra,3,FALSE),-2)),SUMIFS(Dati!$F$2:$F$451,Dati!$A$2:$A$451,$H98,Dati!$H$2:$H$451,$AC98)+SUMIFS(Dati!$M$2:$M$451,Dati!$H$2:$H$451,$H98,Dati!$A$2:$A$451,$AC98),"-")</f>
        <v/>
      </c>
      <c r="BZ98" s="22">
        <f>IF(AND($H98&lt;&gt;"",$AD98&lt;&gt;"",$H98&lt;&gt;$AD98,IFERROR(VLOOKUP($H98,areaCercaPuntiClassificaSquadra,3,FALSE),-1)=IFERROR(VLOOKUP($AD98,areaCercaPuntiClassificaSquadra,3,FALSE),-2)),SUMIFS(Dati!$F$2:$F$451,Dati!$A$2:$A$451,$H98,Dati!$H$2:$H$451,$AD98)+SUMIFS(Dati!$M$2:$M$451,Dati!$H$2:$H$451,$H98,Dati!$A$2:$A$451,$AD98),"-")</f>
        <v/>
      </c>
      <c r="CA98" s="22">
        <f>IF(AND($H98&lt;&gt;"",$AE98&lt;&gt;"",$H98&lt;&gt;$AE98,IFERROR(VLOOKUP($H98,areaCercaPuntiClassificaSquadra,3,FALSE),-1)=IFERROR(VLOOKUP($AE98,areaCercaPuntiClassificaSquadra,3,FALSE),-2)),SUMIFS(Dati!$F$2:$F$451,Dati!$A$2:$A$451,$H98,Dati!$H$2:$H$451,$AE98)+SUMIFS(Dati!$M$2:$M$451,Dati!$H$2:$H$451,$H98,Dati!$A$2:$A$451,$AE98),"-")</f>
        <v/>
      </c>
      <c r="CB98" s="22">
        <f>IF(AND($H98&lt;&gt;"",$AF98&lt;&gt;"",$H98&lt;&gt;$AF98,IFERROR(VLOOKUP($H98,areaCercaPuntiClassificaSquadra,3,FALSE),-1)=IFERROR(VLOOKUP($AF98,areaCercaPuntiClassificaSquadra,3,FALSE),-2)),SUMIFS(Dati!$F$2:$F$451,Dati!$A$2:$A$451,$H98,Dati!$H$2:$H$451,$AF98)+SUMIFS(Dati!$M$2:$M$451,Dati!$H$2:$H$451,$H98,Dati!$A$2:$A$451,$AF98),"-")</f>
        <v/>
      </c>
      <c r="CC98" s="22">
        <f>IF(AND($H98&lt;&gt;"",$AG98&lt;&gt;"",$H98&lt;&gt;$AG98,IFERROR(VLOOKUP($H98,areaCercaPuntiClassificaSquadra,3,FALSE),-1)=IFERROR(VLOOKUP($AG98,areaCercaPuntiClassificaSquadra,3,FALSE),-2)),SUMIFS(Dati!$F$2:$F$451,Dati!$A$2:$A$451,$H98,Dati!$H$2:$H$451,$AG98)+SUMIFS(Dati!$M$2:$M$451,Dati!$H$2:$H$451,$H98,Dati!$A$2:$A$451,$AG98),"-")</f>
        <v/>
      </c>
      <c r="CD98" s="22">
        <f>IF(AND($H98&lt;&gt;"",$AH98&lt;&gt;"",$H98&lt;&gt;$AH98,IFERROR(VLOOKUP($H98,areaCercaPuntiClassificaSquadra,3,FALSE),-1)=IFERROR(VLOOKUP($AH98,areaCercaPuntiClassificaSquadra,3,FALSE),-2)),SUMIFS(Dati!$F$2:$F$451,Dati!$A$2:$A$451,$H98,Dati!$H$2:$H$451,$AH98)+SUMIFS(Dati!$M$2:$M$451,Dati!$H$2:$H$451,$H98,Dati!$A$2:$A$451,$AH98),"-")</f>
        <v/>
      </c>
      <c r="CF98" s="22">
        <f>IF($C98="","",SUM(AK98:AT98))</f>
        <v/>
      </c>
    </row>
    <row r="99">
      <c r="B99" s="12" t="inlineStr">
        <is>
          <t>I06</t>
        </is>
      </c>
      <c r="C99" s="13" t="n"/>
      <c r="D99" s="14" t="n"/>
      <c r="E99" s="37" t="inlineStr">
        <is>
          <t>I</t>
        </is>
      </c>
      <c r="G99" s="38">
        <f>IF($C99="","",$E99&amp;(COUNTIFS(I$14:I$113,"&gt;"&amp;I99,E$14:E$113,"="&amp;E99,C$14:C$113,"&lt;&gt;")+COUNTIFS(I$14:I$113,"="&amp;I99,H$14:H$113,"&lt;="&amp;H99,E$14:E$113,"="&amp;E99,C$14:C$113,"&lt;&gt;")))</f>
        <v/>
      </c>
      <c r="H99" s="17">
        <f>IF($C99="","",IFERROR(LEFT($C99,FIND("-",$C99)-1),$C99))</f>
        <v/>
      </c>
      <c r="I99" s="12">
        <f>TEXT(1000000000+J99,"|0000000000|")&amp;TEXT(SUM(AK99:AT99),"0000000000|")&amp;IF(SUM(BU99:CD99)=0,"0000000000|",TEXT(ROUND(SUM(BI99:BR99)/SUM(BU99:CD99),4)*100000,"0000000000|"))&amp;IF(P99=0,"0000000000|",TEXT(ROUND(O99/P99,4)*100000,"0000000000|"))</f>
        <v/>
      </c>
      <c r="J99" s="38">
        <f>L99*constPuntiVittoria+M99*constPuntiSconfitta+N99*constPuntiForfait+IF(D99="",0,D99)</f>
        <v/>
      </c>
      <c r="K99" s="12">
        <f>SUM(L99:N99)</f>
        <v/>
      </c>
      <c r="L99" s="12">
        <f>IF($H99="",0,SUMIF(Dati!$A$2:$A$451,$H99,Dati!$B$2:$B$451)+SUMIF(Dati!$H$2:$H$451,$H99,Dati!$I$2:$I$451))</f>
        <v/>
      </c>
      <c r="M99" s="12">
        <f>IF($H99="",0,SUMIF(Dati!$A$2:$A$451,$H99,Dati!$D$2:$D$451)+SUMIF(Dati!$H$2:$H$451,$H99,Dati!$K$2:$K$451))</f>
        <v/>
      </c>
      <c r="N99" s="12">
        <f>IF($H99="",0,SUMIF(Dati!$A$2:$A$451,$H99,Dati!$C$2:$C$451)+SUMIF(Dati!$H$2:$H$451,$H99,Dati!$J$2:$J$451))</f>
        <v/>
      </c>
      <c r="O99" s="12">
        <f>IF($H99="",0,SUMIF(Dati!$A$2:$A$451,$H99,Dati!$E$2:$E$451)+SUMIF(Dati!$H$2:$H$451,$H99,Dati!$L$2:$L$451))</f>
        <v/>
      </c>
      <c r="P99" s="12">
        <f>IF($H99="",0,SUMIF(Dati!$A$2:$A$451,$H99,Dati!$F$2:$F$451)+SUMIF(Dati!$H$2:$H$451,$H99,Dati!$M$2:$M$451))</f>
        <v/>
      </c>
      <c r="Q99" s="12">
        <f>IF($H99="",0,SUMIF(Dati!$A$2:$A$451,$H99,Dati!$G$2:$G$451)+SUMIF(Dati!$H$2:$H$451,$H99,Dati!$N$2:$N$451))</f>
        <v/>
      </c>
      <c r="R99" s="12">
        <f>IF(K99=0,0,ROUND(O99/K99,2))</f>
        <v/>
      </c>
      <c r="S99" s="12">
        <f>IF(K99=0,0,ROUND(P99/K99,2))</f>
        <v/>
      </c>
      <c r="T99" s="12">
        <f>IF(K99=0,0,ROUND(Q99/K99,2))</f>
        <v/>
      </c>
      <c r="U99" s="12">
        <f>IF(COUNTIFS($E$14:$E$113,$E99,$J$14:$J$113,$J99,$C$14:$C$113,"&lt;&gt;")&lt;=1,"-",SUM(AK99:AT99)&amp;"-"&amp;SUM(AW99:BF99))</f>
        <v/>
      </c>
      <c r="V99" s="18">
        <f>IF(COUNTIFS($E$14:$E$113,$E99,$J$14:$J$113,$J99,$C$14:$C$113,"&lt;&gt;",$CF$14:$CF$113,$CF99)&lt;=1,"-",IF(SUM(BU99:CD99)=0,0,ROUND(SUM(BI99:BR99)/SUM(BU99:CD99),3)))</f>
        <v/>
      </c>
      <c r="W99" s="18">
        <f>IF(COUNTIFS($E$14:$E$113,$E99,$J$14:$J$113,$J99,$C$14:$C$113,"&lt;&gt;",$CF$14:$CF$113,$CF99,$V$14:$V$113,$V99)&lt;=1,"-",IF(P99=0,0,ROUND(O99/P99,3)))</f>
        <v/>
      </c>
      <c r="X99" s="19">
        <f>IF($C99="","",$E99&amp;"#"&amp;COUNTIFS($E$14:$E99,$E99,$C$14:$C99,"&lt;&gt;"))</f>
        <v/>
      </c>
      <c r="Y99" s="20">
        <f>IFERROR(INDEX($H$14:$H$113,MATCH($E99&amp;"#1",$X$14:$X$113,0)),"")</f>
        <v/>
      </c>
      <c r="Z99" s="20">
        <f>IFERROR(INDEX($H$14:$H$113,MATCH($E99&amp;"#2",$X$14:$X$113,0)),"")</f>
        <v/>
      </c>
      <c r="AA99" s="20">
        <f>IFERROR(INDEX($H$14:$H$113,MATCH($E99&amp;"#3",$X$14:$X$113,0)),"")</f>
        <v/>
      </c>
      <c r="AB99" s="20">
        <f>IFERROR(INDEX($H$14:$H$113,MATCH($E99&amp;"#4",$X$14:$X$113,0)),"")</f>
        <v/>
      </c>
      <c r="AC99" s="20">
        <f>IFERROR(INDEX($H$14:$H$113,MATCH($E99&amp;"#5",$X$14:$X$113,0)),"")</f>
        <v/>
      </c>
      <c r="AD99" s="20">
        <f>IFERROR(INDEX($H$14:$H$113,MATCH($E99&amp;"#6",$X$14:$X$113,0)),"")</f>
        <v/>
      </c>
      <c r="AE99" s="20">
        <f>IFERROR(INDEX($H$14:$H$113,MATCH($E99&amp;"#7",$X$14:$X$113,0)),"")</f>
        <v/>
      </c>
      <c r="AF99" s="20">
        <f>IFERROR(INDEX($H$14:$H$113,MATCH($E99&amp;"#8",$X$14:$X$113,0)),"")</f>
        <v/>
      </c>
      <c r="AG99" s="20">
        <f>IFERROR(INDEX($H$14:$H$113,MATCH($E99&amp;"#9",$X$14:$X$113,0)),"")</f>
        <v/>
      </c>
      <c r="AH99" s="20">
        <f>IFERROR(INDEX($H$14:$H$113,MATCH($E99&amp;"#10",$X$14:$X$113,0)),"")</f>
        <v/>
      </c>
      <c r="AJ99" s="21">
        <f>$C99</f>
        <v/>
      </c>
      <c r="AK99" s="22">
        <f>IF(AND($H99&lt;&gt;"",$Y99&lt;&gt;"",$H99&lt;&gt;$Y99,IFERROR(VLOOKUP($H99,areaCercaPuntiClassificaSquadra,3,FALSE),-1)=IFERROR(VLOOKUP($Y99,areaCercaPuntiClassificaSquadra,3,FALSE),-2)),SUMIFS(Dati!$B$2:$B$451,Dati!$A$2:$A$451,$H99,Dati!$H$2:$H$451,$Y99)+SUMIFS(Dati!$I$2:$I$451,Dati!$H$2:$H$451,$H99,Dati!$A$2:$A$451,$Y99),"-")</f>
        <v/>
      </c>
      <c r="AL99" s="22">
        <f>IF(AND($H99&lt;&gt;"",$Z99&lt;&gt;"",$H99&lt;&gt;$Z99,IFERROR(VLOOKUP($H99,areaCercaPuntiClassificaSquadra,3,FALSE),-1)=IFERROR(VLOOKUP($Z99,areaCercaPuntiClassificaSquadra,3,FALSE),-2)),SUMIFS(Dati!$B$2:$B$451,Dati!$A$2:$A$451,$H99,Dati!$H$2:$H$451,$Z99)+SUMIFS(Dati!$I$2:$I$451,Dati!$H$2:$H$451,$H99,Dati!$A$2:$A$451,$Z99),"-")</f>
        <v/>
      </c>
      <c r="AM99" s="22">
        <f>IF(AND($H99&lt;&gt;"",$AA99&lt;&gt;"",$H99&lt;&gt;$AA99,IFERROR(VLOOKUP($H99,areaCercaPuntiClassificaSquadra,3,FALSE),-1)=IFERROR(VLOOKUP($AA99,areaCercaPuntiClassificaSquadra,3,FALSE),-2)),SUMIFS(Dati!$B$2:$B$451,Dati!$A$2:$A$451,$H99,Dati!$H$2:$H$451,$AA99)+SUMIFS(Dati!$I$2:$I$451,Dati!$H$2:$H$451,$H99,Dati!$A$2:$A$451,$AA99),"-")</f>
        <v/>
      </c>
      <c r="AN99" s="22">
        <f>IF(AND($H99&lt;&gt;"",$AB99&lt;&gt;"",$H99&lt;&gt;$AB99,IFERROR(VLOOKUP($H99,areaCercaPuntiClassificaSquadra,3,FALSE),-1)=IFERROR(VLOOKUP($AB99,areaCercaPuntiClassificaSquadra,3,FALSE),-2)),SUMIFS(Dati!$B$2:$B$451,Dati!$A$2:$A$451,$H99,Dati!$H$2:$H$451,$AB99)+SUMIFS(Dati!$I$2:$I$451,Dati!$H$2:$H$451,$H99,Dati!$A$2:$A$451,$AB99),"-")</f>
        <v/>
      </c>
      <c r="AO99" s="22">
        <f>IF(AND($H99&lt;&gt;"",$AC99&lt;&gt;"",$H99&lt;&gt;$AC99,IFERROR(VLOOKUP($H99,areaCercaPuntiClassificaSquadra,3,FALSE),-1)=IFERROR(VLOOKUP($AC99,areaCercaPuntiClassificaSquadra,3,FALSE),-2)),SUMIFS(Dati!$B$2:$B$451,Dati!$A$2:$A$451,$H99,Dati!$H$2:$H$451,$AC99)+SUMIFS(Dati!$I$2:$I$451,Dati!$H$2:$H$451,$H99,Dati!$A$2:$A$451,$AC99),"-")</f>
        <v/>
      </c>
      <c r="AP99" s="22">
        <f>IF(AND($H99&lt;&gt;"",$AD99&lt;&gt;"",$H99&lt;&gt;$AD99,IFERROR(VLOOKUP($H99,areaCercaPuntiClassificaSquadra,3,FALSE),-1)=IFERROR(VLOOKUP($AD99,areaCercaPuntiClassificaSquadra,3,FALSE),-2)),SUMIFS(Dati!$B$2:$B$451,Dati!$A$2:$A$451,$H99,Dati!$H$2:$H$451,$AD99)+SUMIFS(Dati!$I$2:$I$451,Dati!$H$2:$H$451,$H99,Dati!$A$2:$A$451,$AD99),"-")</f>
        <v/>
      </c>
      <c r="AQ99" s="22">
        <f>IF(AND($H99&lt;&gt;"",$AE99&lt;&gt;"",$H99&lt;&gt;$AE99,IFERROR(VLOOKUP($H99,areaCercaPuntiClassificaSquadra,3,FALSE),-1)=IFERROR(VLOOKUP($AE99,areaCercaPuntiClassificaSquadra,3,FALSE),-2)),SUMIFS(Dati!$B$2:$B$451,Dati!$A$2:$A$451,$H99,Dati!$H$2:$H$451,$AE99)+SUMIFS(Dati!$I$2:$I$451,Dati!$H$2:$H$451,$H99,Dati!$A$2:$A$451,$AE99),"-")</f>
        <v/>
      </c>
      <c r="AR99" s="22">
        <f>IF(AND($H99&lt;&gt;"",$AF99&lt;&gt;"",$H99&lt;&gt;$AF99,IFERROR(VLOOKUP($H99,areaCercaPuntiClassificaSquadra,3,FALSE),-1)=IFERROR(VLOOKUP($AF99,areaCercaPuntiClassificaSquadra,3,FALSE),-2)),SUMIFS(Dati!$B$2:$B$451,Dati!$A$2:$A$451,$H99,Dati!$H$2:$H$451,$AF99)+SUMIFS(Dati!$I$2:$I$451,Dati!$H$2:$H$451,$H99,Dati!$A$2:$A$451,$AF99),"-")</f>
        <v/>
      </c>
      <c r="AS99" s="22">
        <f>IF(AND($H99&lt;&gt;"",$AG99&lt;&gt;"",$H99&lt;&gt;$AG99,IFERROR(VLOOKUP($H99,areaCercaPuntiClassificaSquadra,3,FALSE),-1)=IFERROR(VLOOKUP($AG99,areaCercaPuntiClassificaSquadra,3,FALSE),-2)),SUMIFS(Dati!$B$2:$B$451,Dati!$A$2:$A$451,$H99,Dati!$H$2:$H$451,$AG99)+SUMIFS(Dati!$I$2:$I$451,Dati!$H$2:$H$451,$H99,Dati!$A$2:$A$451,$AG99),"-")</f>
        <v/>
      </c>
      <c r="AT99" s="22">
        <f>IF(AND($H99&lt;&gt;"",$AH99&lt;&gt;"",$H99&lt;&gt;$AH99,IFERROR(VLOOKUP($H99,areaCercaPuntiClassificaSquadra,3,FALSE),-1)=IFERROR(VLOOKUP($AH99,areaCercaPuntiClassificaSquadra,3,FALSE),-2)),SUMIFS(Dati!$B$2:$B$451,Dati!$A$2:$A$451,$H99,Dati!$H$2:$H$451,$AH99)+SUMIFS(Dati!$I$2:$I$451,Dati!$H$2:$H$451,$H99,Dati!$A$2:$A$451,$AH99),"-")</f>
        <v/>
      </c>
      <c r="AV99" s="21">
        <f>$C99</f>
        <v/>
      </c>
      <c r="AW99" s="22">
        <f>IF(AND($H99&lt;&gt;"",$Y99&lt;&gt;"",$H99&lt;&gt;$Y99,IFERROR(VLOOKUP($H99,areaCercaPuntiClassificaSquadra,3,FALSE),-1)=IFERROR(VLOOKUP($Y99,areaCercaPuntiClassificaSquadra,3,FALSE),-2)),SUMIFS(Dati!$D$2:$D$451,Dati!$A$2:$A$451,$H99,Dati!$H$2:$H$451,$Y99)+SUMIFS(Dati!$K$2:$K$451,Dati!$H$2:$H$451,$H99,Dati!$A$2:$A$451,$Y99)+SUMIFS(Dati!$C$2:$C$451,Dati!$A$2:$A$451,$H99,Dati!$H$2:$H$451,$Y99)+SUMIFS(Dati!$J$2:$J$451,Dati!$H$2:$H$451,$H99,Dati!$A$2:$A$451,$Y99),"-")</f>
        <v/>
      </c>
      <c r="AX99" s="22">
        <f>IF(AND($H99&lt;&gt;"",$Z99&lt;&gt;"",$H99&lt;&gt;$Z99,IFERROR(VLOOKUP($H99,areaCercaPuntiClassificaSquadra,3,FALSE),-1)=IFERROR(VLOOKUP($Z99,areaCercaPuntiClassificaSquadra,3,FALSE),-2)),SUMIFS(Dati!$D$2:$D$451,Dati!$A$2:$A$451,$H99,Dati!$H$2:$H$451,$Z99)+SUMIFS(Dati!$K$2:$K$451,Dati!$H$2:$H$451,$H99,Dati!$A$2:$A$451,$Z99)+SUMIFS(Dati!$C$2:$C$451,Dati!$A$2:$A$451,$H99,Dati!$H$2:$H$451,$Z99)+SUMIFS(Dati!$J$2:$J$451,Dati!$H$2:$H$451,$H99,Dati!$A$2:$A$451,$Z99),"-")</f>
        <v/>
      </c>
      <c r="AY99" s="22">
        <f>IF(AND($H99&lt;&gt;"",$AA99&lt;&gt;"",$H99&lt;&gt;$AA99,IFERROR(VLOOKUP($H99,areaCercaPuntiClassificaSquadra,3,FALSE),-1)=IFERROR(VLOOKUP($AA99,areaCercaPuntiClassificaSquadra,3,FALSE),-2)),SUMIFS(Dati!$D$2:$D$451,Dati!$A$2:$A$451,$H99,Dati!$H$2:$H$451,$AA99)+SUMIFS(Dati!$K$2:$K$451,Dati!$H$2:$H$451,$H99,Dati!$A$2:$A$451,$AA99)+SUMIFS(Dati!$C$2:$C$451,Dati!$A$2:$A$451,$H99,Dati!$H$2:$H$451,$AA99)+SUMIFS(Dati!$J$2:$J$451,Dati!$H$2:$H$451,$H99,Dati!$A$2:$A$451,$AA99),"-")</f>
        <v/>
      </c>
      <c r="AZ99" s="22">
        <f>IF(AND($H99&lt;&gt;"",$AB99&lt;&gt;"",$H99&lt;&gt;$AB99,IFERROR(VLOOKUP($H99,areaCercaPuntiClassificaSquadra,3,FALSE),-1)=IFERROR(VLOOKUP($AB99,areaCercaPuntiClassificaSquadra,3,FALSE),-2)),SUMIFS(Dati!$D$2:$D$451,Dati!$A$2:$A$451,$H99,Dati!$H$2:$H$451,$AB99)+SUMIFS(Dati!$K$2:$K$451,Dati!$H$2:$H$451,$H99,Dati!$A$2:$A$451,$AB99)+SUMIFS(Dati!$C$2:$C$451,Dati!$A$2:$A$451,$H99,Dati!$H$2:$H$451,$AB99)+SUMIFS(Dati!$J$2:$J$451,Dati!$H$2:$H$451,$H99,Dati!$A$2:$A$451,$AB99),"-")</f>
        <v/>
      </c>
      <c r="BA99" s="22">
        <f>IF(AND($H99&lt;&gt;"",$AC99&lt;&gt;"",$H99&lt;&gt;$AC99,IFERROR(VLOOKUP($H99,areaCercaPuntiClassificaSquadra,3,FALSE),-1)=IFERROR(VLOOKUP($AC99,areaCercaPuntiClassificaSquadra,3,FALSE),-2)),SUMIFS(Dati!$D$2:$D$451,Dati!$A$2:$A$451,$H99,Dati!$H$2:$H$451,$AC99)+SUMIFS(Dati!$K$2:$K$451,Dati!$H$2:$H$451,$H99,Dati!$A$2:$A$451,$AC99)+SUMIFS(Dati!$C$2:$C$451,Dati!$A$2:$A$451,$H99,Dati!$H$2:$H$451,$AC99)+SUMIFS(Dati!$J$2:$J$451,Dati!$H$2:$H$451,$H99,Dati!$A$2:$A$451,$AC99),"-")</f>
        <v/>
      </c>
      <c r="BB99" s="22">
        <f>IF(AND($H99&lt;&gt;"",$AD99&lt;&gt;"",$H99&lt;&gt;$AD99,IFERROR(VLOOKUP($H99,areaCercaPuntiClassificaSquadra,3,FALSE),-1)=IFERROR(VLOOKUP($AD99,areaCercaPuntiClassificaSquadra,3,FALSE),-2)),SUMIFS(Dati!$D$2:$D$451,Dati!$A$2:$A$451,$H99,Dati!$H$2:$H$451,$AD99)+SUMIFS(Dati!$K$2:$K$451,Dati!$H$2:$H$451,$H99,Dati!$A$2:$A$451,$AD99)+SUMIFS(Dati!$C$2:$C$451,Dati!$A$2:$A$451,$H99,Dati!$H$2:$H$451,$AD99)+SUMIFS(Dati!$J$2:$J$451,Dati!$H$2:$H$451,$H99,Dati!$A$2:$A$451,$AD99),"-")</f>
        <v/>
      </c>
      <c r="BC99" s="22">
        <f>IF(AND($H99&lt;&gt;"",$AE99&lt;&gt;"",$H99&lt;&gt;$AE99,IFERROR(VLOOKUP($H99,areaCercaPuntiClassificaSquadra,3,FALSE),-1)=IFERROR(VLOOKUP($AE99,areaCercaPuntiClassificaSquadra,3,FALSE),-2)),SUMIFS(Dati!$D$2:$D$451,Dati!$A$2:$A$451,$H99,Dati!$H$2:$H$451,$AE99)+SUMIFS(Dati!$K$2:$K$451,Dati!$H$2:$H$451,$H99,Dati!$A$2:$A$451,$AE99)+SUMIFS(Dati!$C$2:$C$451,Dati!$A$2:$A$451,$H99,Dati!$H$2:$H$451,$AE99)+SUMIFS(Dati!$J$2:$J$451,Dati!$H$2:$H$451,$H99,Dati!$A$2:$A$451,$AE99),"-")</f>
        <v/>
      </c>
      <c r="BD99" s="22">
        <f>IF(AND($H99&lt;&gt;"",$AF99&lt;&gt;"",$H99&lt;&gt;$AF99,IFERROR(VLOOKUP($H99,areaCercaPuntiClassificaSquadra,3,FALSE),-1)=IFERROR(VLOOKUP($AF99,areaCercaPuntiClassificaSquadra,3,FALSE),-2)),SUMIFS(Dati!$D$2:$D$451,Dati!$A$2:$A$451,$H99,Dati!$H$2:$H$451,$AF99)+SUMIFS(Dati!$K$2:$K$451,Dati!$H$2:$H$451,$H99,Dati!$A$2:$A$451,$AF99)+SUMIFS(Dati!$C$2:$C$451,Dati!$A$2:$A$451,$H99,Dati!$H$2:$H$451,$AF99)+SUMIFS(Dati!$J$2:$J$451,Dati!$H$2:$H$451,$H99,Dati!$A$2:$A$451,$AF99),"-")</f>
        <v/>
      </c>
      <c r="BE99" s="22">
        <f>IF(AND($H99&lt;&gt;"",$AG99&lt;&gt;"",$H99&lt;&gt;$AG99,IFERROR(VLOOKUP($H99,areaCercaPuntiClassificaSquadra,3,FALSE),-1)=IFERROR(VLOOKUP($AG99,areaCercaPuntiClassificaSquadra,3,FALSE),-2)),SUMIFS(Dati!$D$2:$D$451,Dati!$A$2:$A$451,$H99,Dati!$H$2:$H$451,$AG99)+SUMIFS(Dati!$K$2:$K$451,Dati!$H$2:$H$451,$H99,Dati!$A$2:$A$451,$AG99)+SUMIFS(Dati!$C$2:$C$451,Dati!$A$2:$A$451,$H99,Dati!$H$2:$H$451,$AG99)+SUMIFS(Dati!$J$2:$J$451,Dati!$H$2:$H$451,$H99,Dati!$A$2:$A$451,$AG99),"-")</f>
        <v/>
      </c>
      <c r="BF99" s="22">
        <f>IF(AND($H99&lt;&gt;"",$AH99&lt;&gt;"",$H99&lt;&gt;$AH99,IFERROR(VLOOKUP($H99,areaCercaPuntiClassificaSquadra,3,FALSE),-1)=IFERROR(VLOOKUP($AH99,areaCercaPuntiClassificaSquadra,3,FALSE),-2)),SUMIFS(Dati!$D$2:$D$451,Dati!$A$2:$A$451,$H99,Dati!$H$2:$H$451,$AH99)+SUMIFS(Dati!$K$2:$K$451,Dati!$H$2:$H$451,$H99,Dati!$A$2:$A$451,$AH99)+SUMIFS(Dati!$C$2:$C$451,Dati!$A$2:$A$451,$H99,Dati!$H$2:$H$451,$AH99)+SUMIFS(Dati!$J$2:$J$451,Dati!$H$2:$H$451,$H99,Dati!$A$2:$A$451,$AH99),"-")</f>
        <v/>
      </c>
      <c r="BH99" s="21">
        <f>$C99</f>
        <v/>
      </c>
      <c r="BI99" s="22">
        <f>IF(AND($H99&lt;&gt;"",$Y99&lt;&gt;"",$H99&lt;&gt;$Y99,IFERROR(VLOOKUP($H99,areaCercaPuntiClassificaSquadra,3,FALSE),-1)=IFERROR(VLOOKUP($Y99,areaCercaPuntiClassificaSquadra,3,FALSE),-2)),SUMIFS(Dati!$E$2:$E$451,Dati!$A$2:$A$451,$H99,Dati!$H$2:$H$451,$Y99)+SUMIFS(Dati!$L$2:$L$451,Dati!$H$2:$H$451,$H99,Dati!$A$2:$A$451,$Y99),"-")</f>
        <v/>
      </c>
      <c r="BJ99" s="22">
        <f>IF(AND($H99&lt;&gt;"",$Z99&lt;&gt;"",$H99&lt;&gt;$Z99,IFERROR(VLOOKUP($H99,areaCercaPuntiClassificaSquadra,3,FALSE),-1)=IFERROR(VLOOKUP($Z99,areaCercaPuntiClassificaSquadra,3,FALSE),-2)),SUMIFS(Dati!$E$2:$E$451,Dati!$A$2:$A$451,$H99,Dati!$H$2:$H$451,$Z99)+SUMIFS(Dati!$L$2:$L$451,Dati!$H$2:$H$451,$H99,Dati!$A$2:$A$451,$Z99),"-")</f>
        <v/>
      </c>
      <c r="BK99" s="22">
        <f>IF(AND($H99&lt;&gt;"",$AA99&lt;&gt;"",$H99&lt;&gt;$AA99,IFERROR(VLOOKUP($H99,areaCercaPuntiClassificaSquadra,3,FALSE),-1)=IFERROR(VLOOKUP($AA99,areaCercaPuntiClassificaSquadra,3,FALSE),-2)),SUMIFS(Dati!$E$2:$E$451,Dati!$A$2:$A$451,$H99,Dati!$H$2:$H$451,$AA99)+SUMIFS(Dati!$L$2:$L$451,Dati!$H$2:$H$451,$H99,Dati!$A$2:$A$451,$AA99),"-")</f>
        <v/>
      </c>
      <c r="BL99" s="22">
        <f>IF(AND($H99&lt;&gt;"",$AB99&lt;&gt;"",$H99&lt;&gt;$AB99,IFERROR(VLOOKUP($H99,areaCercaPuntiClassificaSquadra,3,FALSE),-1)=IFERROR(VLOOKUP($AB99,areaCercaPuntiClassificaSquadra,3,FALSE),-2)),SUMIFS(Dati!$E$2:$E$451,Dati!$A$2:$A$451,$H99,Dati!$H$2:$H$451,$AB99)+SUMIFS(Dati!$L$2:$L$451,Dati!$H$2:$H$451,$H99,Dati!$A$2:$A$451,$AB99),"-")</f>
        <v/>
      </c>
      <c r="BM99" s="22">
        <f>IF(AND($H99&lt;&gt;"",$AC99&lt;&gt;"",$H99&lt;&gt;$AC99,IFERROR(VLOOKUP($H99,areaCercaPuntiClassificaSquadra,3,FALSE),-1)=IFERROR(VLOOKUP($AC99,areaCercaPuntiClassificaSquadra,3,FALSE),-2)),SUMIFS(Dati!$E$2:$E$451,Dati!$A$2:$A$451,$H99,Dati!$H$2:$H$451,$AC99)+SUMIFS(Dati!$L$2:$L$451,Dati!$H$2:$H$451,$H99,Dati!$A$2:$A$451,$AC99),"-")</f>
        <v/>
      </c>
      <c r="BN99" s="22">
        <f>IF(AND($H99&lt;&gt;"",$AD99&lt;&gt;"",$H99&lt;&gt;$AD99,IFERROR(VLOOKUP($H99,areaCercaPuntiClassificaSquadra,3,FALSE),-1)=IFERROR(VLOOKUP($AD99,areaCercaPuntiClassificaSquadra,3,FALSE),-2)),SUMIFS(Dati!$E$2:$E$451,Dati!$A$2:$A$451,$H99,Dati!$H$2:$H$451,$AD99)+SUMIFS(Dati!$L$2:$L$451,Dati!$H$2:$H$451,$H99,Dati!$A$2:$A$451,$AD99),"-")</f>
        <v/>
      </c>
      <c r="BO99" s="22">
        <f>IF(AND($H99&lt;&gt;"",$AE99&lt;&gt;"",$H99&lt;&gt;$AE99,IFERROR(VLOOKUP($H99,areaCercaPuntiClassificaSquadra,3,FALSE),-1)=IFERROR(VLOOKUP($AE99,areaCercaPuntiClassificaSquadra,3,FALSE),-2)),SUMIFS(Dati!$E$2:$E$451,Dati!$A$2:$A$451,$H99,Dati!$H$2:$H$451,$AE99)+SUMIFS(Dati!$L$2:$L$451,Dati!$H$2:$H$451,$H99,Dati!$A$2:$A$451,$AE99),"-")</f>
        <v/>
      </c>
      <c r="BP99" s="22">
        <f>IF(AND($H99&lt;&gt;"",$AF99&lt;&gt;"",$H99&lt;&gt;$AF99,IFERROR(VLOOKUP($H99,areaCercaPuntiClassificaSquadra,3,FALSE),-1)=IFERROR(VLOOKUP($AF99,areaCercaPuntiClassificaSquadra,3,FALSE),-2)),SUMIFS(Dati!$E$2:$E$451,Dati!$A$2:$A$451,$H99,Dati!$H$2:$H$451,$AF99)+SUMIFS(Dati!$L$2:$L$451,Dati!$H$2:$H$451,$H99,Dati!$A$2:$A$451,$AF99),"-")</f>
        <v/>
      </c>
      <c r="BQ99" s="22">
        <f>IF(AND($H99&lt;&gt;"",$AG99&lt;&gt;"",$H99&lt;&gt;$AG99,IFERROR(VLOOKUP($H99,areaCercaPuntiClassificaSquadra,3,FALSE),-1)=IFERROR(VLOOKUP($AG99,areaCercaPuntiClassificaSquadra,3,FALSE),-2)),SUMIFS(Dati!$E$2:$E$451,Dati!$A$2:$A$451,$H99,Dati!$H$2:$H$451,$AG99)+SUMIFS(Dati!$L$2:$L$451,Dati!$H$2:$H$451,$H99,Dati!$A$2:$A$451,$AG99),"-")</f>
        <v/>
      </c>
      <c r="BR99" s="22">
        <f>IF(AND($H99&lt;&gt;"",$AH99&lt;&gt;"",$H99&lt;&gt;$AH99,IFERROR(VLOOKUP($H99,areaCercaPuntiClassificaSquadra,3,FALSE),-1)=IFERROR(VLOOKUP($AH99,areaCercaPuntiClassificaSquadra,3,FALSE),-2)),SUMIFS(Dati!$E$2:$E$451,Dati!$A$2:$A$451,$H99,Dati!$H$2:$H$451,$AH99)+SUMIFS(Dati!$L$2:$L$451,Dati!$H$2:$H$451,$H99,Dati!$A$2:$A$451,$AH99),"-")</f>
        <v/>
      </c>
      <c r="BT99" s="21">
        <f>$C99</f>
        <v/>
      </c>
      <c r="BU99" s="22">
        <f>IF(AND($H99&lt;&gt;"",$Y99&lt;&gt;"",$H99&lt;&gt;$Y99,IFERROR(VLOOKUP($H99,areaCercaPuntiClassificaSquadra,3,FALSE),-1)=IFERROR(VLOOKUP($Y99,areaCercaPuntiClassificaSquadra,3,FALSE),-2)),SUMIFS(Dati!$F$2:$F$451,Dati!$A$2:$A$451,$H99,Dati!$H$2:$H$451,$Y99)+SUMIFS(Dati!$M$2:$M$451,Dati!$H$2:$H$451,$H99,Dati!$A$2:$A$451,$Y99),"-")</f>
        <v/>
      </c>
      <c r="BV99" s="22">
        <f>IF(AND($H99&lt;&gt;"",$Z99&lt;&gt;"",$H99&lt;&gt;$Z99,IFERROR(VLOOKUP($H99,areaCercaPuntiClassificaSquadra,3,FALSE),-1)=IFERROR(VLOOKUP($Z99,areaCercaPuntiClassificaSquadra,3,FALSE),-2)),SUMIFS(Dati!$F$2:$F$451,Dati!$A$2:$A$451,$H99,Dati!$H$2:$H$451,$Z99)+SUMIFS(Dati!$M$2:$M$451,Dati!$H$2:$H$451,$H99,Dati!$A$2:$A$451,$Z99),"-")</f>
        <v/>
      </c>
      <c r="BW99" s="22">
        <f>IF(AND($H99&lt;&gt;"",$AA99&lt;&gt;"",$H99&lt;&gt;$AA99,IFERROR(VLOOKUP($H99,areaCercaPuntiClassificaSquadra,3,FALSE),-1)=IFERROR(VLOOKUP($AA99,areaCercaPuntiClassificaSquadra,3,FALSE),-2)),SUMIFS(Dati!$F$2:$F$451,Dati!$A$2:$A$451,$H99,Dati!$H$2:$H$451,$AA99)+SUMIFS(Dati!$M$2:$M$451,Dati!$H$2:$H$451,$H99,Dati!$A$2:$A$451,$AA99),"-")</f>
        <v/>
      </c>
      <c r="BX99" s="22">
        <f>IF(AND($H99&lt;&gt;"",$AB99&lt;&gt;"",$H99&lt;&gt;$AB99,IFERROR(VLOOKUP($H99,areaCercaPuntiClassificaSquadra,3,FALSE),-1)=IFERROR(VLOOKUP($AB99,areaCercaPuntiClassificaSquadra,3,FALSE),-2)),SUMIFS(Dati!$F$2:$F$451,Dati!$A$2:$A$451,$H99,Dati!$H$2:$H$451,$AB99)+SUMIFS(Dati!$M$2:$M$451,Dati!$H$2:$H$451,$H99,Dati!$A$2:$A$451,$AB99),"-")</f>
        <v/>
      </c>
      <c r="BY99" s="22">
        <f>IF(AND($H99&lt;&gt;"",$AC99&lt;&gt;"",$H99&lt;&gt;$AC99,IFERROR(VLOOKUP($H99,areaCercaPuntiClassificaSquadra,3,FALSE),-1)=IFERROR(VLOOKUP($AC99,areaCercaPuntiClassificaSquadra,3,FALSE),-2)),SUMIFS(Dati!$F$2:$F$451,Dati!$A$2:$A$451,$H99,Dati!$H$2:$H$451,$AC99)+SUMIFS(Dati!$M$2:$M$451,Dati!$H$2:$H$451,$H99,Dati!$A$2:$A$451,$AC99),"-")</f>
        <v/>
      </c>
      <c r="BZ99" s="22">
        <f>IF(AND($H99&lt;&gt;"",$AD99&lt;&gt;"",$H99&lt;&gt;$AD99,IFERROR(VLOOKUP($H99,areaCercaPuntiClassificaSquadra,3,FALSE),-1)=IFERROR(VLOOKUP($AD99,areaCercaPuntiClassificaSquadra,3,FALSE),-2)),SUMIFS(Dati!$F$2:$F$451,Dati!$A$2:$A$451,$H99,Dati!$H$2:$H$451,$AD99)+SUMIFS(Dati!$M$2:$M$451,Dati!$H$2:$H$451,$H99,Dati!$A$2:$A$451,$AD99),"-")</f>
        <v/>
      </c>
      <c r="CA99" s="22">
        <f>IF(AND($H99&lt;&gt;"",$AE99&lt;&gt;"",$H99&lt;&gt;$AE99,IFERROR(VLOOKUP($H99,areaCercaPuntiClassificaSquadra,3,FALSE),-1)=IFERROR(VLOOKUP($AE99,areaCercaPuntiClassificaSquadra,3,FALSE),-2)),SUMIFS(Dati!$F$2:$F$451,Dati!$A$2:$A$451,$H99,Dati!$H$2:$H$451,$AE99)+SUMIFS(Dati!$M$2:$M$451,Dati!$H$2:$H$451,$H99,Dati!$A$2:$A$451,$AE99),"-")</f>
        <v/>
      </c>
      <c r="CB99" s="22">
        <f>IF(AND($H99&lt;&gt;"",$AF99&lt;&gt;"",$H99&lt;&gt;$AF99,IFERROR(VLOOKUP($H99,areaCercaPuntiClassificaSquadra,3,FALSE),-1)=IFERROR(VLOOKUP($AF99,areaCercaPuntiClassificaSquadra,3,FALSE),-2)),SUMIFS(Dati!$F$2:$F$451,Dati!$A$2:$A$451,$H99,Dati!$H$2:$H$451,$AF99)+SUMIFS(Dati!$M$2:$M$451,Dati!$H$2:$H$451,$H99,Dati!$A$2:$A$451,$AF99),"-")</f>
        <v/>
      </c>
      <c r="CC99" s="22">
        <f>IF(AND($H99&lt;&gt;"",$AG99&lt;&gt;"",$H99&lt;&gt;$AG99,IFERROR(VLOOKUP($H99,areaCercaPuntiClassificaSquadra,3,FALSE),-1)=IFERROR(VLOOKUP($AG99,areaCercaPuntiClassificaSquadra,3,FALSE),-2)),SUMIFS(Dati!$F$2:$F$451,Dati!$A$2:$A$451,$H99,Dati!$H$2:$H$451,$AG99)+SUMIFS(Dati!$M$2:$M$451,Dati!$H$2:$H$451,$H99,Dati!$A$2:$A$451,$AG99),"-")</f>
        <v/>
      </c>
      <c r="CD99" s="22">
        <f>IF(AND($H99&lt;&gt;"",$AH99&lt;&gt;"",$H99&lt;&gt;$AH99,IFERROR(VLOOKUP($H99,areaCercaPuntiClassificaSquadra,3,FALSE),-1)=IFERROR(VLOOKUP($AH99,areaCercaPuntiClassificaSquadra,3,FALSE),-2)),SUMIFS(Dati!$F$2:$F$451,Dati!$A$2:$A$451,$H99,Dati!$H$2:$H$451,$AH99)+SUMIFS(Dati!$M$2:$M$451,Dati!$H$2:$H$451,$H99,Dati!$A$2:$A$451,$AH99),"-")</f>
        <v/>
      </c>
      <c r="CF99" s="22">
        <f>IF($C99="","",SUM(AK99:AT99))</f>
        <v/>
      </c>
    </row>
    <row r="100">
      <c r="B100" s="12" t="inlineStr">
        <is>
          <t>I07</t>
        </is>
      </c>
      <c r="C100" s="13" t="n"/>
      <c r="D100" s="14" t="n"/>
      <c r="E100" s="37" t="inlineStr">
        <is>
          <t>I</t>
        </is>
      </c>
      <c r="G100" s="38">
        <f>IF($C100="","",$E100&amp;(COUNTIFS(I$14:I$113,"&gt;"&amp;I100,E$14:E$113,"="&amp;E100,C$14:C$113,"&lt;&gt;")+COUNTIFS(I$14:I$113,"="&amp;I100,H$14:H$113,"&lt;="&amp;H100,E$14:E$113,"="&amp;E100,C$14:C$113,"&lt;&gt;")))</f>
        <v/>
      </c>
      <c r="H100" s="17">
        <f>IF($C100="","",IFERROR(LEFT($C100,FIND("-",$C100)-1),$C100))</f>
        <v/>
      </c>
      <c r="I100" s="12">
        <f>TEXT(1000000000+J100,"|0000000000|")&amp;TEXT(SUM(AK100:AT100),"0000000000|")&amp;IF(SUM(BU100:CD100)=0,"0000000000|",TEXT(ROUND(SUM(BI100:BR100)/SUM(BU100:CD100),4)*100000,"0000000000|"))&amp;IF(P100=0,"0000000000|",TEXT(ROUND(O100/P100,4)*100000,"0000000000|"))</f>
        <v/>
      </c>
      <c r="J100" s="38">
        <f>L100*constPuntiVittoria+M100*constPuntiSconfitta+N100*constPuntiForfait+IF(D100="",0,D100)</f>
        <v/>
      </c>
      <c r="K100" s="12">
        <f>SUM(L100:N100)</f>
        <v/>
      </c>
      <c r="L100" s="12">
        <f>IF($H100="",0,SUMIF(Dati!$A$2:$A$451,$H100,Dati!$B$2:$B$451)+SUMIF(Dati!$H$2:$H$451,$H100,Dati!$I$2:$I$451))</f>
        <v/>
      </c>
      <c r="M100" s="12">
        <f>IF($H100="",0,SUMIF(Dati!$A$2:$A$451,$H100,Dati!$D$2:$D$451)+SUMIF(Dati!$H$2:$H$451,$H100,Dati!$K$2:$K$451))</f>
        <v/>
      </c>
      <c r="N100" s="12">
        <f>IF($H100="",0,SUMIF(Dati!$A$2:$A$451,$H100,Dati!$C$2:$C$451)+SUMIF(Dati!$H$2:$H$451,$H100,Dati!$J$2:$J$451))</f>
        <v/>
      </c>
      <c r="O100" s="12">
        <f>IF($H100="",0,SUMIF(Dati!$A$2:$A$451,$H100,Dati!$E$2:$E$451)+SUMIF(Dati!$H$2:$H$451,$H100,Dati!$L$2:$L$451))</f>
        <v/>
      </c>
      <c r="P100" s="12">
        <f>IF($H100="",0,SUMIF(Dati!$A$2:$A$451,$H100,Dati!$F$2:$F$451)+SUMIF(Dati!$H$2:$H$451,$H100,Dati!$M$2:$M$451))</f>
        <v/>
      </c>
      <c r="Q100" s="12">
        <f>IF($H100="",0,SUMIF(Dati!$A$2:$A$451,$H100,Dati!$G$2:$G$451)+SUMIF(Dati!$H$2:$H$451,$H100,Dati!$N$2:$N$451))</f>
        <v/>
      </c>
      <c r="R100" s="12">
        <f>IF(K100=0,0,ROUND(O100/K100,2))</f>
        <v/>
      </c>
      <c r="S100" s="12">
        <f>IF(K100=0,0,ROUND(P100/K100,2))</f>
        <v/>
      </c>
      <c r="T100" s="12">
        <f>IF(K100=0,0,ROUND(Q100/K100,2))</f>
        <v/>
      </c>
      <c r="U100" s="12">
        <f>IF(COUNTIFS($E$14:$E$113,$E100,$J$14:$J$113,$J100,$C$14:$C$113,"&lt;&gt;")&lt;=1,"-",SUM(AK100:AT100)&amp;"-"&amp;SUM(AW100:BF100))</f>
        <v/>
      </c>
      <c r="V100" s="18">
        <f>IF(COUNTIFS($E$14:$E$113,$E100,$J$14:$J$113,$J100,$C$14:$C$113,"&lt;&gt;",$CF$14:$CF$113,$CF100)&lt;=1,"-",IF(SUM(BU100:CD100)=0,0,ROUND(SUM(BI100:BR100)/SUM(BU100:CD100),3)))</f>
        <v/>
      </c>
      <c r="W100" s="18">
        <f>IF(COUNTIFS($E$14:$E$113,$E100,$J$14:$J$113,$J100,$C$14:$C$113,"&lt;&gt;",$CF$14:$CF$113,$CF100,$V$14:$V$113,$V100)&lt;=1,"-",IF(P100=0,0,ROUND(O100/P100,3)))</f>
        <v/>
      </c>
      <c r="X100" s="19">
        <f>IF($C100="","",$E100&amp;"#"&amp;COUNTIFS($E$14:$E100,$E100,$C$14:$C100,"&lt;&gt;"))</f>
        <v/>
      </c>
      <c r="Y100" s="20">
        <f>IFERROR(INDEX($H$14:$H$113,MATCH($E100&amp;"#1",$X$14:$X$113,0)),"")</f>
        <v/>
      </c>
      <c r="Z100" s="20">
        <f>IFERROR(INDEX($H$14:$H$113,MATCH($E100&amp;"#2",$X$14:$X$113,0)),"")</f>
        <v/>
      </c>
      <c r="AA100" s="20">
        <f>IFERROR(INDEX($H$14:$H$113,MATCH($E100&amp;"#3",$X$14:$X$113,0)),"")</f>
        <v/>
      </c>
      <c r="AB100" s="20">
        <f>IFERROR(INDEX($H$14:$H$113,MATCH($E100&amp;"#4",$X$14:$X$113,0)),"")</f>
        <v/>
      </c>
      <c r="AC100" s="20">
        <f>IFERROR(INDEX($H$14:$H$113,MATCH($E100&amp;"#5",$X$14:$X$113,0)),"")</f>
        <v/>
      </c>
      <c r="AD100" s="20">
        <f>IFERROR(INDEX($H$14:$H$113,MATCH($E100&amp;"#6",$X$14:$X$113,0)),"")</f>
        <v/>
      </c>
      <c r="AE100" s="20">
        <f>IFERROR(INDEX($H$14:$H$113,MATCH($E100&amp;"#7",$X$14:$X$113,0)),"")</f>
        <v/>
      </c>
      <c r="AF100" s="20">
        <f>IFERROR(INDEX($H$14:$H$113,MATCH($E100&amp;"#8",$X$14:$X$113,0)),"")</f>
        <v/>
      </c>
      <c r="AG100" s="20">
        <f>IFERROR(INDEX($H$14:$H$113,MATCH($E100&amp;"#9",$X$14:$X$113,0)),"")</f>
        <v/>
      </c>
      <c r="AH100" s="20">
        <f>IFERROR(INDEX($H$14:$H$113,MATCH($E100&amp;"#10",$X$14:$X$113,0)),"")</f>
        <v/>
      </c>
      <c r="AJ100" s="21">
        <f>$C100</f>
        <v/>
      </c>
      <c r="AK100" s="22">
        <f>IF(AND($H100&lt;&gt;"",$Y100&lt;&gt;"",$H100&lt;&gt;$Y100,IFERROR(VLOOKUP($H100,areaCercaPuntiClassificaSquadra,3,FALSE),-1)=IFERROR(VLOOKUP($Y100,areaCercaPuntiClassificaSquadra,3,FALSE),-2)),SUMIFS(Dati!$B$2:$B$451,Dati!$A$2:$A$451,$H100,Dati!$H$2:$H$451,$Y100)+SUMIFS(Dati!$I$2:$I$451,Dati!$H$2:$H$451,$H100,Dati!$A$2:$A$451,$Y100),"-")</f>
        <v/>
      </c>
      <c r="AL100" s="22">
        <f>IF(AND($H100&lt;&gt;"",$Z100&lt;&gt;"",$H100&lt;&gt;$Z100,IFERROR(VLOOKUP($H100,areaCercaPuntiClassificaSquadra,3,FALSE),-1)=IFERROR(VLOOKUP($Z100,areaCercaPuntiClassificaSquadra,3,FALSE),-2)),SUMIFS(Dati!$B$2:$B$451,Dati!$A$2:$A$451,$H100,Dati!$H$2:$H$451,$Z100)+SUMIFS(Dati!$I$2:$I$451,Dati!$H$2:$H$451,$H100,Dati!$A$2:$A$451,$Z100),"-")</f>
        <v/>
      </c>
      <c r="AM100" s="22">
        <f>IF(AND($H100&lt;&gt;"",$AA100&lt;&gt;"",$H100&lt;&gt;$AA100,IFERROR(VLOOKUP($H100,areaCercaPuntiClassificaSquadra,3,FALSE),-1)=IFERROR(VLOOKUP($AA100,areaCercaPuntiClassificaSquadra,3,FALSE),-2)),SUMIFS(Dati!$B$2:$B$451,Dati!$A$2:$A$451,$H100,Dati!$H$2:$H$451,$AA100)+SUMIFS(Dati!$I$2:$I$451,Dati!$H$2:$H$451,$H100,Dati!$A$2:$A$451,$AA100),"-")</f>
        <v/>
      </c>
      <c r="AN100" s="22">
        <f>IF(AND($H100&lt;&gt;"",$AB100&lt;&gt;"",$H100&lt;&gt;$AB100,IFERROR(VLOOKUP($H100,areaCercaPuntiClassificaSquadra,3,FALSE),-1)=IFERROR(VLOOKUP($AB100,areaCercaPuntiClassificaSquadra,3,FALSE),-2)),SUMIFS(Dati!$B$2:$B$451,Dati!$A$2:$A$451,$H100,Dati!$H$2:$H$451,$AB100)+SUMIFS(Dati!$I$2:$I$451,Dati!$H$2:$H$451,$H100,Dati!$A$2:$A$451,$AB100),"-")</f>
        <v/>
      </c>
      <c r="AO100" s="22">
        <f>IF(AND($H100&lt;&gt;"",$AC100&lt;&gt;"",$H100&lt;&gt;$AC100,IFERROR(VLOOKUP($H100,areaCercaPuntiClassificaSquadra,3,FALSE),-1)=IFERROR(VLOOKUP($AC100,areaCercaPuntiClassificaSquadra,3,FALSE),-2)),SUMIFS(Dati!$B$2:$B$451,Dati!$A$2:$A$451,$H100,Dati!$H$2:$H$451,$AC100)+SUMIFS(Dati!$I$2:$I$451,Dati!$H$2:$H$451,$H100,Dati!$A$2:$A$451,$AC100),"-")</f>
        <v/>
      </c>
      <c r="AP100" s="22">
        <f>IF(AND($H100&lt;&gt;"",$AD100&lt;&gt;"",$H100&lt;&gt;$AD100,IFERROR(VLOOKUP($H100,areaCercaPuntiClassificaSquadra,3,FALSE),-1)=IFERROR(VLOOKUP($AD100,areaCercaPuntiClassificaSquadra,3,FALSE),-2)),SUMIFS(Dati!$B$2:$B$451,Dati!$A$2:$A$451,$H100,Dati!$H$2:$H$451,$AD100)+SUMIFS(Dati!$I$2:$I$451,Dati!$H$2:$H$451,$H100,Dati!$A$2:$A$451,$AD100),"-")</f>
        <v/>
      </c>
      <c r="AQ100" s="22">
        <f>IF(AND($H100&lt;&gt;"",$AE100&lt;&gt;"",$H100&lt;&gt;$AE100,IFERROR(VLOOKUP($H100,areaCercaPuntiClassificaSquadra,3,FALSE),-1)=IFERROR(VLOOKUP($AE100,areaCercaPuntiClassificaSquadra,3,FALSE),-2)),SUMIFS(Dati!$B$2:$B$451,Dati!$A$2:$A$451,$H100,Dati!$H$2:$H$451,$AE100)+SUMIFS(Dati!$I$2:$I$451,Dati!$H$2:$H$451,$H100,Dati!$A$2:$A$451,$AE100),"-")</f>
        <v/>
      </c>
      <c r="AR100" s="22">
        <f>IF(AND($H100&lt;&gt;"",$AF100&lt;&gt;"",$H100&lt;&gt;$AF100,IFERROR(VLOOKUP($H100,areaCercaPuntiClassificaSquadra,3,FALSE),-1)=IFERROR(VLOOKUP($AF100,areaCercaPuntiClassificaSquadra,3,FALSE),-2)),SUMIFS(Dati!$B$2:$B$451,Dati!$A$2:$A$451,$H100,Dati!$H$2:$H$451,$AF100)+SUMIFS(Dati!$I$2:$I$451,Dati!$H$2:$H$451,$H100,Dati!$A$2:$A$451,$AF100),"-")</f>
        <v/>
      </c>
      <c r="AS100" s="22">
        <f>IF(AND($H100&lt;&gt;"",$AG100&lt;&gt;"",$H100&lt;&gt;$AG100,IFERROR(VLOOKUP($H100,areaCercaPuntiClassificaSquadra,3,FALSE),-1)=IFERROR(VLOOKUP($AG100,areaCercaPuntiClassificaSquadra,3,FALSE),-2)),SUMIFS(Dati!$B$2:$B$451,Dati!$A$2:$A$451,$H100,Dati!$H$2:$H$451,$AG100)+SUMIFS(Dati!$I$2:$I$451,Dati!$H$2:$H$451,$H100,Dati!$A$2:$A$451,$AG100),"-")</f>
        <v/>
      </c>
      <c r="AT100" s="22">
        <f>IF(AND($H100&lt;&gt;"",$AH100&lt;&gt;"",$H100&lt;&gt;$AH100,IFERROR(VLOOKUP($H100,areaCercaPuntiClassificaSquadra,3,FALSE),-1)=IFERROR(VLOOKUP($AH100,areaCercaPuntiClassificaSquadra,3,FALSE),-2)),SUMIFS(Dati!$B$2:$B$451,Dati!$A$2:$A$451,$H100,Dati!$H$2:$H$451,$AH100)+SUMIFS(Dati!$I$2:$I$451,Dati!$H$2:$H$451,$H100,Dati!$A$2:$A$451,$AH100),"-")</f>
        <v/>
      </c>
      <c r="AV100" s="21">
        <f>$C100</f>
        <v/>
      </c>
      <c r="AW100" s="22">
        <f>IF(AND($H100&lt;&gt;"",$Y100&lt;&gt;"",$H100&lt;&gt;$Y100,IFERROR(VLOOKUP($H100,areaCercaPuntiClassificaSquadra,3,FALSE),-1)=IFERROR(VLOOKUP($Y100,areaCercaPuntiClassificaSquadra,3,FALSE),-2)),SUMIFS(Dati!$D$2:$D$451,Dati!$A$2:$A$451,$H100,Dati!$H$2:$H$451,$Y100)+SUMIFS(Dati!$K$2:$K$451,Dati!$H$2:$H$451,$H100,Dati!$A$2:$A$451,$Y100)+SUMIFS(Dati!$C$2:$C$451,Dati!$A$2:$A$451,$H100,Dati!$H$2:$H$451,$Y100)+SUMIFS(Dati!$J$2:$J$451,Dati!$H$2:$H$451,$H100,Dati!$A$2:$A$451,$Y100),"-")</f>
        <v/>
      </c>
      <c r="AX100" s="22">
        <f>IF(AND($H100&lt;&gt;"",$Z100&lt;&gt;"",$H100&lt;&gt;$Z100,IFERROR(VLOOKUP($H100,areaCercaPuntiClassificaSquadra,3,FALSE),-1)=IFERROR(VLOOKUP($Z100,areaCercaPuntiClassificaSquadra,3,FALSE),-2)),SUMIFS(Dati!$D$2:$D$451,Dati!$A$2:$A$451,$H100,Dati!$H$2:$H$451,$Z100)+SUMIFS(Dati!$K$2:$K$451,Dati!$H$2:$H$451,$H100,Dati!$A$2:$A$451,$Z100)+SUMIFS(Dati!$C$2:$C$451,Dati!$A$2:$A$451,$H100,Dati!$H$2:$H$451,$Z100)+SUMIFS(Dati!$J$2:$J$451,Dati!$H$2:$H$451,$H100,Dati!$A$2:$A$451,$Z100),"-")</f>
        <v/>
      </c>
      <c r="AY100" s="22">
        <f>IF(AND($H100&lt;&gt;"",$AA100&lt;&gt;"",$H100&lt;&gt;$AA100,IFERROR(VLOOKUP($H100,areaCercaPuntiClassificaSquadra,3,FALSE),-1)=IFERROR(VLOOKUP($AA100,areaCercaPuntiClassificaSquadra,3,FALSE),-2)),SUMIFS(Dati!$D$2:$D$451,Dati!$A$2:$A$451,$H100,Dati!$H$2:$H$451,$AA100)+SUMIFS(Dati!$K$2:$K$451,Dati!$H$2:$H$451,$H100,Dati!$A$2:$A$451,$AA100)+SUMIFS(Dati!$C$2:$C$451,Dati!$A$2:$A$451,$H100,Dati!$H$2:$H$451,$AA100)+SUMIFS(Dati!$J$2:$J$451,Dati!$H$2:$H$451,$H100,Dati!$A$2:$A$451,$AA100),"-")</f>
        <v/>
      </c>
      <c r="AZ100" s="22">
        <f>IF(AND($H100&lt;&gt;"",$AB100&lt;&gt;"",$H100&lt;&gt;$AB100,IFERROR(VLOOKUP($H100,areaCercaPuntiClassificaSquadra,3,FALSE),-1)=IFERROR(VLOOKUP($AB100,areaCercaPuntiClassificaSquadra,3,FALSE),-2)),SUMIFS(Dati!$D$2:$D$451,Dati!$A$2:$A$451,$H100,Dati!$H$2:$H$451,$AB100)+SUMIFS(Dati!$K$2:$K$451,Dati!$H$2:$H$451,$H100,Dati!$A$2:$A$451,$AB100)+SUMIFS(Dati!$C$2:$C$451,Dati!$A$2:$A$451,$H100,Dati!$H$2:$H$451,$AB100)+SUMIFS(Dati!$J$2:$J$451,Dati!$H$2:$H$451,$H100,Dati!$A$2:$A$451,$AB100),"-")</f>
        <v/>
      </c>
      <c r="BA100" s="22">
        <f>IF(AND($H100&lt;&gt;"",$AC100&lt;&gt;"",$H100&lt;&gt;$AC100,IFERROR(VLOOKUP($H100,areaCercaPuntiClassificaSquadra,3,FALSE),-1)=IFERROR(VLOOKUP($AC100,areaCercaPuntiClassificaSquadra,3,FALSE),-2)),SUMIFS(Dati!$D$2:$D$451,Dati!$A$2:$A$451,$H100,Dati!$H$2:$H$451,$AC100)+SUMIFS(Dati!$K$2:$K$451,Dati!$H$2:$H$451,$H100,Dati!$A$2:$A$451,$AC100)+SUMIFS(Dati!$C$2:$C$451,Dati!$A$2:$A$451,$H100,Dati!$H$2:$H$451,$AC100)+SUMIFS(Dati!$J$2:$J$451,Dati!$H$2:$H$451,$H100,Dati!$A$2:$A$451,$AC100),"-")</f>
        <v/>
      </c>
      <c r="BB100" s="22">
        <f>IF(AND($H100&lt;&gt;"",$AD100&lt;&gt;"",$H100&lt;&gt;$AD100,IFERROR(VLOOKUP($H100,areaCercaPuntiClassificaSquadra,3,FALSE),-1)=IFERROR(VLOOKUP($AD100,areaCercaPuntiClassificaSquadra,3,FALSE),-2)),SUMIFS(Dati!$D$2:$D$451,Dati!$A$2:$A$451,$H100,Dati!$H$2:$H$451,$AD100)+SUMIFS(Dati!$K$2:$K$451,Dati!$H$2:$H$451,$H100,Dati!$A$2:$A$451,$AD100)+SUMIFS(Dati!$C$2:$C$451,Dati!$A$2:$A$451,$H100,Dati!$H$2:$H$451,$AD100)+SUMIFS(Dati!$J$2:$J$451,Dati!$H$2:$H$451,$H100,Dati!$A$2:$A$451,$AD100),"-")</f>
        <v/>
      </c>
      <c r="BC100" s="22">
        <f>IF(AND($H100&lt;&gt;"",$AE100&lt;&gt;"",$H100&lt;&gt;$AE100,IFERROR(VLOOKUP($H100,areaCercaPuntiClassificaSquadra,3,FALSE),-1)=IFERROR(VLOOKUP($AE100,areaCercaPuntiClassificaSquadra,3,FALSE),-2)),SUMIFS(Dati!$D$2:$D$451,Dati!$A$2:$A$451,$H100,Dati!$H$2:$H$451,$AE100)+SUMIFS(Dati!$K$2:$K$451,Dati!$H$2:$H$451,$H100,Dati!$A$2:$A$451,$AE100)+SUMIFS(Dati!$C$2:$C$451,Dati!$A$2:$A$451,$H100,Dati!$H$2:$H$451,$AE100)+SUMIFS(Dati!$J$2:$J$451,Dati!$H$2:$H$451,$H100,Dati!$A$2:$A$451,$AE100),"-")</f>
        <v/>
      </c>
      <c r="BD100" s="22">
        <f>IF(AND($H100&lt;&gt;"",$AF100&lt;&gt;"",$H100&lt;&gt;$AF100,IFERROR(VLOOKUP($H100,areaCercaPuntiClassificaSquadra,3,FALSE),-1)=IFERROR(VLOOKUP($AF100,areaCercaPuntiClassificaSquadra,3,FALSE),-2)),SUMIFS(Dati!$D$2:$D$451,Dati!$A$2:$A$451,$H100,Dati!$H$2:$H$451,$AF100)+SUMIFS(Dati!$K$2:$K$451,Dati!$H$2:$H$451,$H100,Dati!$A$2:$A$451,$AF100)+SUMIFS(Dati!$C$2:$C$451,Dati!$A$2:$A$451,$H100,Dati!$H$2:$H$451,$AF100)+SUMIFS(Dati!$J$2:$J$451,Dati!$H$2:$H$451,$H100,Dati!$A$2:$A$451,$AF100),"-")</f>
        <v/>
      </c>
      <c r="BE100" s="22">
        <f>IF(AND($H100&lt;&gt;"",$AG100&lt;&gt;"",$H100&lt;&gt;$AG100,IFERROR(VLOOKUP($H100,areaCercaPuntiClassificaSquadra,3,FALSE),-1)=IFERROR(VLOOKUP($AG100,areaCercaPuntiClassificaSquadra,3,FALSE),-2)),SUMIFS(Dati!$D$2:$D$451,Dati!$A$2:$A$451,$H100,Dati!$H$2:$H$451,$AG100)+SUMIFS(Dati!$K$2:$K$451,Dati!$H$2:$H$451,$H100,Dati!$A$2:$A$451,$AG100)+SUMIFS(Dati!$C$2:$C$451,Dati!$A$2:$A$451,$H100,Dati!$H$2:$H$451,$AG100)+SUMIFS(Dati!$J$2:$J$451,Dati!$H$2:$H$451,$H100,Dati!$A$2:$A$451,$AG100),"-")</f>
        <v/>
      </c>
      <c r="BF100" s="22">
        <f>IF(AND($H100&lt;&gt;"",$AH100&lt;&gt;"",$H100&lt;&gt;$AH100,IFERROR(VLOOKUP($H100,areaCercaPuntiClassificaSquadra,3,FALSE),-1)=IFERROR(VLOOKUP($AH100,areaCercaPuntiClassificaSquadra,3,FALSE),-2)),SUMIFS(Dati!$D$2:$D$451,Dati!$A$2:$A$451,$H100,Dati!$H$2:$H$451,$AH100)+SUMIFS(Dati!$K$2:$K$451,Dati!$H$2:$H$451,$H100,Dati!$A$2:$A$451,$AH100)+SUMIFS(Dati!$C$2:$C$451,Dati!$A$2:$A$451,$H100,Dati!$H$2:$H$451,$AH100)+SUMIFS(Dati!$J$2:$J$451,Dati!$H$2:$H$451,$H100,Dati!$A$2:$A$451,$AH100),"-")</f>
        <v/>
      </c>
      <c r="BH100" s="21">
        <f>$C100</f>
        <v/>
      </c>
      <c r="BI100" s="22">
        <f>IF(AND($H100&lt;&gt;"",$Y100&lt;&gt;"",$H100&lt;&gt;$Y100,IFERROR(VLOOKUP($H100,areaCercaPuntiClassificaSquadra,3,FALSE),-1)=IFERROR(VLOOKUP($Y100,areaCercaPuntiClassificaSquadra,3,FALSE),-2)),SUMIFS(Dati!$E$2:$E$451,Dati!$A$2:$A$451,$H100,Dati!$H$2:$H$451,$Y100)+SUMIFS(Dati!$L$2:$L$451,Dati!$H$2:$H$451,$H100,Dati!$A$2:$A$451,$Y100),"-")</f>
        <v/>
      </c>
      <c r="BJ100" s="22">
        <f>IF(AND($H100&lt;&gt;"",$Z100&lt;&gt;"",$H100&lt;&gt;$Z100,IFERROR(VLOOKUP($H100,areaCercaPuntiClassificaSquadra,3,FALSE),-1)=IFERROR(VLOOKUP($Z100,areaCercaPuntiClassificaSquadra,3,FALSE),-2)),SUMIFS(Dati!$E$2:$E$451,Dati!$A$2:$A$451,$H100,Dati!$H$2:$H$451,$Z100)+SUMIFS(Dati!$L$2:$L$451,Dati!$H$2:$H$451,$H100,Dati!$A$2:$A$451,$Z100),"-")</f>
        <v/>
      </c>
      <c r="BK100" s="22">
        <f>IF(AND($H100&lt;&gt;"",$AA100&lt;&gt;"",$H100&lt;&gt;$AA100,IFERROR(VLOOKUP($H100,areaCercaPuntiClassificaSquadra,3,FALSE),-1)=IFERROR(VLOOKUP($AA100,areaCercaPuntiClassificaSquadra,3,FALSE),-2)),SUMIFS(Dati!$E$2:$E$451,Dati!$A$2:$A$451,$H100,Dati!$H$2:$H$451,$AA100)+SUMIFS(Dati!$L$2:$L$451,Dati!$H$2:$H$451,$H100,Dati!$A$2:$A$451,$AA100),"-")</f>
        <v/>
      </c>
      <c r="BL100" s="22">
        <f>IF(AND($H100&lt;&gt;"",$AB100&lt;&gt;"",$H100&lt;&gt;$AB100,IFERROR(VLOOKUP($H100,areaCercaPuntiClassificaSquadra,3,FALSE),-1)=IFERROR(VLOOKUP($AB100,areaCercaPuntiClassificaSquadra,3,FALSE),-2)),SUMIFS(Dati!$E$2:$E$451,Dati!$A$2:$A$451,$H100,Dati!$H$2:$H$451,$AB100)+SUMIFS(Dati!$L$2:$L$451,Dati!$H$2:$H$451,$H100,Dati!$A$2:$A$451,$AB100),"-")</f>
        <v/>
      </c>
      <c r="BM100" s="22">
        <f>IF(AND($H100&lt;&gt;"",$AC100&lt;&gt;"",$H100&lt;&gt;$AC100,IFERROR(VLOOKUP($H100,areaCercaPuntiClassificaSquadra,3,FALSE),-1)=IFERROR(VLOOKUP($AC100,areaCercaPuntiClassificaSquadra,3,FALSE),-2)),SUMIFS(Dati!$E$2:$E$451,Dati!$A$2:$A$451,$H100,Dati!$H$2:$H$451,$AC100)+SUMIFS(Dati!$L$2:$L$451,Dati!$H$2:$H$451,$H100,Dati!$A$2:$A$451,$AC100),"-")</f>
        <v/>
      </c>
      <c r="BN100" s="22">
        <f>IF(AND($H100&lt;&gt;"",$AD100&lt;&gt;"",$H100&lt;&gt;$AD100,IFERROR(VLOOKUP($H100,areaCercaPuntiClassificaSquadra,3,FALSE),-1)=IFERROR(VLOOKUP($AD100,areaCercaPuntiClassificaSquadra,3,FALSE),-2)),SUMIFS(Dati!$E$2:$E$451,Dati!$A$2:$A$451,$H100,Dati!$H$2:$H$451,$AD100)+SUMIFS(Dati!$L$2:$L$451,Dati!$H$2:$H$451,$H100,Dati!$A$2:$A$451,$AD100),"-")</f>
        <v/>
      </c>
      <c r="BO100" s="22">
        <f>IF(AND($H100&lt;&gt;"",$AE100&lt;&gt;"",$H100&lt;&gt;$AE100,IFERROR(VLOOKUP($H100,areaCercaPuntiClassificaSquadra,3,FALSE),-1)=IFERROR(VLOOKUP($AE100,areaCercaPuntiClassificaSquadra,3,FALSE),-2)),SUMIFS(Dati!$E$2:$E$451,Dati!$A$2:$A$451,$H100,Dati!$H$2:$H$451,$AE100)+SUMIFS(Dati!$L$2:$L$451,Dati!$H$2:$H$451,$H100,Dati!$A$2:$A$451,$AE100),"-")</f>
        <v/>
      </c>
      <c r="BP100" s="22">
        <f>IF(AND($H100&lt;&gt;"",$AF100&lt;&gt;"",$H100&lt;&gt;$AF100,IFERROR(VLOOKUP($H100,areaCercaPuntiClassificaSquadra,3,FALSE),-1)=IFERROR(VLOOKUP($AF100,areaCercaPuntiClassificaSquadra,3,FALSE),-2)),SUMIFS(Dati!$E$2:$E$451,Dati!$A$2:$A$451,$H100,Dati!$H$2:$H$451,$AF100)+SUMIFS(Dati!$L$2:$L$451,Dati!$H$2:$H$451,$H100,Dati!$A$2:$A$451,$AF100),"-")</f>
        <v/>
      </c>
      <c r="BQ100" s="22">
        <f>IF(AND($H100&lt;&gt;"",$AG100&lt;&gt;"",$H100&lt;&gt;$AG100,IFERROR(VLOOKUP($H100,areaCercaPuntiClassificaSquadra,3,FALSE),-1)=IFERROR(VLOOKUP($AG100,areaCercaPuntiClassificaSquadra,3,FALSE),-2)),SUMIFS(Dati!$E$2:$E$451,Dati!$A$2:$A$451,$H100,Dati!$H$2:$H$451,$AG100)+SUMIFS(Dati!$L$2:$L$451,Dati!$H$2:$H$451,$H100,Dati!$A$2:$A$451,$AG100),"-")</f>
        <v/>
      </c>
      <c r="BR100" s="22">
        <f>IF(AND($H100&lt;&gt;"",$AH100&lt;&gt;"",$H100&lt;&gt;$AH100,IFERROR(VLOOKUP($H100,areaCercaPuntiClassificaSquadra,3,FALSE),-1)=IFERROR(VLOOKUP($AH100,areaCercaPuntiClassificaSquadra,3,FALSE),-2)),SUMIFS(Dati!$E$2:$E$451,Dati!$A$2:$A$451,$H100,Dati!$H$2:$H$451,$AH100)+SUMIFS(Dati!$L$2:$L$451,Dati!$H$2:$H$451,$H100,Dati!$A$2:$A$451,$AH100),"-")</f>
        <v/>
      </c>
      <c r="BT100" s="21">
        <f>$C100</f>
        <v/>
      </c>
      <c r="BU100" s="22">
        <f>IF(AND($H100&lt;&gt;"",$Y100&lt;&gt;"",$H100&lt;&gt;$Y100,IFERROR(VLOOKUP($H100,areaCercaPuntiClassificaSquadra,3,FALSE),-1)=IFERROR(VLOOKUP($Y100,areaCercaPuntiClassificaSquadra,3,FALSE),-2)),SUMIFS(Dati!$F$2:$F$451,Dati!$A$2:$A$451,$H100,Dati!$H$2:$H$451,$Y100)+SUMIFS(Dati!$M$2:$M$451,Dati!$H$2:$H$451,$H100,Dati!$A$2:$A$451,$Y100),"-")</f>
        <v/>
      </c>
      <c r="BV100" s="22">
        <f>IF(AND($H100&lt;&gt;"",$Z100&lt;&gt;"",$H100&lt;&gt;$Z100,IFERROR(VLOOKUP($H100,areaCercaPuntiClassificaSquadra,3,FALSE),-1)=IFERROR(VLOOKUP($Z100,areaCercaPuntiClassificaSquadra,3,FALSE),-2)),SUMIFS(Dati!$F$2:$F$451,Dati!$A$2:$A$451,$H100,Dati!$H$2:$H$451,$Z100)+SUMIFS(Dati!$M$2:$M$451,Dati!$H$2:$H$451,$H100,Dati!$A$2:$A$451,$Z100),"-")</f>
        <v/>
      </c>
      <c r="BW100" s="22">
        <f>IF(AND($H100&lt;&gt;"",$AA100&lt;&gt;"",$H100&lt;&gt;$AA100,IFERROR(VLOOKUP($H100,areaCercaPuntiClassificaSquadra,3,FALSE),-1)=IFERROR(VLOOKUP($AA100,areaCercaPuntiClassificaSquadra,3,FALSE),-2)),SUMIFS(Dati!$F$2:$F$451,Dati!$A$2:$A$451,$H100,Dati!$H$2:$H$451,$AA100)+SUMIFS(Dati!$M$2:$M$451,Dati!$H$2:$H$451,$H100,Dati!$A$2:$A$451,$AA100),"-")</f>
        <v/>
      </c>
      <c r="BX100" s="22">
        <f>IF(AND($H100&lt;&gt;"",$AB100&lt;&gt;"",$H100&lt;&gt;$AB100,IFERROR(VLOOKUP($H100,areaCercaPuntiClassificaSquadra,3,FALSE),-1)=IFERROR(VLOOKUP($AB100,areaCercaPuntiClassificaSquadra,3,FALSE),-2)),SUMIFS(Dati!$F$2:$F$451,Dati!$A$2:$A$451,$H100,Dati!$H$2:$H$451,$AB100)+SUMIFS(Dati!$M$2:$M$451,Dati!$H$2:$H$451,$H100,Dati!$A$2:$A$451,$AB100),"-")</f>
        <v/>
      </c>
      <c r="BY100" s="22">
        <f>IF(AND($H100&lt;&gt;"",$AC100&lt;&gt;"",$H100&lt;&gt;$AC100,IFERROR(VLOOKUP($H100,areaCercaPuntiClassificaSquadra,3,FALSE),-1)=IFERROR(VLOOKUP($AC100,areaCercaPuntiClassificaSquadra,3,FALSE),-2)),SUMIFS(Dati!$F$2:$F$451,Dati!$A$2:$A$451,$H100,Dati!$H$2:$H$451,$AC100)+SUMIFS(Dati!$M$2:$M$451,Dati!$H$2:$H$451,$H100,Dati!$A$2:$A$451,$AC100),"-")</f>
        <v/>
      </c>
      <c r="BZ100" s="22">
        <f>IF(AND($H100&lt;&gt;"",$AD100&lt;&gt;"",$H100&lt;&gt;$AD100,IFERROR(VLOOKUP($H100,areaCercaPuntiClassificaSquadra,3,FALSE),-1)=IFERROR(VLOOKUP($AD100,areaCercaPuntiClassificaSquadra,3,FALSE),-2)),SUMIFS(Dati!$F$2:$F$451,Dati!$A$2:$A$451,$H100,Dati!$H$2:$H$451,$AD100)+SUMIFS(Dati!$M$2:$M$451,Dati!$H$2:$H$451,$H100,Dati!$A$2:$A$451,$AD100),"-")</f>
        <v/>
      </c>
      <c r="CA100" s="22">
        <f>IF(AND($H100&lt;&gt;"",$AE100&lt;&gt;"",$H100&lt;&gt;$AE100,IFERROR(VLOOKUP($H100,areaCercaPuntiClassificaSquadra,3,FALSE),-1)=IFERROR(VLOOKUP($AE100,areaCercaPuntiClassificaSquadra,3,FALSE),-2)),SUMIFS(Dati!$F$2:$F$451,Dati!$A$2:$A$451,$H100,Dati!$H$2:$H$451,$AE100)+SUMIFS(Dati!$M$2:$M$451,Dati!$H$2:$H$451,$H100,Dati!$A$2:$A$451,$AE100),"-")</f>
        <v/>
      </c>
      <c r="CB100" s="22">
        <f>IF(AND($H100&lt;&gt;"",$AF100&lt;&gt;"",$H100&lt;&gt;$AF100,IFERROR(VLOOKUP($H100,areaCercaPuntiClassificaSquadra,3,FALSE),-1)=IFERROR(VLOOKUP($AF100,areaCercaPuntiClassificaSquadra,3,FALSE),-2)),SUMIFS(Dati!$F$2:$F$451,Dati!$A$2:$A$451,$H100,Dati!$H$2:$H$451,$AF100)+SUMIFS(Dati!$M$2:$M$451,Dati!$H$2:$H$451,$H100,Dati!$A$2:$A$451,$AF100),"-")</f>
        <v/>
      </c>
      <c r="CC100" s="22">
        <f>IF(AND($H100&lt;&gt;"",$AG100&lt;&gt;"",$H100&lt;&gt;$AG100,IFERROR(VLOOKUP($H100,areaCercaPuntiClassificaSquadra,3,FALSE),-1)=IFERROR(VLOOKUP($AG100,areaCercaPuntiClassificaSquadra,3,FALSE),-2)),SUMIFS(Dati!$F$2:$F$451,Dati!$A$2:$A$451,$H100,Dati!$H$2:$H$451,$AG100)+SUMIFS(Dati!$M$2:$M$451,Dati!$H$2:$H$451,$H100,Dati!$A$2:$A$451,$AG100),"-")</f>
        <v/>
      </c>
      <c r="CD100" s="22">
        <f>IF(AND($H100&lt;&gt;"",$AH100&lt;&gt;"",$H100&lt;&gt;$AH100,IFERROR(VLOOKUP($H100,areaCercaPuntiClassificaSquadra,3,FALSE),-1)=IFERROR(VLOOKUP($AH100,areaCercaPuntiClassificaSquadra,3,FALSE),-2)),SUMIFS(Dati!$F$2:$F$451,Dati!$A$2:$A$451,$H100,Dati!$H$2:$H$451,$AH100)+SUMIFS(Dati!$M$2:$M$451,Dati!$H$2:$H$451,$H100,Dati!$A$2:$A$451,$AH100),"-")</f>
        <v/>
      </c>
      <c r="CF100" s="22">
        <f>IF($C100="","",SUM(AK100:AT100))</f>
        <v/>
      </c>
    </row>
    <row r="101">
      <c r="B101" s="12" t="inlineStr">
        <is>
          <t>I08</t>
        </is>
      </c>
      <c r="C101" s="13" t="n"/>
      <c r="D101" s="14" t="n"/>
      <c r="E101" s="37" t="inlineStr">
        <is>
          <t>I</t>
        </is>
      </c>
      <c r="G101" s="38">
        <f>IF($C101="","",$E101&amp;(COUNTIFS(I$14:I$113,"&gt;"&amp;I101,E$14:E$113,"="&amp;E101,C$14:C$113,"&lt;&gt;")+COUNTIFS(I$14:I$113,"="&amp;I101,H$14:H$113,"&lt;="&amp;H101,E$14:E$113,"="&amp;E101,C$14:C$113,"&lt;&gt;")))</f>
        <v/>
      </c>
      <c r="H101" s="17">
        <f>IF($C101="","",IFERROR(LEFT($C101,FIND("-",$C101)-1),$C101))</f>
        <v/>
      </c>
      <c r="I101" s="12">
        <f>TEXT(1000000000+J101,"|0000000000|")&amp;TEXT(SUM(AK101:AT101),"0000000000|")&amp;IF(SUM(BU101:CD101)=0,"0000000000|",TEXT(ROUND(SUM(BI101:BR101)/SUM(BU101:CD101),4)*100000,"0000000000|"))&amp;IF(P101=0,"0000000000|",TEXT(ROUND(O101/P101,4)*100000,"0000000000|"))</f>
        <v/>
      </c>
      <c r="J101" s="38">
        <f>L101*constPuntiVittoria+M101*constPuntiSconfitta+N101*constPuntiForfait+IF(D101="",0,D101)</f>
        <v/>
      </c>
      <c r="K101" s="12">
        <f>SUM(L101:N101)</f>
        <v/>
      </c>
      <c r="L101" s="12">
        <f>IF($H101="",0,SUMIF(Dati!$A$2:$A$451,$H101,Dati!$B$2:$B$451)+SUMIF(Dati!$H$2:$H$451,$H101,Dati!$I$2:$I$451))</f>
        <v/>
      </c>
      <c r="M101" s="12">
        <f>IF($H101="",0,SUMIF(Dati!$A$2:$A$451,$H101,Dati!$D$2:$D$451)+SUMIF(Dati!$H$2:$H$451,$H101,Dati!$K$2:$K$451))</f>
        <v/>
      </c>
      <c r="N101" s="12">
        <f>IF($H101="",0,SUMIF(Dati!$A$2:$A$451,$H101,Dati!$C$2:$C$451)+SUMIF(Dati!$H$2:$H$451,$H101,Dati!$J$2:$J$451))</f>
        <v/>
      </c>
      <c r="O101" s="12">
        <f>IF($H101="",0,SUMIF(Dati!$A$2:$A$451,$H101,Dati!$E$2:$E$451)+SUMIF(Dati!$H$2:$H$451,$H101,Dati!$L$2:$L$451))</f>
        <v/>
      </c>
      <c r="P101" s="12">
        <f>IF($H101="",0,SUMIF(Dati!$A$2:$A$451,$H101,Dati!$F$2:$F$451)+SUMIF(Dati!$H$2:$H$451,$H101,Dati!$M$2:$M$451))</f>
        <v/>
      </c>
      <c r="Q101" s="12">
        <f>IF($H101="",0,SUMIF(Dati!$A$2:$A$451,$H101,Dati!$G$2:$G$451)+SUMIF(Dati!$H$2:$H$451,$H101,Dati!$N$2:$N$451))</f>
        <v/>
      </c>
      <c r="R101" s="12">
        <f>IF(K101=0,0,ROUND(O101/K101,2))</f>
        <v/>
      </c>
      <c r="S101" s="12">
        <f>IF(K101=0,0,ROUND(P101/K101,2))</f>
        <v/>
      </c>
      <c r="T101" s="12">
        <f>IF(K101=0,0,ROUND(Q101/K101,2))</f>
        <v/>
      </c>
      <c r="U101" s="12">
        <f>IF(COUNTIFS($E$14:$E$113,$E101,$J$14:$J$113,$J101,$C$14:$C$113,"&lt;&gt;")&lt;=1,"-",SUM(AK101:AT101)&amp;"-"&amp;SUM(AW101:BF101))</f>
        <v/>
      </c>
      <c r="V101" s="18">
        <f>IF(COUNTIFS($E$14:$E$113,$E101,$J$14:$J$113,$J101,$C$14:$C$113,"&lt;&gt;",$CF$14:$CF$113,$CF101)&lt;=1,"-",IF(SUM(BU101:CD101)=0,0,ROUND(SUM(BI101:BR101)/SUM(BU101:CD101),3)))</f>
        <v/>
      </c>
      <c r="W101" s="18">
        <f>IF(COUNTIFS($E$14:$E$113,$E101,$J$14:$J$113,$J101,$C$14:$C$113,"&lt;&gt;",$CF$14:$CF$113,$CF101,$V$14:$V$113,$V101)&lt;=1,"-",IF(P101=0,0,ROUND(O101/P101,3)))</f>
        <v/>
      </c>
      <c r="X101" s="19">
        <f>IF($C101="","",$E101&amp;"#"&amp;COUNTIFS($E$14:$E101,$E101,$C$14:$C101,"&lt;&gt;"))</f>
        <v/>
      </c>
      <c r="Y101" s="20">
        <f>IFERROR(INDEX($H$14:$H$113,MATCH($E101&amp;"#1",$X$14:$X$113,0)),"")</f>
        <v/>
      </c>
      <c r="Z101" s="20">
        <f>IFERROR(INDEX($H$14:$H$113,MATCH($E101&amp;"#2",$X$14:$X$113,0)),"")</f>
        <v/>
      </c>
      <c r="AA101" s="20">
        <f>IFERROR(INDEX($H$14:$H$113,MATCH($E101&amp;"#3",$X$14:$X$113,0)),"")</f>
        <v/>
      </c>
      <c r="AB101" s="20">
        <f>IFERROR(INDEX($H$14:$H$113,MATCH($E101&amp;"#4",$X$14:$X$113,0)),"")</f>
        <v/>
      </c>
      <c r="AC101" s="20">
        <f>IFERROR(INDEX($H$14:$H$113,MATCH($E101&amp;"#5",$X$14:$X$113,0)),"")</f>
        <v/>
      </c>
      <c r="AD101" s="20">
        <f>IFERROR(INDEX($H$14:$H$113,MATCH($E101&amp;"#6",$X$14:$X$113,0)),"")</f>
        <v/>
      </c>
      <c r="AE101" s="20">
        <f>IFERROR(INDEX($H$14:$H$113,MATCH($E101&amp;"#7",$X$14:$X$113,0)),"")</f>
        <v/>
      </c>
      <c r="AF101" s="20">
        <f>IFERROR(INDEX($H$14:$H$113,MATCH($E101&amp;"#8",$X$14:$X$113,0)),"")</f>
        <v/>
      </c>
      <c r="AG101" s="20">
        <f>IFERROR(INDEX($H$14:$H$113,MATCH($E101&amp;"#9",$X$14:$X$113,0)),"")</f>
        <v/>
      </c>
      <c r="AH101" s="20">
        <f>IFERROR(INDEX($H$14:$H$113,MATCH($E101&amp;"#10",$X$14:$X$113,0)),"")</f>
        <v/>
      </c>
      <c r="AJ101" s="21">
        <f>$C101</f>
        <v/>
      </c>
      <c r="AK101" s="22">
        <f>IF(AND($H101&lt;&gt;"",$Y101&lt;&gt;"",$H101&lt;&gt;$Y101,IFERROR(VLOOKUP($H101,areaCercaPuntiClassificaSquadra,3,FALSE),-1)=IFERROR(VLOOKUP($Y101,areaCercaPuntiClassificaSquadra,3,FALSE),-2)),SUMIFS(Dati!$B$2:$B$451,Dati!$A$2:$A$451,$H101,Dati!$H$2:$H$451,$Y101)+SUMIFS(Dati!$I$2:$I$451,Dati!$H$2:$H$451,$H101,Dati!$A$2:$A$451,$Y101),"-")</f>
        <v/>
      </c>
      <c r="AL101" s="22">
        <f>IF(AND($H101&lt;&gt;"",$Z101&lt;&gt;"",$H101&lt;&gt;$Z101,IFERROR(VLOOKUP($H101,areaCercaPuntiClassificaSquadra,3,FALSE),-1)=IFERROR(VLOOKUP($Z101,areaCercaPuntiClassificaSquadra,3,FALSE),-2)),SUMIFS(Dati!$B$2:$B$451,Dati!$A$2:$A$451,$H101,Dati!$H$2:$H$451,$Z101)+SUMIFS(Dati!$I$2:$I$451,Dati!$H$2:$H$451,$H101,Dati!$A$2:$A$451,$Z101),"-")</f>
        <v/>
      </c>
      <c r="AM101" s="22">
        <f>IF(AND($H101&lt;&gt;"",$AA101&lt;&gt;"",$H101&lt;&gt;$AA101,IFERROR(VLOOKUP($H101,areaCercaPuntiClassificaSquadra,3,FALSE),-1)=IFERROR(VLOOKUP($AA101,areaCercaPuntiClassificaSquadra,3,FALSE),-2)),SUMIFS(Dati!$B$2:$B$451,Dati!$A$2:$A$451,$H101,Dati!$H$2:$H$451,$AA101)+SUMIFS(Dati!$I$2:$I$451,Dati!$H$2:$H$451,$H101,Dati!$A$2:$A$451,$AA101),"-")</f>
        <v/>
      </c>
      <c r="AN101" s="22">
        <f>IF(AND($H101&lt;&gt;"",$AB101&lt;&gt;"",$H101&lt;&gt;$AB101,IFERROR(VLOOKUP($H101,areaCercaPuntiClassificaSquadra,3,FALSE),-1)=IFERROR(VLOOKUP($AB101,areaCercaPuntiClassificaSquadra,3,FALSE),-2)),SUMIFS(Dati!$B$2:$B$451,Dati!$A$2:$A$451,$H101,Dati!$H$2:$H$451,$AB101)+SUMIFS(Dati!$I$2:$I$451,Dati!$H$2:$H$451,$H101,Dati!$A$2:$A$451,$AB101),"-")</f>
        <v/>
      </c>
      <c r="AO101" s="22">
        <f>IF(AND($H101&lt;&gt;"",$AC101&lt;&gt;"",$H101&lt;&gt;$AC101,IFERROR(VLOOKUP($H101,areaCercaPuntiClassificaSquadra,3,FALSE),-1)=IFERROR(VLOOKUP($AC101,areaCercaPuntiClassificaSquadra,3,FALSE),-2)),SUMIFS(Dati!$B$2:$B$451,Dati!$A$2:$A$451,$H101,Dati!$H$2:$H$451,$AC101)+SUMIFS(Dati!$I$2:$I$451,Dati!$H$2:$H$451,$H101,Dati!$A$2:$A$451,$AC101),"-")</f>
        <v/>
      </c>
      <c r="AP101" s="22">
        <f>IF(AND($H101&lt;&gt;"",$AD101&lt;&gt;"",$H101&lt;&gt;$AD101,IFERROR(VLOOKUP($H101,areaCercaPuntiClassificaSquadra,3,FALSE),-1)=IFERROR(VLOOKUP($AD101,areaCercaPuntiClassificaSquadra,3,FALSE),-2)),SUMIFS(Dati!$B$2:$B$451,Dati!$A$2:$A$451,$H101,Dati!$H$2:$H$451,$AD101)+SUMIFS(Dati!$I$2:$I$451,Dati!$H$2:$H$451,$H101,Dati!$A$2:$A$451,$AD101),"-")</f>
        <v/>
      </c>
      <c r="AQ101" s="22">
        <f>IF(AND($H101&lt;&gt;"",$AE101&lt;&gt;"",$H101&lt;&gt;$AE101,IFERROR(VLOOKUP($H101,areaCercaPuntiClassificaSquadra,3,FALSE),-1)=IFERROR(VLOOKUP($AE101,areaCercaPuntiClassificaSquadra,3,FALSE),-2)),SUMIFS(Dati!$B$2:$B$451,Dati!$A$2:$A$451,$H101,Dati!$H$2:$H$451,$AE101)+SUMIFS(Dati!$I$2:$I$451,Dati!$H$2:$H$451,$H101,Dati!$A$2:$A$451,$AE101),"-")</f>
        <v/>
      </c>
      <c r="AR101" s="22">
        <f>IF(AND($H101&lt;&gt;"",$AF101&lt;&gt;"",$H101&lt;&gt;$AF101,IFERROR(VLOOKUP($H101,areaCercaPuntiClassificaSquadra,3,FALSE),-1)=IFERROR(VLOOKUP($AF101,areaCercaPuntiClassificaSquadra,3,FALSE),-2)),SUMIFS(Dati!$B$2:$B$451,Dati!$A$2:$A$451,$H101,Dati!$H$2:$H$451,$AF101)+SUMIFS(Dati!$I$2:$I$451,Dati!$H$2:$H$451,$H101,Dati!$A$2:$A$451,$AF101),"-")</f>
        <v/>
      </c>
      <c r="AS101" s="22">
        <f>IF(AND($H101&lt;&gt;"",$AG101&lt;&gt;"",$H101&lt;&gt;$AG101,IFERROR(VLOOKUP($H101,areaCercaPuntiClassificaSquadra,3,FALSE),-1)=IFERROR(VLOOKUP($AG101,areaCercaPuntiClassificaSquadra,3,FALSE),-2)),SUMIFS(Dati!$B$2:$B$451,Dati!$A$2:$A$451,$H101,Dati!$H$2:$H$451,$AG101)+SUMIFS(Dati!$I$2:$I$451,Dati!$H$2:$H$451,$H101,Dati!$A$2:$A$451,$AG101),"-")</f>
        <v/>
      </c>
      <c r="AT101" s="22">
        <f>IF(AND($H101&lt;&gt;"",$AH101&lt;&gt;"",$H101&lt;&gt;$AH101,IFERROR(VLOOKUP($H101,areaCercaPuntiClassificaSquadra,3,FALSE),-1)=IFERROR(VLOOKUP($AH101,areaCercaPuntiClassificaSquadra,3,FALSE),-2)),SUMIFS(Dati!$B$2:$B$451,Dati!$A$2:$A$451,$H101,Dati!$H$2:$H$451,$AH101)+SUMIFS(Dati!$I$2:$I$451,Dati!$H$2:$H$451,$H101,Dati!$A$2:$A$451,$AH101),"-")</f>
        <v/>
      </c>
      <c r="AV101" s="21">
        <f>$C101</f>
        <v/>
      </c>
      <c r="AW101" s="22">
        <f>IF(AND($H101&lt;&gt;"",$Y101&lt;&gt;"",$H101&lt;&gt;$Y101,IFERROR(VLOOKUP($H101,areaCercaPuntiClassificaSquadra,3,FALSE),-1)=IFERROR(VLOOKUP($Y101,areaCercaPuntiClassificaSquadra,3,FALSE),-2)),SUMIFS(Dati!$D$2:$D$451,Dati!$A$2:$A$451,$H101,Dati!$H$2:$H$451,$Y101)+SUMIFS(Dati!$K$2:$K$451,Dati!$H$2:$H$451,$H101,Dati!$A$2:$A$451,$Y101)+SUMIFS(Dati!$C$2:$C$451,Dati!$A$2:$A$451,$H101,Dati!$H$2:$H$451,$Y101)+SUMIFS(Dati!$J$2:$J$451,Dati!$H$2:$H$451,$H101,Dati!$A$2:$A$451,$Y101),"-")</f>
        <v/>
      </c>
      <c r="AX101" s="22">
        <f>IF(AND($H101&lt;&gt;"",$Z101&lt;&gt;"",$H101&lt;&gt;$Z101,IFERROR(VLOOKUP($H101,areaCercaPuntiClassificaSquadra,3,FALSE),-1)=IFERROR(VLOOKUP($Z101,areaCercaPuntiClassificaSquadra,3,FALSE),-2)),SUMIFS(Dati!$D$2:$D$451,Dati!$A$2:$A$451,$H101,Dati!$H$2:$H$451,$Z101)+SUMIFS(Dati!$K$2:$K$451,Dati!$H$2:$H$451,$H101,Dati!$A$2:$A$451,$Z101)+SUMIFS(Dati!$C$2:$C$451,Dati!$A$2:$A$451,$H101,Dati!$H$2:$H$451,$Z101)+SUMIFS(Dati!$J$2:$J$451,Dati!$H$2:$H$451,$H101,Dati!$A$2:$A$451,$Z101),"-")</f>
        <v/>
      </c>
      <c r="AY101" s="22">
        <f>IF(AND($H101&lt;&gt;"",$AA101&lt;&gt;"",$H101&lt;&gt;$AA101,IFERROR(VLOOKUP($H101,areaCercaPuntiClassificaSquadra,3,FALSE),-1)=IFERROR(VLOOKUP($AA101,areaCercaPuntiClassificaSquadra,3,FALSE),-2)),SUMIFS(Dati!$D$2:$D$451,Dati!$A$2:$A$451,$H101,Dati!$H$2:$H$451,$AA101)+SUMIFS(Dati!$K$2:$K$451,Dati!$H$2:$H$451,$H101,Dati!$A$2:$A$451,$AA101)+SUMIFS(Dati!$C$2:$C$451,Dati!$A$2:$A$451,$H101,Dati!$H$2:$H$451,$AA101)+SUMIFS(Dati!$J$2:$J$451,Dati!$H$2:$H$451,$H101,Dati!$A$2:$A$451,$AA101),"-")</f>
        <v/>
      </c>
      <c r="AZ101" s="22">
        <f>IF(AND($H101&lt;&gt;"",$AB101&lt;&gt;"",$H101&lt;&gt;$AB101,IFERROR(VLOOKUP($H101,areaCercaPuntiClassificaSquadra,3,FALSE),-1)=IFERROR(VLOOKUP($AB101,areaCercaPuntiClassificaSquadra,3,FALSE),-2)),SUMIFS(Dati!$D$2:$D$451,Dati!$A$2:$A$451,$H101,Dati!$H$2:$H$451,$AB101)+SUMIFS(Dati!$K$2:$K$451,Dati!$H$2:$H$451,$H101,Dati!$A$2:$A$451,$AB101)+SUMIFS(Dati!$C$2:$C$451,Dati!$A$2:$A$451,$H101,Dati!$H$2:$H$451,$AB101)+SUMIFS(Dati!$J$2:$J$451,Dati!$H$2:$H$451,$H101,Dati!$A$2:$A$451,$AB101),"-")</f>
        <v/>
      </c>
      <c r="BA101" s="22">
        <f>IF(AND($H101&lt;&gt;"",$AC101&lt;&gt;"",$H101&lt;&gt;$AC101,IFERROR(VLOOKUP($H101,areaCercaPuntiClassificaSquadra,3,FALSE),-1)=IFERROR(VLOOKUP($AC101,areaCercaPuntiClassificaSquadra,3,FALSE),-2)),SUMIFS(Dati!$D$2:$D$451,Dati!$A$2:$A$451,$H101,Dati!$H$2:$H$451,$AC101)+SUMIFS(Dati!$K$2:$K$451,Dati!$H$2:$H$451,$H101,Dati!$A$2:$A$451,$AC101)+SUMIFS(Dati!$C$2:$C$451,Dati!$A$2:$A$451,$H101,Dati!$H$2:$H$451,$AC101)+SUMIFS(Dati!$J$2:$J$451,Dati!$H$2:$H$451,$H101,Dati!$A$2:$A$451,$AC101),"-")</f>
        <v/>
      </c>
      <c r="BB101" s="22">
        <f>IF(AND($H101&lt;&gt;"",$AD101&lt;&gt;"",$H101&lt;&gt;$AD101,IFERROR(VLOOKUP($H101,areaCercaPuntiClassificaSquadra,3,FALSE),-1)=IFERROR(VLOOKUP($AD101,areaCercaPuntiClassificaSquadra,3,FALSE),-2)),SUMIFS(Dati!$D$2:$D$451,Dati!$A$2:$A$451,$H101,Dati!$H$2:$H$451,$AD101)+SUMIFS(Dati!$K$2:$K$451,Dati!$H$2:$H$451,$H101,Dati!$A$2:$A$451,$AD101)+SUMIFS(Dati!$C$2:$C$451,Dati!$A$2:$A$451,$H101,Dati!$H$2:$H$451,$AD101)+SUMIFS(Dati!$J$2:$J$451,Dati!$H$2:$H$451,$H101,Dati!$A$2:$A$451,$AD101),"-")</f>
        <v/>
      </c>
      <c r="BC101" s="22">
        <f>IF(AND($H101&lt;&gt;"",$AE101&lt;&gt;"",$H101&lt;&gt;$AE101,IFERROR(VLOOKUP($H101,areaCercaPuntiClassificaSquadra,3,FALSE),-1)=IFERROR(VLOOKUP($AE101,areaCercaPuntiClassificaSquadra,3,FALSE),-2)),SUMIFS(Dati!$D$2:$D$451,Dati!$A$2:$A$451,$H101,Dati!$H$2:$H$451,$AE101)+SUMIFS(Dati!$K$2:$K$451,Dati!$H$2:$H$451,$H101,Dati!$A$2:$A$451,$AE101)+SUMIFS(Dati!$C$2:$C$451,Dati!$A$2:$A$451,$H101,Dati!$H$2:$H$451,$AE101)+SUMIFS(Dati!$J$2:$J$451,Dati!$H$2:$H$451,$H101,Dati!$A$2:$A$451,$AE101),"-")</f>
        <v/>
      </c>
      <c r="BD101" s="22">
        <f>IF(AND($H101&lt;&gt;"",$AF101&lt;&gt;"",$H101&lt;&gt;$AF101,IFERROR(VLOOKUP($H101,areaCercaPuntiClassificaSquadra,3,FALSE),-1)=IFERROR(VLOOKUP($AF101,areaCercaPuntiClassificaSquadra,3,FALSE),-2)),SUMIFS(Dati!$D$2:$D$451,Dati!$A$2:$A$451,$H101,Dati!$H$2:$H$451,$AF101)+SUMIFS(Dati!$K$2:$K$451,Dati!$H$2:$H$451,$H101,Dati!$A$2:$A$451,$AF101)+SUMIFS(Dati!$C$2:$C$451,Dati!$A$2:$A$451,$H101,Dati!$H$2:$H$451,$AF101)+SUMIFS(Dati!$J$2:$J$451,Dati!$H$2:$H$451,$H101,Dati!$A$2:$A$451,$AF101),"-")</f>
        <v/>
      </c>
      <c r="BE101" s="22">
        <f>IF(AND($H101&lt;&gt;"",$AG101&lt;&gt;"",$H101&lt;&gt;$AG101,IFERROR(VLOOKUP($H101,areaCercaPuntiClassificaSquadra,3,FALSE),-1)=IFERROR(VLOOKUP($AG101,areaCercaPuntiClassificaSquadra,3,FALSE),-2)),SUMIFS(Dati!$D$2:$D$451,Dati!$A$2:$A$451,$H101,Dati!$H$2:$H$451,$AG101)+SUMIFS(Dati!$K$2:$K$451,Dati!$H$2:$H$451,$H101,Dati!$A$2:$A$451,$AG101)+SUMIFS(Dati!$C$2:$C$451,Dati!$A$2:$A$451,$H101,Dati!$H$2:$H$451,$AG101)+SUMIFS(Dati!$J$2:$J$451,Dati!$H$2:$H$451,$H101,Dati!$A$2:$A$451,$AG101),"-")</f>
        <v/>
      </c>
      <c r="BF101" s="22">
        <f>IF(AND($H101&lt;&gt;"",$AH101&lt;&gt;"",$H101&lt;&gt;$AH101,IFERROR(VLOOKUP($H101,areaCercaPuntiClassificaSquadra,3,FALSE),-1)=IFERROR(VLOOKUP($AH101,areaCercaPuntiClassificaSquadra,3,FALSE),-2)),SUMIFS(Dati!$D$2:$D$451,Dati!$A$2:$A$451,$H101,Dati!$H$2:$H$451,$AH101)+SUMIFS(Dati!$K$2:$K$451,Dati!$H$2:$H$451,$H101,Dati!$A$2:$A$451,$AH101)+SUMIFS(Dati!$C$2:$C$451,Dati!$A$2:$A$451,$H101,Dati!$H$2:$H$451,$AH101)+SUMIFS(Dati!$J$2:$J$451,Dati!$H$2:$H$451,$H101,Dati!$A$2:$A$451,$AH101),"-")</f>
        <v/>
      </c>
      <c r="BH101" s="21">
        <f>$C101</f>
        <v/>
      </c>
      <c r="BI101" s="22">
        <f>IF(AND($H101&lt;&gt;"",$Y101&lt;&gt;"",$H101&lt;&gt;$Y101,IFERROR(VLOOKUP($H101,areaCercaPuntiClassificaSquadra,3,FALSE),-1)=IFERROR(VLOOKUP($Y101,areaCercaPuntiClassificaSquadra,3,FALSE),-2)),SUMIFS(Dati!$E$2:$E$451,Dati!$A$2:$A$451,$H101,Dati!$H$2:$H$451,$Y101)+SUMIFS(Dati!$L$2:$L$451,Dati!$H$2:$H$451,$H101,Dati!$A$2:$A$451,$Y101),"-")</f>
        <v/>
      </c>
      <c r="BJ101" s="22">
        <f>IF(AND($H101&lt;&gt;"",$Z101&lt;&gt;"",$H101&lt;&gt;$Z101,IFERROR(VLOOKUP($H101,areaCercaPuntiClassificaSquadra,3,FALSE),-1)=IFERROR(VLOOKUP($Z101,areaCercaPuntiClassificaSquadra,3,FALSE),-2)),SUMIFS(Dati!$E$2:$E$451,Dati!$A$2:$A$451,$H101,Dati!$H$2:$H$451,$Z101)+SUMIFS(Dati!$L$2:$L$451,Dati!$H$2:$H$451,$H101,Dati!$A$2:$A$451,$Z101),"-")</f>
        <v/>
      </c>
      <c r="BK101" s="22">
        <f>IF(AND($H101&lt;&gt;"",$AA101&lt;&gt;"",$H101&lt;&gt;$AA101,IFERROR(VLOOKUP($H101,areaCercaPuntiClassificaSquadra,3,FALSE),-1)=IFERROR(VLOOKUP($AA101,areaCercaPuntiClassificaSquadra,3,FALSE),-2)),SUMIFS(Dati!$E$2:$E$451,Dati!$A$2:$A$451,$H101,Dati!$H$2:$H$451,$AA101)+SUMIFS(Dati!$L$2:$L$451,Dati!$H$2:$H$451,$H101,Dati!$A$2:$A$451,$AA101),"-")</f>
        <v/>
      </c>
      <c r="BL101" s="22">
        <f>IF(AND($H101&lt;&gt;"",$AB101&lt;&gt;"",$H101&lt;&gt;$AB101,IFERROR(VLOOKUP($H101,areaCercaPuntiClassificaSquadra,3,FALSE),-1)=IFERROR(VLOOKUP($AB101,areaCercaPuntiClassificaSquadra,3,FALSE),-2)),SUMIFS(Dati!$E$2:$E$451,Dati!$A$2:$A$451,$H101,Dati!$H$2:$H$451,$AB101)+SUMIFS(Dati!$L$2:$L$451,Dati!$H$2:$H$451,$H101,Dati!$A$2:$A$451,$AB101),"-")</f>
        <v/>
      </c>
      <c r="BM101" s="22">
        <f>IF(AND($H101&lt;&gt;"",$AC101&lt;&gt;"",$H101&lt;&gt;$AC101,IFERROR(VLOOKUP($H101,areaCercaPuntiClassificaSquadra,3,FALSE),-1)=IFERROR(VLOOKUP($AC101,areaCercaPuntiClassificaSquadra,3,FALSE),-2)),SUMIFS(Dati!$E$2:$E$451,Dati!$A$2:$A$451,$H101,Dati!$H$2:$H$451,$AC101)+SUMIFS(Dati!$L$2:$L$451,Dati!$H$2:$H$451,$H101,Dati!$A$2:$A$451,$AC101),"-")</f>
        <v/>
      </c>
      <c r="BN101" s="22">
        <f>IF(AND($H101&lt;&gt;"",$AD101&lt;&gt;"",$H101&lt;&gt;$AD101,IFERROR(VLOOKUP($H101,areaCercaPuntiClassificaSquadra,3,FALSE),-1)=IFERROR(VLOOKUP($AD101,areaCercaPuntiClassificaSquadra,3,FALSE),-2)),SUMIFS(Dati!$E$2:$E$451,Dati!$A$2:$A$451,$H101,Dati!$H$2:$H$451,$AD101)+SUMIFS(Dati!$L$2:$L$451,Dati!$H$2:$H$451,$H101,Dati!$A$2:$A$451,$AD101),"-")</f>
        <v/>
      </c>
      <c r="BO101" s="22">
        <f>IF(AND($H101&lt;&gt;"",$AE101&lt;&gt;"",$H101&lt;&gt;$AE101,IFERROR(VLOOKUP($H101,areaCercaPuntiClassificaSquadra,3,FALSE),-1)=IFERROR(VLOOKUP($AE101,areaCercaPuntiClassificaSquadra,3,FALSE),-2)),SUMIFS(Dati!$E$2:$E$451,Dati!$A$2:$A$451,$H101,Dati!$H$2:$H$451,$AE101)+SUMIFS(Dati!$L$2:$L$451,Dati!$H$2:$H$451,$H101,Dati!$A$2:$A$451,$AE101),"-")</f>
        <v/>
      </c>
      <c r="BP101" s="22">
        <f>IF(AND($H101&lt;&gt;"",$AF101&lt;&gt;"",$H101&lt;&gt;$AF101,IFERROR(VLOOKUP($H101,areaCercaPuntiClassificaSquadra,3,FALSE),-1)=IFERROR(VLOOKUP($AF101,areaCercaPuntiClassificaSquadra,3,FALSE),-2)),SUMIFS(Dati!$E$2:$E$451,Dati!$A$2:$A$451,$H101,Dati!$H$2:$H$451,$AF101)+SUMIFS(Dati!$L$2:$L$451,Dati!$H$2:$H$451,$H101,Dati!$A$2:$A$451,$AF101),"-")</f>
        <v/>
      </c>
      <c r="BQ101" s="22">
        <f>IF(AND($H101&lt;&gt;"",$AG101&lt;&gt;"",$H101&lt;&gt;$AG101,IFERROR(VLOOKUP($H101,areaCercaPuntiClassificaSquadra,3,FALSE),-1)=IFERROR(VLOOKUP($AG101,areaCercaPuntiClassificaSquadra,3,FALSE),-2)),SUMIFS(Dati!$E$2:$E$451,Dati!$A$2:$A$451,$H101,Dati!$H$2:$H$451,$AG101)+SUMIFS(Dati!$L$2:$L$451,Dati!$H$2:$H$451,$H101,Dati!$A$2:$A$451,$AG101),"-")</f>
        <v/>
      </c>
      <c r="BR101" s="22">
        <f>IF(AND($H101&lt;&gt;"",$AH101&lt;&gt;"",$H101&lt;&gt;$AH101,IFERROR(VLOOKUP($H101,areaCercaPuntiClassificaSquadra,3,FALSE),-1)=IFERROR(VLOOKUP($AH101,areaCercaPuntiClassificaSquadra,3,FALSE),-2)),SUMIFS(Dati!$E$2:$E$451,Dati!$A$2:$A$451,$H101,Dati!$H$2:$H$451,$AH101)+SUMIFS(Dati!$L$2:$L$451,Dati!$H$2:$H$451,$H101,Dati!$A$2:$A$451,$AH101),"-")</f>
        <v/>
      </c>
      <c r="BT101" s="21">
        <f>$C101</f>
        <v/>
      </c>
      <c r="BU101" s="22">
        <f>IF(AND($H101&lt;&gt;"",$Y101&lt;&gt;"",$H101&lt;&gt;$Y101,IFERROR(VLOOKUP($H101,areaCercaPuntiClassificaSquadra,3,FALSE),-1)=IFERROR(VLOOKUP($Y101,areaCercaPuntiClassificaSquadra,3,FALSE),-2)),SUMIFS(Dati!$F$2:$F$451,Dati!$A$2:$A$451,$H101,Dati!$H$2:$H$451,$Y101)+SUMIFS(Dati!$M$2:$M$451,Dati!$H$2:$H$451,$H101,Dati!$A$2:$A$451,$Y101),"-")</f>
        <v/>
      </c>
      <c r="BV101" s="22">
        <f>IF(AND($H101&lt;&gt;"",$Z101&lt;&gt;"",$H101&lt;&gt;$Z101,IFERROR(VLOOKUP($H101,areaCercaPuntiClassificaSquadra,3,FALSE),-1)=IFERROR(VLOOKUP($Z101,areaCercaPuntiClassificaSquadra,3,FALSE),-2)),SUMIFS(Dati!$F$2:$F$451,Dati!$A$2:$A$451,$H101,Dati!$H$2:$H$451,$Z101)+SUMIFS(Dati!$M$2:$M$451,Dati!$H$2:$H$451,$H101,Dati!$A$2:$A$451,$Z101),"-")</f>
        <v/>
      </c>
      <c r="BW101" s="22">
        <f>IF(AND($H101&lt;&gt;"",$AA101&lt;&gt;"",$H101&lt;&gt;$AA101,IFERROR(VLOOKUP($H101,areaCercaPuntiClassificaSquadra,3,FALSE),-1)=IFERROR(VLOOKUP($AA101,areaCercaPuntiClassificaSquadra,3,FALSE),-2)),SUMIFS(Dati!$F$2:$F$451,Dati!$A$2:$A$451,$H101,Dati!$H$2:$H$451,$AA101)+SUMIFS(Dati!$M$2:$M$451,Dati!$H$2:$H$451,$H101,Dati!$A$2:$A$451,$AA101),"-")</f>
        <v/>
      </c>
      <c r="BX101" s="22">
        <f>IF(AND($H101&lt;&gt;"",$AB101&lt;&gt;"",$H101&lt;&gt;$AB101,IFERROR(VLOOKUP($H101,areaCercaPuntiClassificaSquadra,3,FALSE),-1)=IFERROR(VLOOKUP($AB101,areaCercaPuntiClassificaSquadra,3,FALSE),-2)),SUMIFS(Dati!$F$2:$F$451,Dati!$A$2:$A$451,$H101,Dati!$H$2:$H$451,$AB101)+SUMIFS(Dati!$M$2:$M$451,Dati!$H$2:$H$451,$H101,Dati!$A$2:$A$451,$AB101),"-")</f>
        <v/>
      </c>
      <c r="BY101" s="22">
        <f>IF(AND($H101&lt;&gt;"",$AC101&lt;&gt;"",$H101&lt;&gt;$AC101,IFERROR(VLOOKUP($H101,areaCercaPuntiClassificaSquadra,3,FALSE),-1)=IFERROR(VLOOKUP($AC101,areaCercaPuntiClassificaSquadra,3,FALSE),-2)),SUMIFS(Dati!$F$2:$F$451,Dati!$A$2:$A$451,$H101,Dati!$H$2:$H$451,$AC101)+SUMIFS(Dati!$M$2:$M$451,Dati!$H$2:$H$451,$H101,Dati!$A$2:$A$451,$AC101),"-")</f>
        <v/>
      </c>
      <c r="BZ101" s="22">
        <f>IF(AND($H101&lt;&gt;"",$AD101&lt;&gt;"",$H101&lt;&gt;$AD101,IFERROR(VLOOKUP($H101,areaCercaPuntiClassificaSquadra,3,FALSE),-1)=IFERROR(VLOOKUP($AD101,areaCercaPuntiClassificaSquadra,3,FALSE),-2)),SUMIFS(Dati!$F$2:$F$451,Dati!$A$2:$A$451,$H101,Dati!$H$2:$H$451,$AD101)+SUMIFS(Dati!$M$2:$M$451,Dati!$H$2:$H$451,$H101,Dati!$A$2:$A$451,$AD101),"-")</f>
        <v/>
      </c>
      <c r="CA101" s="22">
        <f>IF(AND($H101&lt;&gt;"",$AE101&lt;&gt;"",$H101&lt;&gt;$AE101,IFERROR(VLOOKUP($H101,areaCercaPuntiClassificaSquadra,3,FALSE),-1)=IFERROR(VLOOKUP($AE101,areaCercaPuntiClassificaSquadra,3,FALSE),-2)),SUMIFS(Dati!$F$2:$F$451,Dati!$A$2:$A$451,$H101,Dati!$H$2:$H$451,$AE101)+SUMIFS(Dati!$M$2:$M$451,Dati!$H$2:$H$451,$H101,Dati!$A$2:$A$451,$AE101),"-")</f>
        <v/>
      </c>
      <c r="CB101" s="22">
        <f>IF(AND($H101&lt;&gt;"",$AF101&lt;&gt;"",$H101&lt;&gt;$AF101,IFERROR(VLOOKUP($H101,areaCercaPuntiClassificaSquadra,3,FALSE),-1)=IFERROR(VLOOKUP($AF101,areaCercaPuntiClassificaSquadra,3,FALSE),-2)),SUMIFS(Dati!$F$2:$F$451,Dati!$A$2:$A$451,$H101,Dati!$H$2:$H$451,$AF101)+SUMIFS(Dati!$M$2:$M$451,Dati!$H$2:$H$451,$H101,Dati!$A$2:$A$451,$AF101),"-")</f>
        <v/>
      </c>
      <c r="CC101" s="22">
        <f>IF(AND($H101&lt;&gt;"",$AG101&lt;&gt;"",$H101&lt;&gt;$AG101,IFERROR(VLOOKUP($H101,areaCercaPuntiClassificaSquadra,3,FALSE),-1)=IFERROR(VLOOKUP($AG101,areaCercaPuntiClassificaSquadra,3,FALSE),-2)),SUMIFS(Dati!$F$2:$F$451,Dati!$A$2:$A$451,$H101,Dati!$H$2:$H$451,$AG101)+SUMIFS(Dati!$M$2:$M$451,Dati!$H$2:$H$451,$H101,Dati!$A$2:$A$451,$AG101),"-")</f>
        <v/>
      </c>
      <c r="CD101" s="22">
        <f>IF(AND($H101&lt;&gt;"",$AH101&lt;&gt;"",$H101&lt;&gt;$AH101,IFERROR(VLOOKUP($H101,areaCercaPuntiClassificaSquadra,3,FALSE),-1)=IFERROR(VLOOKUP($AH101,areaCercaPuntiClassificaSquadra,3,FALSE),-2)),SUMIFS(Dati!$F$2:$F$451,Dati!$A$2:$A$451,$H101,Dati!$H$2:$H$451,$AH101)+SUMIFS(Dati!$M$2:$M$451,Dati!$H$2:$H$451,$H101,Dati!$A$2:$A$451,$AH101),"-")</f>
        <v/>
      </c>
      <c r="CF101" s="22">
        <f>IF($C101="","",SUM(AK101:AT101))</f>
        <v/>
      </c>
    </row>
    <row r="102">
      <c r="B102" s="12" t="inlineStr">
        <is>
          <t>I09</t>
        </is>
      </c>
      <c r="C102" s="13" t="n"/>
      <c r="D102" s="14" t="n"/>
      <c r="E102" s="37" t="inlineStr">
        <is>
          <t>I</t>
        </is>
      </c>
      <c r="G102" s="38">
        <f>IF($C102="","",$E102&amp;(COUNTIFS(I$14:I$113,"&gt;"&amp;I102,E$14:E$113,"="&amp;E102,C$14:C$113,"&lt;&gt;")+COUNTIFS(I$14:I$113,"="&amp;I102,H$14:H$113,"&lt;="&amp;H102,E$14:E$113,"="&amp;E102,C$14:C$113,"&lt;&gt;")))</f>
        <v/>
      </c>
      <c r="H102" s="17">
        <f>IF($C102="","",IFERROR(LEFT($C102,FIND("-",$C102)-1),$C102))</f>
        <v/>
      </c>
      <c r="I102" s="12">
        <f>TEXT(1000000000+J102,"|0000000000|")&amp;TEXT(SUM(AK102:AT102),"0000000000|")&amp;IF(SUM(BU102:CD102)=0,"0000000000|",TEXT(ROUND(SUM(BI102:BR102)/SUM(BU102:CD102),4)*100000,"0000000000|"))&amp;IF(P102=0,"0000000000|",TEXT(ROUND(O102/P102,4)*100000,"0000000000|"))</f>
        <v/>
      </c>
      <c r="J102" s="38">
        <f>L102*constPuntiVittoria+M102*constPuntiSconfitta+N102*constPuntiForfait+IF(D102="",0,D102)</f>
        <v/>
      </c>
      <c r="K102" s="12">
        <f>SUM(L102:N102)</f>
        <v/>
      </c>
      <c r="L102" s="12">
        <f>IF($H102="",0,SUMIF(Dati!$A$2:$A$451,$H102,Dati!$B$2:$B$451)+SUMIF(Dati!$H$2:$H$451,$H102,Dati!$I$2:$I$451))</f>
        <v/>
      </c>
      <c r="M102" s="12">
        <f>IF($H102="",0,SUMIF(Dati!$A$2:$A$451,$H102,Dati!$D$2:$D$451)+SUMIF(Dati!$H$2:$H$451,$H102,Dati!$K$2:$K$451))</f>
        <v/>
      </c>
      <c r="N102" s="12">
        <f>IF($H102="",0,SUMIF(Dati!$A$2:$A$451,$H102,Dati!$C$2:$C$451)+SUMIF(Dati!$H$2:$H$451,$H102,Dati!$J$2:$J$451))</f>
        <v/>
      </c>
      <c r="O102" s="12">
        <f>IF($H102="",0,SUMIF(Dati!$A$2:$A$451,$H102,Dati!$E$2:$E$451)+SUMIF(Dati!$H$2:$H$451,$H102,Dati!$L$2:$L$451))</f>
        <v/>
      </c>
      <c r="P102" s="12">
        <f>IF($H102="",0,SUMIF(Dati!$A$2:$A$451,$H102,Dati!$F$2:$F$451)+SUMIF(Dati!$H$2:$H$451,$H102,Dati!$M$2:$M$451))</f>
        <v/>
      </c>
      <c r="Q102" s="12">
        <f>IF($H102="",0,SUMIF(Dati!$A$2:$A$451,$H102,Dati!$G$2:$G$451)+SUMIF(Dati!$H$2:$H$451,$H102,Dati!$N$2:$N$451))</f>
        <v/>
      </c>
      <c r="R102" s="12">
        <f>IF(K102=0,0,ROUND(O102/K102,2))</f>
        <v/>
      </c>
      <c r="S102" s="12">
        <f>IF(K102=0,0,ROUND(P102/K102,2))</f>
        <v/>
      </c>
      <c r="T102" s="12">
        <f>IF(K102=0,0,ROUND(Q102/K102,2))</f>
        <v/>
      </c>
      <c r="U102" s="12">
        <f>IF(COUNTIFS($E$14:$E$113,$E102,$J$14:$J$113,$J102,$C$14:$C$113,"&lt;&gt;")&lt;=1,"-",SUM(AK102:AT102)&amp;"-"&amp;SUM(AW102:BF102))</f>
        <v/>
      </c>
      <c r="V102" s="18">
        <f>IF(COUNTIFS($E$14:$E$113,$E102,$J$14:$J$113,$J102,$C$14:$C$113,"&lt;&gt;",$CF$14:$CF$113,$CF102)&lt;=1,"-",IF(SUM(BU102:CD102)=0,0,ROUND(SUM(BI102:BR102)/SUM(BU102:CD102),3)))</f>
        <v/>
      </c>
      <c r="W102" s="18">
        <f>IF(COUNTIFS($E$14:$E$113,$E102,$J$14:$J$113,$J102,$C$14:$C$113,"&lt;&gt;",$CF$14:$CF$113,$CF102,$V$14:$V$113,$V102)&lt;=1,"-",IF(P102=0,0,ROUND(O102/P102,3)))</f>
        <v/>
      </c>
      <c r="X102" s="19">
        <f>IF($C102="","",$E102&amp;"#"&amp;COUNTIFS($E$14:$E102,$E102,$C$14:$C102,"&lt;&gt;"))</f>
        <v/>
      </c>
      <c r="Y102" s="20">
        <f>IFERROR(INDEX($H$14:$H$113,MATCH($E102&amp;"#1",$X$14:$X$113,0)),"")</f>
        <v/>
      </c>
      <c r="Z102" s="20">
        <f>IFERROR(INDEX($H$14:$H$113,MATCH($E102&amp;"#2",$X$14:$X$113,0)),"")</f>
        <v/>
      </c>
      <c r="AA102" s="20">
        <f>IFERROR(INDEX($H$14:$H$113,MATCH($E102&amp;"#3",$X$14:$X$113,0)),"")</f>
        <v/>
      </c>
      <c r="AB102" s="20">
        <f>IFERROR(INDEX($H$14:$H$113,MATCH($E102&amp;"#4",$X$14:$X$113,0)),"")</f>
        <v/>
      </c>
      <c r="AC102" s="20">
        <f>IFERROR(INDEX($H$14:$H$113,MATCH($E102&amp;"#5",$X$14:$X$113,0)),"")</f>
        <v/>
      </c>
      <c r="AD102" s="20">
        <f>IFERROR(INDEX($H$14:$H$113,MATCH($E102&amp;"#6",$X$14:$X$113,0)),"")</f>
        <v/>
      </c>
      <c r="AE102" s="20">
        <f>IFERROR(INDEX($H$14:$H$113,MATCH($E102&amp;"#7",$X$14:$X$113,0)),"")</f>
        <v/>
      </c>
      <c r="AF102" s="20">
        <f>IFERROR(INDEX($H$14:$H$113,MATCH($E102&amp;"#8",$X$14:$X$113,0)),"")</f>
        <v/>
      </c>
      <c r="AG102" s="20">
        <f>IFERROR(INDEX($H$14:$H$113,MATCH($E102&amp;"#9",$X$14:$X$113,0)),"")</f>
        <v/>
      </c>
      <c r="AH102" s="20">
        <f>IFERROR(INDEX($H$14:$H$113,MATCH($E102&amp;"#10",$X$14:$X$113,0)),"")</f>
        <v/>
      </c>
      <c r="AJ102" s="21">
        <f>$C102</f>
        <v/>
      </c>
      <c r="AK102" s="22">
        <f>IF(AND($H102&lt;&gt;"",$Y102&lt;&gt;"",$H102&lt;&gt;$Y102,IFERROR(VLOOKUP($H102,areaCercaPuntiClassificaSquadra,3,FALSE),-1)=IFERROR(VLOOKUP($Y102,areaCercaPuntiClassificaSquadra,3,FALSE),-2)),SUMIFS(Dati!$B$2:$B$451,Dati!$A$2:$A$451,$H102,Dati!$H$2:$H$451,$Y102)+SUMIFS(Dati!$I$2:$I$451,Dati!$H$2:$H$451,$H102,Dati!$A$2:$A$451,$Y102),"-")</f>
        <v/>
      </c>
      <c r="AL102" s="22">
        <f>IF(AND($H102&lt;&gt;"",$Z102&lt;&gt;"",$H102&lt;&gt;$Z102,IFERROR(VLOOKUP($H102,areaCercaPuntiClassificaSquadra,3,FALSE),-1)=IFERROR(VLOOKUP($Z102,areaCercaPuntiClassificaSquadra,3,FALSE),-2)),SUMIFS(Dati!$B$2:$B$451,Dati!$A$2:$A$451,$H102,Dati!$H$2:$H$451,$Z102)+SUMIFS(Dati!$I$2:$I$451,Dati!$H$2:$H$451,$H102,Dati!$A$2:$A$451,$Z102),"-")</f>
        <v/>
      </c>
      <c r="AM102" s="22">
        <f>IF(AND($H102&lt;&gt;"",$AA102&lt;&gt;"",$H102&lt;&gt;$AA102,IFERROR(VLOOKUP($H102,areaCercaPuntiClassificaSquadra,3,FALSE),-1)=IFERROR(VLOOKUP($AA102,areaCercaPuntiClassificaSquadra,3,FALSE),-2)),SUMIFS(Dati!$B$2:$B$451,Dati!$A$2:$A$451,$H102,Dati!$H$2:$H$451,$AA102)+SUMIFS(Dati!$I$2:$I$451,Dati!$H$2:$H$451,$H102,Dati!$A$2:$A$451,$AA102),"-")</f>
        <v/>
      </c>
      <c r="AN102" s="22">
        <f>IF(AND($H102&lt;&gt;"",$AB102&lt;&gt;"",$H102&lt;&gt;$AB102,IFERROR(VLOOKUP($H102,areaCercaPuntiClassificaSquadra,3,FALSE),-1)=IFERROR(VLOOKUP($AB102,areaCercaPuntiClassificaSquadra,3,FALSE),-2)),SUMIFS(Dati!$B$2:$B$451,Dati!$A$2:$A$451,$H102,Dati!$H$2:$H$451,$AB102)+SUMIFS(Dati!$I$2:$I$451,Dati!$H$2:$H$451,$H102,Dati!$A$2:$A$451,$AB102),"-")</f>
        <v/>
      </c>
      <c r="AO102" s="22">
        <f>IF(AND($H102&lt;&gt;"",$AC102&lt;&gt;"",$H102&lt;&gt;$AC102,IFERROR(VLOOKUP($H102,areaCercaPuntiClassificaSquadra,3,FALSE),-1)=IFERROR(VLOOKUP($AC102,areaCercaPuntiClassificaSquadra,3,FALSE),-2)),SUMIFS(Dati!$B$2:$B$451,Dati!$A$2:$A$451,$H102,Dati!$H$2:$H$451,$AC102)+SUMIFS(Dati!$I$2:$I$451,Dati!$H$2:$H$451,$H102,Dati!$A$2:$A$451,$AC102),"-")</f>
        <v/>
      </c>
      <c r="AP102" s="22">
        <f>IF(AND($H102&lt;&gt;"",$AD102&lt;&gt;"",$H102&lt;&gt;$AD102,IFERROR(VLOOKUP($H102,areaCercaPuntiClassificaSquadra,3,FALSE),-1)=IFERROR(VLOOKUP($AD102,areaCercaPuntiClassificaSquadra,3,FALSE),-2)),SUMIFS(Dati!$B$2:$B$451,Dati!$A$2:$A$451,$H102,Dati!$H$2:$H$451,$AD102)+SUMIFS(Dati!$I$2:$I$451,Dati!$H$2:$H$451,$H102,Dati!$A$2:$A$451,$AD102),"-")</f>
        <v/>
      </c>
      <c r="AQ102" s="22">
        <f>IF(AND($H102&lt;&gt;"",$AE102&lt;&gt;"",$H102&lt;&gt;$AE102,IFERROR(VLOOKUP($H102,areaCercaPuntiClassificaSquadra,3,FALSE),-1)=IFERROR(VLOOKUP($AE102,areaCercaPuntiClassificaSquadra,3,FALSE),-2)),SUMIFS(Dati!$B$2:$B$451,Dati!$A$2:$A$451,$H102,Dati!$H$2:$H$451,$AE102)+SUMIFS(Dati!$I$2:$I$451,Dati!$H$2:$H$451,$H102,Dati!$A$2:$A$451,$AE102),"-")</f>
        <v/>
      </c>
      <c r="AR102" s="22">
        <f>IF(AND($H102&lt;&gt;"",$AF102&lt;&gt;"",$H102&lt;&gt;$AF102,IFERROR(VLOOKUP($H102,areaCercaPuntiClassificaSquadra,3,FALSE),-1)=IFERROR(VLOOKUP($AF102,areaCercaPuntiClassificaSquadra,3,FALSE),-2)),SUMIFS(Dati!$B$2:$B$451,Dati!$A$2:$A$451,$H102,Dati!$H$2:$H$451,$AF102)+SUMIFS(Dati!$I$2:$I$451,Dati!$H$2:$H$451,$H102,Dati!$A$2:$A$451,$AF102),"-")</f>
        <v/>
      </c>
      <c r="AS102" s="22">
        <f>IF(AND($H102&lt;&gt;"",$AG102&lt;&gt;"",$H102&lt;&gt;$AG102,IFERROR(VLOOKUP($H102,areaCercaPuntiClassificaSquadra,3,FALSE),-1)=IFERROR(VLOOKUP($AG102,areaCercaPuntiClassificaSquadra,3,FALSE),-2)),SUMIFS(Dati!$B$2:$B$451,Dati!$A$2:$A$451,$H102,Dati!$H$2:$H$451,$AG102)+SUMIFS(Dati!$I$2:$I$451,Dati!$H$2:$H$451,$H102,Dati!$A$2:$A$451,$AG102),"-")</f>
        <v/>
      </c>
      <c r="AT102" s="22">
        <f>IF(AND($H102&lt;&gt;"",$AH102&lt;&gt;"",$H102&lt;&gt;$AH102,IFERROR(VLOOKUP($H102,areaCercaPuntiClassificaSquadra,3,FALSE),-1)=IFERROR(VLOOKUP($AH102,areaCercaPuntiClassificaSquadra,3,FALSE),-2)),SUMIFS(Dati!$B$2:$B$451,Dati!$A$2:$A$451,$H102,Dati!$H$2:$H$451,$AH102)+SUMIFS(Dati!$I$2:$I$451,Dati!$H$2:$H$451,$H102,Dati!$A$2:$A$451,$AH102),"-")</f>
        <v/>
      </c>
      <c r="AV102" s="21">
        <f>$C102</f>
        <v/>
      </c>
      <c r="AW102" s="22">
        <f>IF(AND($H102&lt;&gt;"",$Y102&lt;&gt;"",$H102&lt;&gt;$Y102,IFERROR(VLOOKUP($H102,areaCercaPuntiClassificaSquadra,3,FALSE),-1)=IFERROR(VLOOKUP($Y102,areaCercaPuntiClassificaSquadra,3,FALSE),-2)),SUMIFS(Dati!$D$2:$D$451,Dati!$A$2:$A$451,$H102,Dati!$H$2:$H$451,$Y102)+SUMIFS(Dati!$K$2:$K$451,Dati!$H$2:$H$451,$H102,Dati!$A$2:$A$451,$Y102)+SUMIFS(Dati!$C$2:$C$451,Dati!$A$2:$A$451,$H102,Dati!$H$2:$H$451,$Y102)+SUMIFS(Dati!$J$2:$J$451,Dati!$H$2:$H$451,$H102,Dati!$A$2:$A$451,$Y102),"-")</f>
        <v/>
      </c>
      <c r="AX102" s="22">
        <f>IF(AND($H102&lt;&gt;"",$Z102&lt;&gt;"",$H102&lt;&gt;$Z102,IFERROR(VLOOKUP($H102,areaCercaPuntiClassificaSquadra,3,FALSE),-1)=IFERROR(VLOOKUP($Z102,areaCercaPuntiClassificaSquadra,3,FALSE),-2)),SUMIFS(Dati!$D$2:$D$451,Dati!$A$2:$A$451,$H102,Dati!$H$2:$H$451,$Z102)+SUMIFS(Dati!$K$2:$K$451,Dati!$H$2:$H$451,$H102,Dati!$A$2:$A$451,$Z102)+SUMIFS(Dati!$C$2:$C$451,Dati!$A$2:$A$451,$H102,Dati!$H$2:$H$451,$Z102)+SUMIFS(Dati!$J$2:$J$451,Dati!$H$2:$H$451,$H102,Dati!$A$2:$A$451,$Z102),"-")</f>
        <v/>
      </c>
      <c r="AY102" s="22">
        <f>IF(AND($H102&lt;&gt;"",$AA102&lt;&gt;"",$H102&lt;&gt;$AA102,IFERROR(VLOOKUP($H102,areaCercaPuntiClassificaSquadra,3,FALSE),-1)=IFERROR(VLOOKUP($AA102,areaCercaPuntiClassificaSquadra,3,FALSE),-2)),SUMIFS(Dati!$D$2:$D$451,Dati!$A$2:$A$451,$H102,Dati!$H$2:$H$451,$AA102)+SUMIFS(Dati!$K$2:$K$451,Dati!$H$2:$H$451,$H102,Dati!$A$2:$A$451,$AA102)+SUMIFS(Dati!$C$2:$C$451,Dati!$A$2:$A$451,$H102,Dati!$H$2:$H$451,$AA102)+SUMIFS(Dati!$J$2:$J$451,Dati!$H$2:$H$451,$H102,Dati!$A$2:$A$451,$AA102),"-")</f>
        <v/>
      </c>
      <c r="AZ102" s="22">
        <f>IF(AND($H102&lt;&gt;"",$AB102&lt;&gt;"",$H102&lt;&gt;$AB102,IFERROR(VLOOKUP($H102,areaCercaPuntiClassificaSquadra,3,FALSE),-1)=IFERROR(VLOOKUP($AB102,areaCercaPuntiClassificaSquadra,3,FALSE),-2)),SUMIFS(Dati!$D$2:$D$451,Dati!$A$2:$A$451,$H102,Dati!$H$2:$H$451,$AB102)+SUMIFS(Dati!$K$2:$K$451,Dati!$H$2:$H$451,$H102,Dati!$A$2:$A$451,$AB102)+SUMIFS(Dati!$C$2:$C$451,Dati!$A$2:$A$451,$H102,Dati!$H$2:$H$451,$AB102)+SUMIFS(Dati!$J$2:$J$451,Dati!$H$2:$H$451,$H102,Dati!$A$2:$A$451,$AB102),"-")</f>
        <v/>
      </c>
      <c r="BA102" s="22">
        <f>IF(AND($H102&lt;&gt;"",$AC102&lt;&gt;"",$H102&lt;&gt;$AC102,IFERROR(VLOOKUP($H102,areaCercaPuntiClassificaSquadra,3,FALSE),-1)=IFERROR(VLOOKUP($AC102,areaCercaPuntiClassificaSquadra,3,FALSE),-2)),SUMIFS(Dati!$D$2:$D$451,Dati!$A$2:$A$451,$H102,Dati!$H$2:$H$451,$AC102)+SUMIFS(Dati!$K$2:$K$451,Dati!$H$2:$H$451,$H102,Dati!$A$2:$A$451,$AC102)+SUMIFS(Dati!$C$2:$C$451,Dati!$A$2:$A$451,$H102,Dati!$H$2:$H$451,$AC102)+SUMIFS(Dati!$J$2:$J$451,Dati!$H$2:$H$451,$H102,Dati!$A$2:$A$451,$AC102),"-")</f>
        <v/>
      </c>
      <c r="BB102" s="22">
        <f>IF(AND($H102&lt;&gt;"",$AD102&lt;&gt;"",$H102&lt;&gt;$AD102,IFERROR(VLOOKUP($H102,areaCercaPuntiClassificaSquadra,3,FALSE),-1)=IFERROR(VLOOKUP($AD102,areaCercaPuntiClassificaSquadra,3,FALSE),-2)),SUMIFS(Dati!$D$2:$D$451,Dati!$A$2:$A$451,$H102,Dati!$H$2:$H$451,$AD102)+SUMIFS(Dati!$K$2:$K$451,Dati!$H$2:$H$451,$H102,Dati!$A$2:$A$451,$AD102)+SUMIFS(Dati!$C$2:$C$451,Dati!$A$2:$A$451,$H102,Dati!$H$2:$H$451,$AD102)+SUMIFS(Dati!$J$2:$J$451,Dati!$H$2:$H$451,$H102,Dati!$A$2:$A$451,$AD102),"-")</f>
        <v/>
      </c>
      <c r="BC102" s="22">
        <f>IF(AND($H102&lt;&gt;"",$AE102&lt;&gt;"",$H102&lt;&gt;$AE102,IFERROR(VLOOKUP($H102,areaCercaPuntiClassificaSquadra,3,FALSE),-1)=IFERROR(VLOOKUP($AE102,areaCercaPuntiClassificaSquadra,3,FALSE),-2)),SUMIFS(Dati!$D$2:$D$451,Dati!$A$2:$A$451,$H102,Dati!$H$2:$H$451,$AE102)+SUMIFS(Dati!$K$2:$K$451,Dati!$H$2:$H$451,$H102,Dati!$A$2:$A$451,$AE102)+SUMIFS(Dati!$C$2:$C$451,Dati!$A$2:$A$451,$H102,Dati!$H$2:$H$451,$AE102)+SUMIFS(Dati!$J$2:$J$451,Dati!$H$2:$H$451,$H102,Dati!$A$2:$A$451,$AE102),"-")</f>
        <v/>
      </c>
      <c r="BD102" s="22">
        <f>IF(AND($H102&lt;&gt;"",$AF102&lt;&gt;"",$H102&lt;&gt;$AF102,IFERROR(VLOOKUP($H102,areaCercaPuntiClassificaSquadra,3,FALSE),-1)=IFERROR(VLOOKUP($AF102,areaCercaPuntiClassificaSquadra,3,FALSE),-2)),SUMIFS(Dati!$D$2:$D$451,Dati!$A$2:$A$451,$H102,Dati!$H$2:$H$451,$AF102)+SUMIFS(Dati!$K$2:$K$451,Dati!$H$2:$H$451,$H102,Dati!$A$2:$A$451,$AF102)+SUMIFS(Dati!$C$2:$C$451,Dati!$A$2:$A$451,$H102,Dati!$H$2:$H$451,$AF102)+SUMIFS(Dati!$J$2:$J$451,Dati!$H$2:$H$451,$H102,Dati!$A$2:$A$451,$AF102),"-")</f>
        <v/>
      </c>
      <c r="BE102" s="22">
        <f>IF(AND($H102&lt;&gt;"",$AG102&lt;&gt;"",$H102&lt;&gt;$AG102,IFERROR(VLOOKUP($H102,areaCercaPuntiClassificaSquadra,3,FALSE),-1)=IFERROR(VLOOKUP($AG102,areaCercaPuntiClassificaSquadra,3,FALSE),-2)),SUMIFS(Dati!$D$2:$D$451,Dati!$A$2:$A$451,$H102,Dati!$H$2:$H$451,$AG102)+SUMIFS(Dati!$K$2:$K$451,Dati!$H$2:$H$451,$H102,Dati!$A$2:$A$451,$AG102)+SUMIFS(Dati!$C$2:$C$451,Dati!$A$2:$A$451,$H102,Dati!$H$2:$H$451,$AG102)+SUMIFS(Dati!$J$2:$J$451,Dati!$H$2:$H$451,$H102,Dati!$A$2:$A$451,$AG102),"-")</f>
        <v/>
      </c>
      <c r="BF102" s="22">
        <f>IF(AND($H102&lt;&gt;"",$AH102&lt;&gt;"",$H102&lt;&gt;$AH102,IFERROR(VLOOKUP($H102,areaCercaPuntiClassificaSquadra,3,FALSE),-1)=IFERROR(VLOOKUP($AH102,areaCercaPuntiClassificaSquadra,3,FALSE),-2)),SUMIFS(Dati!$D$2:$D$451,Dati!$A$2:$A$451,$H102,Dati!$H$2:$H$451,$AH102)+SUMIFS(Dati!$K$2:$K$451,Dati!$H$2:$H$451,$H102,Dati!$A$2:$A$451,$AH102)+SUMIFS(Dati!$C$2:$C$451,Dati!$A$2:$A$451,$H102,Dati!$H$2:$H$451,$AH102)+SUMIFS(Dati!$J$2:$J$451,Dati!$H$2:$H$451,$H102,Dati!$A$2:$A$451,$AH102),"-")</f>
        <v/>
      </c>
      <c r="BH102" s="21">
        <f>$C102</f>
        <v/>
      </c>
      <c r="BI102" s="22">
        <f>IF(AND($H102&lt;&gt;"",$Y102&lt;&gt;"",$H102&lt;&gt;$Y102,IFERROR(VLOOKUP($H102,areaCercaPuntiClassificaSquadra,3,FALSE),-1)=IFERROR(VLOOKUP($Y102,areaCercaPuntiClassificaSquadra,3,FALSE),-2)),SUMIFS(Dati!$E$2:$E$451,Dati!$A$2:$A$451,$H102,Dati!$H$2:$H$451,$Y102)+SUMIFS(Dati!$L$2:$L$451,Dati!$H$2:$H$451,$H102,Dati!$A$2:$A$451,$Y102),"-")</f>
        <v/>
      </c>
      <c r="BJ102" s="22">
        <f>IF(AND($H102&lt;&gt;"",$Z102&lt;&gt;"",$H102&lt;&gt;$Z102,IFERROR(VLOOKUP($H102,areaCercaPuntiClassificaSquadra,3,FALSE),-1)=IFERROR(VLOOKUP($Z102,areaCercaPuntiClassificaSquadra,3,FALSE),-2)),SUMIFS(Dati!$E$2:$E$451,Dati!$A$2:$A$451,$H102,Dati!$H$2:$H$451,$Z102)+SUMIFS(Dati!$L$2:$L$451,Dati!$H$2:$H$451,$H102,Dati!$A$2:$A$451,$Z102),"-")</f>
        <v/>
      </c>
      <c r="BK102" s="22">
        <f>IF(AND($H102&lt;&gt;"",$AA102&lt;&gt;"",$H102&lt;&gt;$AA102,IFERROR(VLOOKUP($H102,areaCercaPuntiClassificaSquadra,3,FALSE),-1)=IFERROR(VLOOKUP($AA102,areaCercaPuntiClassificaSquadra,3,FALSE),-2)),SUMIFS(Dati!$E$2:$E$451,Dati!$A$2:$A$451,$H102,Dati!$H$2:$H$451,$AA102)+SUMIFS(Dati!$L$2:$L$451,Dati!$H$2:$H$451,$H102,Dati!$A$2:$A$451,$AA102),"-")</f>
        <v/>
      </c>
      <c r="BL102" s="22">
        <f>IF(AND($H102&lt;&gt;"",$AB102&lt;&gt;"",$H102&lt;&gt;$AB102,IFERROR(VLOOKUP($H102,areaCercaPuntiClassificaSquadra,3,FALSE),-1)=IFERROR(VLOOKUP($AB102,areaCercaPuntiClassificaSquadra,3,FALSE),-2)),SUMIFS(Dati!$E$2:$E$451,Dati!$A$2:$A$451,$H102,Dati!$H$2:$H$451,$AB102)+SUMIFS(Dati!$L$2:$L$451,Dati!$H$2:$H$451,$H102,Dati!$A$2:$A$451,$AB102),"-")</f>
        <v/>
      </c>
      <c r="BM102" s="22">
        <f>IF(AND($H102&lt;&gt;"",$AC102&lt;&gt;"",$H102&lt;&gt;$AC102,IFERROR(VLOOKUP($H102,areaCercaPuntiClassificaSquadra,3,FALSE),-1)=IFERROR(VLOOKUP($AC102,areaCercaPuntiClassificaSquadra,3,FALSE),-2)),SUMIFS(Dati!$E$2:$E$451,Dati!$A$2:$A$451,$H102,Dati!$H$2:$H$451,$AC102)+SUMIFS(Dati!$L$2:$L$451,Dati!$H$2:$H$451,$H102,Dati!$A$2:$A$451,$AC102),"-")</f>
        <v/>
      </c>
      <c r="BN102" s="22">
        <f>IF(AND($H102&lt;&gt;"",$AD102&lt;&gt;"",$H102&lt;&gt;$AD102,IFERROR(VLOOKUP($H102,areaCercaPuntiClassificaSquadra,3,FALSE),-1)=IFERROR(VLOOKUP($AD102,areaCercaPuntiClassificaSquadra,3,FALSE),-2)),SUMIFS(Dati!$E$2:$E$451,Dati!$A$2:$A$451,$H102,Dati!$H$2:$H$451,$AD102)+SUMIFS(Dati!$L$2:$L$451,Dati!$H$2:$H$451,$H102,Dati!$A$2:$A$451,$AD102),"-")</f>
        <v/>
      </c>
      <c r="BO102" s="22">
        <f>IF(AND($H102&lt;&gt;"",$AE102&lt;&gt;"",$H102&lt;&gt;$AE102,IFERROR(VLOOKUP($H102,areaCercaPuntiClassificaSquadra,3,FALSE),-1)=IFERROR(VLOOKUP($AE102,areaCercaPuntiClassificaSquadra,3,FALSE),-2)),SUMIFS(Dati!$E$2:$E$451,Dati!$A$2:$A$451,$H102,Dati!$H$2:$H$451,$AE102)+SUMIFS(Dati!$L$2:$L$451,Dati!$H$2:$H$451,$H102,Dati!$A$2:$A$451,$AE102),"-")</f>
        <v/>
      </c>
      <c r="BP102" s="22">
        <f>IF(AND($H102&lt;&gt;"",$AF102&lt;&gt;"",$H102&lt;&gt;$AF102,IFERROR(VLOOKUP($H102,areaCercaPuntiClassificaSquadra,3,FALSE),-1)=IFERROR(VLOOKUP($AF102,areaCercaPuntiClassificaSquadra,3,FALSE),-2)),SUMIFS(Dati!$E$2:$E$451,Dati!$A$2:$A$451,$H102,Dati!$H$2:$H$451,$AF102)+SUMIFS(Dati!$L$2:$L$451,Dati!$H$2:$H$451,$H102,Dati!$A$2:$A$451,$AF102),"-")</f>
        <v/>
      </c>
      <c r="BQ102" s="22">
        <f>IF(AND($H102&lt;&gt;"",$AG102&lt;&gt;"",$H102&lt;&gt;$AG102,IFERROR(VLOOKUP($H102,areaCercaPuntiClassificaSquadra,3,FALSE),-1)=IFERROR(VLOOKUP($AG102,areaCercaPuntiClassificaSquadra,3,FALSE),-2)),SUMIFS(Dati!$E$2:$E$451,Dati!$A$2:$A$451,$H102,Dati!$H$2:$H$451,$AG102)+SUMIFS(Dati!$L$2:$L$451,Dati!$H$2:$H$451,$H102,Dati!$A$2:$A$451,$AG102),"-")</f>
        <v/>
      </c>
      <c r="BR102" s="22">
        <f>IF(AND($H102&lt;&gt;"",$AH102&lt;&gt;"",$H102&lt;&gt;$AH102,IFERROR(VLOOKUP($H102,areaCercaPuntiClassificaSquadra,3,FALSE),-1)=IFERROR(VLOOKUP($AH102,areaCercaPuntiClassificaSquadra,3,FALSE),-2)),SUMIFS(Dati!$E$2:$E$451,Dati!$A$2:$A$451,$H102,Dati!$H$2:$H$451,$AH102)+SUMIFS(Dati!$L$2:$L$451,Dati!$H$2:$H$451,$H102,Dati!$A$2:$A$451,$AH102),"-")</f>
        <v/>
      </c>
      <c r="BT102" s="21">
        <f>$C102</f>
        <v/>
      </c>
      <c r="BU102" s="22">
        <f>IF(AND($H102&lt;&gt;"",$Y102&lt;&gt;"",$H102&lt;&gt;$Y102,IFERROR(VLOOKUP($H102,areaCercaPuntiClassificaSquadra,3,FALSE),-1)=IFERROR(VLOOKUP($Y102,areaCercaPuntiClassificaSquadra,3,FALSE),-2)),SUMIFS(Dati!$F$2:$F$451,Dati!$A$2:$A$451,$H102,Dati!$H$2:$H$451,$Y102)+SUMIFS(Dati!$M$2:$M$451,Dati!$H$2:$H$451,$H102,Dati!$A$2:$A$451,$Y102),"-")</f>
        <v/>
      </c>
      <c r="BV102" s="22">
        <f>IF(AND($H102&lt;&gt;"",$Z102&lt;&gt;"",$H102&lt;&gt;$Z102,IFERROR(VLOOKUP($H102,areaCercaPuntiClassificaSquadra,3,FALSE),-1)=IFERROR(VLOOKUP($Z102,areaCercaPuntiClassificaSquadra,3,FALSE),-2)),SUMIFS(Dati!$F$2:$F$451,Dati!$A$2:$A$451,$H102,Dati!$H$2:$H$451,$Z102)+SUMIFS(Dati!$M$2:$M$451,Dati!$H$2:$H$451,$H102,Dati!$A$2:$A$451,$Z102),"-")</f>
        <v/>
      </c>
      <c r="BW102" s="22">
        <f>IF(AND($H102&lt;&gt;"",$AA102&lt;&gt;"",$H102&lt;&gt;$AA102,IFERROR(VLOOKUP($H102,areaCercaPuntiClassificaSquadra,3,FALSE),-1)=IFERROR(VLOOKUP($AA102,areaCercaPuntiClassificaSquadra,3,FALSE),-2)),SUMIFS(Dati!$F$2:$F$451,Dati!$A$2:$A$451,$H102,Dati!$H$2:$H$451,$AA102)+SUMIFS(Dati!$M$2:$M$451,Dati!$H$2:$H$451,$H102,Dati!$A$2:$A$451,$AA102),"-")</f>
        <v/>
      </c>
      <c r="BX102" s="22">
        <f>IF(AND($H102&lt;&gt;"",$AB102&lt;&gt;"",$H102&lt;&gt;$AB102,IFERROR(VLOOKUP($H102,areaCercaPuntiClassificaSquadra,3,FALSE),-1)=IFERROR(VLOOKUP($AB102,areaCercaPuntiClassificaSquadra,3,FALSE),-2)),SUMIFS(Dati!$F$2:$F$451,Dati!$A$2:$A$451,$H102,Dati!$H$2:$H$451,$AB102)+SUMIFS(Dati!$M$2:$M$451,Dati!$H$2:$H$451,$H102,Dati!$A$2:$A$451,$AB102),"-")</f>
        <v/>
      </c>
      <c r="BY102" s="22">
        <f>IF(AND($H102&lt;&gt;"",$AC102&lt;&gt;"",$H102&lt;&gt;$AC102,IFERROR(VLOOKUP($H102,areaCercaPuntiClassificaSquadra,3,FALSE),-1)=IFERROR(VLOOKUP($AC102,areaCercaPuntiClassificaSquadra,3,FALSE),-2)),SUMIFS(Dati!$F$2:$F$451,Dati!$A$2:$A$451,$H102,Dati!$H$2:$H$451,$AC102)+SUMIFS(Dati!$M$2:$M$451,Dati!$H$2:$H$451,$H102,Dati!$A$2:$A$451,$AC102),"-")</f>
        <v/>
      </c>
      <c r="BZ102" s="22">
        <f>IF(AND($H102&lt;&gt;"",$AD102&lt;&gt;"",$H102&lt;&gt;$AD102,IFERROR(VLOOKUP($H102,areaCercaPuntiClassificaSquadra,3,FALSE),-1)=IFERROR(VLOOKUP($AD102,areaCercaPuntiClassificaSquadra,3,FALSE),-2)),SUMIFS(Dati!$F$2:$F$451,Dati!$A$2:$A$451,$H102,Dati!$H$2:$H$451,$AD102)+SUMIFS(Dati!$M$2:$M$451,Dati!$H$2:$H$451,$H102,Dati!$A$2:$A$451,$AD102),"-")</f>
        <v/>
      </c>
      <c r="CA102" s="22">
        <f>IF(AND($H102&lt;&gt;"",$AE102&lt;&gt;"",$H102&lt;&gt;$AE102,IFERROR(VLOOKUP($H102,areaCercaPuntiClassificaSquadra,3,FALSE),-1)=IFERROR(VLOOKUP($AE102,areaCercaPuntiClassificaSquadra,3,FALSE),-2)),SUMIFS(Dati!$F$2:$F$451,Dati!$A$2:$A$451,$H102,Dati!$H$2:$H$451,$AE102)+SUMIFS(Dati!$M$2:$M$451,Dati!$H$2:$H$451,$H102,Dati!$A$2:$A$451,$AE102),"-")</f>
        <v/>
      </c>
      <c r="CB102" s="22">
        <f>IF(AND($H102&lt;&gt;"",$AF102&lt;&gt;"",$H102&lt;&gt;$AF102,IFERROR(VLOOKUP($H102,areaCercaPuntiClassificaSquadra,3,FALSE),-1)=IFERROR(VLOOKUP($AF102,areaCercaPuntiClassificaSquadra,3,FALSE),-2)),SUMIFS(Dati!$F$2:$F$451,Dati!$A$2:$A$451,$H102,Dati!$H$2:$H$451,$AF102)+SUMIFS(Dati!$M$2:$M$451,Dati!$H$2:$H$451,$H102,Dati!$A$2:$A$451,$AF102),"-")</f>
        <v/>
      </c>
      <c r="CC102" s="22">
        <f>IF(AND($H102&lt;&gt;"",$AG102&lt;&gt;"",$H102&lt;&gt;$AG102,IFERROR(VLOOKUP($H102,areaCercaPuntiClassificaSquadra,3,FALSE),-1)=IFERROR(VLOOKUP($AG102,areaCercaPuntiClassificaSquadra,3,FALSE),-2)),SUMIFS(Dati!$F$2:$F$451,Dati!$A$2:$A$451,$H102,Dati!$H$2:$H$451,$AG102)+SUMIFS(Dati!$M$2:$M$451,Dati!$H$2:$H$451,$H102,Dati!$A$2:$A$451,$AG102),"-")</f>
        <v/>
      </c>
      <c r="CD102" s="22">
        <f>IF(AND($H102&lt;&gt;"",$AH102&lt;&gt;"",$H102&lt;&gt;$AH102,IFERROR(VLOOKUP($H102,areaCercaPuntiClassificaSquadra,3,FALSE),-1)=IFERROR(VLOOKUP($AH102,areaCercaPuntiClassificaSquadra,3,FALSE),-2)),SUMIFS(Dati!$F$2:$F$451,Dati!$A$2:$A$451,$H102,Dati!$H$2:$H$451,$AH102)+SUMIFS(Dati!$M$2:$M$451,Dati!$H$2:$H$451,$H102,Dati!$A$2:$A$451,$AH102),"-")</f>
        <v/>
      </c>
      <c r="CF102" s="22">
        <f>IF($C102="","",SUM(AK102:AT102))</f>
        <v/>
      </c>
    </row>
    <row r="103">
      <c r="B103" s="12" t="inlineStr">
        <is>
          <t>I10</t>
        </is>
      </c>
      <c r="C103" s="13" t="n"/>
      <c r="D103" s="14" t="n"/>
      <c r="E103" s="37" t="inlineStr">
        <is>
          <t>I</t>
        </is>
      </c>
      <c r="G103" s="38">
        <f>IF($C103="","",$E103&amp;(COUNTIFS(I$14:I$113,"&gt;"&amp;I103,E$14:E$113,"="&amp;E103,C$14:C$113,"&lt;&gt;")+COUNTIFS(I$14:I$113,"="&amp;I103,H$14:H$113,"&lt;="&amp;H103,E$14:E$113,"="&amp;E103,C$14:C$113,"&lt;&gt;")))</f>
        <v/>
      </c>
      <c r="H103" s="17">
        <f>IF($C103="","",IFERROR(LEFT($C103,FIND("-",$C103)-1),$C103))</f>
        <v/>
      </c>
      <c r="I103" s="12">
        <f>TEXT(1000000000+J103,"|0000000000|")&amp;TEXT(SUM(AK103:AT103),"0000000000|")&amp;IF(SUM(BU103:CD103)=0,"0000000000|",TEXT(ROUND(SUM(BI103:BR103)/SUM(BU103:CD103),4)*100000,"0000000000|"))&amp;IF(P103=0,"0000000000|",TEXT(ROUND(O103/P103,4)*100000,"0000000000|"))</f>
        <v/>
      </c>
      <c r="J103" s="38">
        <f>L103*constPuntiVittoria+M103*constPuntiSconfitta+N103*constPuntiForfait+IF(D103="",0,D103)</f>
        <v/>
      </c>
      <c r="K103" s="12">
        <f>SUM(L103:N103)</f>
        <v/>
      </c>
      <c r="L103" s="12">
        <f>IF($H103="",0,SUMIF(Dati!$A$2:$A$451,$H103,Dati!$B$2:$B$451)+SUMIF(Dati!$H$2:$H$451,$H103,Dati!$I$2:$I$451))</f>
        <v/>
      </c>
      <c r="M103" s="12">
        <f>IF($H103="",0,SUMIF(Dati!$A$2:$A$451,$H103,Dati!$D$2:$D$451)+SUMIF(Dati!$H$2:$H$451,$H103,Dati!$K$2:$K$451))</f>
        <v/>
      </c>
      <c r="N103" s="12">
        <f>IF($H103="",0,SUMIF(Dati!$A$2:$A$451,$H103,Dati!$C$2:$C$451)+SUMIF(Dati!$H$2:$H$451,$H103,Dati!$J$2:$J$451))</f>
        <v/>
      </c>
      <c r="O103" s="12">
        <f>IF($H103="",0,SUMIF(Dati!$A$2:$A$451,$H103,Dati!$E$2:$E$451)+SUMIF(Dati!$H$2:$H$451,$H103,Dati!$L$2:$L$451))</f>
        <v/>
      </c>
      <c r="P103" s="12">
        <f>IF($H103="",0,SUMIF(Dati!$A$2:$A$451,$H103,Dati!$F$2:$F$451)+SUMIF(Dati!$H$2:$H$451,$H103,Dati!$M$2:$M$451))</f>
        <v/>
      </c>
      <c r="Q103" s="12">
        <f>IF($H103="",0,SUMIF(Dati!$A$2:$A$451,$H103,Dati!$G$2:$G$451)+SUMIF(Dati!$H$2:$H$451,$H103,Dati!$N$2:$N$451))</f>
        <v/>
      </c>
      <c r="R103" s="12">
        <f>IF(K103=0,0,ROUND(O103/K103,2))</f>
        <v/>
      </c>
      <c r="S103" s="12">
        <f>IF(K103=0,0,ROUND(P103/K103,2))</f>
        <v/>
      </c>
      <c r="T103" s="12">
        <f>IF(K103=0,0,ROUND(Q103/K103,2))</f>
        <v/>
      </c>
      <c r="U103" s="12">
        <f>IF(COUNTIFS($E$14:$E$113,$E103,$J$14:$J$113,$J103,$C$14:$C$113,"&lt;&gt;")&lt;=1,"-",SUM(AK103:AT103)&amp;"-"&amp;SUM(AW103:BF103))</f>
        <v/>
      </c>
      <c r="V103" s="18">
        <f>IF(COUNTIFS($E$14:$E$113,$E103,$J$14:$J$113,$J103,$C$14:$C$113,"&lt;&gt;",$CF$14:$CF$113,$CF103)&lt;=1,"-",IF(SUM(BU103:CD103)=0,0,ROUND(SUM(BI103:BR103)/SUM(BU103:CD103),3)))</f>
        <v/>
      </c>
      <c r="W103" s="18">
        <f>IF(COUNTIFS($E$14:$E$113,$E103,$J$14:$J$113,$J103,$C$14:$C$113,"&lt;&gt;",$CF$14:$CF$113,$CF103,$V$14:$V$113,$V103)&lt;=1,"-",IF(P103=0,0,ROUND(O103/P103,3)))</f>
        <v/>
      </c>
      <c r="X103" s="19">
        <f>IF($C103="","",$E103&amp;"#"&amp;COUNTIFS($E$14:$E103,$E103,$C$14:$C103,"&lt;&gt;"))</f>
        <v/>
      </c>
      <c r="Y103" s="20">
        <f>IFERROR(INDEX($H$14:$H$113,MATCH($E103&amp;"#1",$X$14:$X$113,0)),"")</f>
        <v/>
      </c>
      <c r="Z103" s="20">
        <f>IFERROR(INDEX($H$14:$H$113,MATCH($E103&amp;"#2",$X$14:$X$113,0)),"")</f>
        <v/>
      </c>
      <c r="AA103" s="20">
        <f>IFERROR(INDEX($H$14:$H$113,MATCH($E103&amp;"#3",$X$14:$X$113,0)),"")</f>
        <v/>
      </c>
      <c r="AB103" s="20">
        <f>IFERROR(INDEX($H$14:$H$113,MATCH($E103&amp;"#4",$X$14:$X$113,0)),"")</f>
        <v/>
      </c>
      <c r="AC103" s="20">
        <f>IFERROR(INDEX($H$14:$H$113,MATCH($E103&amp;"#5",$X$14:$X$113,0)),"")</f>
        <v/>
      </c>
      <c r="AD103" s="20">
        <f>IFERROR(INDEX($H$14:$H$113,MATCH($E103&amp;"#6",$X$14:$X$113,0)),"")</f>
        <v/>
      </c>
      <c r="AE103" s="20">
        <f>IFERROR(INDEX($H$14:$H$113,MATCH($E103&amp;"#7",$X$14:$X$113,0)),"")</f>
        <v/>
      </c>
      <c r="AF103" s="20">
        <f>IFERROR(INDEX($H$14:$H$113,MATCH($E103&amp;"#8",$X$14:$X$113,0)),"")</f>
        <v/>
      </c>
      <c r="AG103" s="20">
        <f>IFERROR(INDEX($H$14:$H$113,MATCH($E103&amp;"#9",$X$14:$X$113,0)),"")</f>
        <v/>
      </c>
      <c r="AH103" s="20">
        <f>IFERROR(INDEX($H$14:$H$113,MATCH($E103&amp;"#10",$X$14:$X$113,0)),"")</f>
        <v/>
      </c>
      <c r="AJ103" s="21">
        <f>$C103</f>
        <v/>
      </c>
      <c r="AK103" s="22">
        <f>IF(AND($H103&lt;&gt;"",$Y103&lt;&gt;"",$H103&lt;&gt;$Y103,IFERROR(VLOOKUP($H103,areaCercaPuntiClassificaSquadra,3,FALSE),-1)=IFERROR(VLOOKUP($Y103,areaCercaPuntiClassificaSquadra,3,FALSE),-2)),SUMIFS(Dati!$B$2:$B$451,Dati!$A$2:$A$451,$H103,Dati!$H$2:$H$451,$Y103)+SUMIFS(Dati!$I$2:$I$451,Dati!$H$2:$H$451,$H103,Dati!$A$2:$A$451,$Y103),"-")</f>
        <v/>
      </c>
      <c r="AL103" s="22">
        <f>IF(AND($H103&lt;&gt;"",$Z103&lt;&gt;"",$H103&lt;&gt;$Z103,IFERROR(VLOOKUP($H103,areaCercaPuntiClassificaSquadra,3,FALSE),-1)=IFERROR(VLOOKUP($Z103,areaCercaPuntiClassificaSquadra,3,FALSE),-2)),SUMIFS(Dati!$B$2:$B$451,Dati!$A$2:$A$451,$H103,Dati!$H$2:$H$451,$Z103)+SUMIFS(Dati!$I$2:$I$451,Dati!$H$2:$H$451,$H103,Dati!$A$2:$A$451,$Z103),"-")</f>
        <v/>
      </c>
      <c r="AM103" s="22">
        <f>IF(AND($H103&lt;&gt;"",$AA103&lt;&gt;"",$H103&lt;&gt;$AA103,IFERROR(VLOOKUP($H103,areaCercaPuntiClassificaSquadra,3,FALSE),-1)=IFERROR(VLOOKUP($AA103,areaCercaPuntiClassificaSquadra,3,FALSE),-2)),SUMIFS(Dati!$B$2:$B$451,Dati!$A$2:$A$451,$H103,Dati!$H$2:$H$451,$AA103)+SUMIFS(Dati!$I$2:$I$451,Dati!$H$2:$H$451,$H103,Dati!$A$2:$A$451,$AA103),"-")</f>
        <v/>
      </c>
      <c r="AN103" s="22">
        <f>IF(AND($H103&lt;&gt;"",$AB103&lt;&gt;"",$H103&lt;&gt;$AB103,IFERROR(VLOOKUP($H103,areaCercaPuntiClassificaSquadra,3,FALSE),-1)=IFERROR(VLOOKUP($AB103,areaCercaPuntiClassificaSquadra,3,FALSE),-2)),SUMIFS(Dati!$B$2:$B$451,Dati!$A$2:$A$451,$H103,Dati!$H$2:$H$451,$AB103)+SUMIFS(Dati!$I$2:$I$451,Dati!$H$2:$H$451,$H103,Dati!$A$2:$A$451,$AB103),"-")</f>
        <v/>
      </c>
      <c r="AO103" s="22">
        <f>IF(AND($H103&lt;&gt;"",$AC103&lt;&gt;"",$H103&lt;&gt;$AC103,IFERROR(VLOOKUP($H103,areaCercaPuntiClassificaSquadra,3,FALSE),-1)=IFERROR(VLOOKUP($AC103,areaCercaPuntiClassificaSquadra,3,FALSE),-2)),SUMIFS(Dati!$B$2:$B$451,Dati!$A$2:$A$451,$H103,Dati!$H$2:$H$451,$AC103)+SUMIFS(Dati!$I$2:$I$451,Dati!$H$2:$H$451,$H103,Dati!$A$2:$A$451,$AC103),"-")</f>
        <v/>
      </c>
      <c r="AP103" s="22">
        <f>IF(AND($H103&lt;&gt;"",$AD103&lt;&gt;"",$H103&lt;&gt;$AD103,IFERROR(VLOOKUP($H103,areaCercaPuntiClassificaSquadra,3,FALSE),-1)=IFERROR(VLOOKUP($AD103,areaCercaPuntiClassificaSquadra,3,FALSE),-2)),SUMIFS(Dati!$B$2:$B$451,Dati!$A$2:$A$451,$H103,Dati!$H$2:$H$451,$AD103)+SUMIFS(Dati!$I$2:$I$451,Dati!$H$2:$H$451,$H103,Dati!$A$2:$A$451,$AD103),"-")</f>
        <v/>
      </c>
      <c r="AQ103" s="22">
        <f>IF(AND($H103&lt;&gt;"",$AE103&lt;&gt;"",$H103&lt;&gt;$AE103,IFERROR(VLOOKUP($H103,areaCercaPuntiClassificaSquadra,3,FALSE),-1)=IFERROR(VLOOKUP($AE103,areaCercaPuntiClassificaSquadra,3,FALSE),-2)),SUMIFS(Dati!$B$2:$B$451,Dati!$A$2:$A$451,$H103,Dati!$H$2:$H$451,$AE103)+SUMIFS(Dati!$I$2:$I$451,Dati!$H$2:$H$451,$H103,Dati!$A$2:$A$451,$AE103),"-")</f>
        <v/>
      </c>
      <c r="AR103" s="22">
        <f>IF(AND($H103&lt;&gt;"",$AF103&lt;&gt;"",$H103&lt;&gt;$AF103,IFERROR(VLOOKUP($H103,areaCercaPuntiClassificaSquadra,3,FALSE),-1)=IFERROR(VLOOKUP($AF103,areaCercaPuntiClassificaSquadra,3,FALSE),-2)),SUMIFS(Dati!$B$2:$B$451,Dati!$A$2:$A$451,$H103,Dati!$H$2:$H$451,$AF103)+SUMIFS(Dati!$I$2:$I$451,Dati!$H$2:$H$451,$H103,Dati!$A$2:$A$451,$AF103),"-")</f>
        <v/>
      </c>
      <c r="AS103" s="22">
        <f>IF(AND($H103&lt;&gt;"",$AG103&lt;&gt;"",$H103&lt;&gt;$AG103,IFERROR(VLOOKUP($H103,areaCercaPuntiClassificaSquadra,3,FALSE),-1)=IFERROR(VLOOKUP($AG103,areaCercaPuntiClassificaSquadra,3,FALSE),-2)),SUMIFS(Dati!$B$2:$B$451,Dati!$A$2:$A$451,$H103,Dati!$H$2:$H$451,$AG103)+SUMIFS(Dati!$I$2:$I$451,Dati!$H$2:$H$451,$H103,Dati!$A$2:$A$451,$AG103),"-")</f>
        <v/>
      </c>
      <c r="AT103" s="22">
        <f>IF(AND($H103&lt;&gt;"",$AH103&lt;&gt;"",$H103&lt;&gt;$AH103,IFERROR(VLOOKUP($H103,areaCercaPuntiClassificaSquadra,3,FALSE),-1)=IFERROR(VLOOKUP($AH103,areaCercaPuntiClassificaSquadra,3,FALSE),-2)),SUMIFS(Dati!$B$2:$B$451,Dati!$A$2:$A$451,$H103,Dati!$H$2:$H$451,$AH103)+SUMIFS(Dati!$I$2:$I$451,Dati!$H$2:$H$451,$H103,Dati!$A$2:$A$451,$AH103),"-")</f>
        <v/>
      </c>
      <c r="AV103" s="21">
        <f>$C103</f>
        <v/>
      </c>
      <c r="AW103" s="22">
        <f>IF(AND($H103&lt;&gt;"",$Y103&lt;&gt;"",$H103&lt;&gt;$Y103,IFERROR(VLOOKUP($H103,areaCercaPuntiClassificaSquadra,3,FALSE),-1)=IFERROR(VLOOKUP($Y103,areaCercaPuntiClassificaSquadra,3,FALSE),-2)),SUMIFS(Dati!$D$2:$D$451,Dati!$A$2:$A$451,$H103,Dati!$H$2:$H$451,$Y103)+SUMIFS(Dati!$K$2:$K$451,Dati!$H$2:$H$451,$H103,Dati!$A$2:$A$451,$Y103)+SUMIFS(Dati!$C$2:$C$451,Dati!$A$2:$A$451,$H103,Dati!$H$2:$H$451,$Y103)+SUMIFS(Dati!$J$2:$J$451,Dati!$H$2:$H$451,$H103,Dati!$A$2:$A$451,$Y103),"-")</f>
        <v/>
      </c>
      <c r="AX103" s="22">
        <f>IF(AND($H103&lt;&gt;"",$Z103&lt;&gt;"",$H103&lt;&gt;$Z103,IFERROR(VLOOKUP($H103,areaCercaPuntiClassificaSquadra,3,FALSE),-1)=IFERROR(VLOOKUP($Z103,areaCercaPuntiClassificaSquadra,3,FALSE),-2)),SUMIFS(Dati!$D$2:$D$451,Dati!$A$2:$A$451,$H103,Dati!$H$2:$H$451,$Z103)+SUMIFS(Dati!$K$2:$K$451,Dati!$H$2:$H$451,$H103,Dati!$A$2:$A$451,$Z103)+SUMIFS(Dati!$C$2:$C$451,Dati!$A$2:$A$451,$H103,Dati!$H$2:$H$451,$Z103)+SUMIFS(Dati!$J$2:$J$451,Dati!$H$2:$H$451,$H103,Dati!$A$2:$A$451,$Z103),"-")</f>
        <v/>
      </c>
      <c r="AY103" s="22">
        <f>IF(AND($H103&lt;&gt;"",$AA103&lt;&gt;"",$H103&lt;&gt;$AA103,IFERROR(VLOOKUP($H103,areaCercaPuntiClassificaSquadra,3,FALSE),-1)=IFERROR(VLOOKUP($AA103,areaCercaPuntiClassificaSquadra,3,FALSE),-2)),SUMIFS(Dati!$D$2:$D$451,Dati!$A$2:$A$451,$H103,Dati!$H$2:$H$451,$AA103)+SUMIFS(Dati!$K$2:$K$451,Dati!$H$2:$H$451,$H103,Dati!$A$2:$A$451,$AA103)+SUMIFS(Dati!$C$2:$C$451,Dati!$A$2:$A$451,$H103,Dati!$H$2:$H$451,$AA103)+SUMIFS(Dati!$J$2:$J$451,Dati!$H$2:$H$451,$H103,Dati!$A$2:$A$451,$AA103),"-")</f>
        <v/>
      </c>
      <c r="AZ103" s="22">
        <f>IF(AND($H103&lt;&gt;"",$AB103&lt;&gt;"",$H103&lt;&gt;$AB103,IFERROR(VLOOKUP($H103,areaCercaPuntiClassificaSquadra,3,FALSE),-1)=IFERROR(VLOOKUP($AB103,areaCercaPuntiClassificaSquadra,3,FALSE),-2)),SUMIFS(Dati!$D$2:$D$451,Dati!$A$2:$A$451,$H103,Dati!$H$2:$H$451,$AB103)+SUMIFS(Dati!$K$2:$K$451,Dati!$H$2:$H$451,$H103,Dati!$A$2:$A$451,$AB103)+SUMIFS(Dati!$C$2:$C$451,Dati!$A$2:$A$451,$H103,Dati!$H$2:$H$451,$AB103)+SUMIFS(Dati!$J$2:$J$451,Dati!$H$2:$H$451,$H103,Dati!$A$2:$A$451,$AB103),"-")</f>
        <v/>
      </c>
      <c r="BA103" s="22">
        <f>IF(AND($H103&lt;&gt;"",$AC103&lt;&gt;"",$H103&lt;&gt;$AC103,IFERROR(VLOOKUP($H103,areaCercaPuntiClassificaSquadra,3,FALSE),-1)=IFERROR(VLOOKUP($AC103,areaCercaPuntiClassificaSquadra,3,FALSE),-2)),SUMIFS(Dati!$D$2:$D$451,Dati!$A$2:$A$451,$H103,Dati!$H$2:$H$451,$AC103)+SUMIFS(Dati!$K$2:$K$451,Dati!$H$2:$H$451,$H103,Dati!$A$2:$A$451,$AC103)+SUMIFS(Dati!$C$2:$C$451,Dati!$A$2:$A$451,$H103,Dati!$H$2:$H$451,$AC103)+SUMIFS(Dati!$J$2:$J$451,Dati!$H$2:$H$451,$H103,Dati!$A$2:$A$451,$AC103),"-")</f>
        <v/>
      </c>
      <c r="BB103" s="22">
        <f>IF(AND($H103&lt;&gt;"",$AD103&lt;&gt;"",$H103&lt;&gt;$AD103,IFERROR(VLOOKUP($H103,areaCercaPuntiClassificaSquadra,3,FALSE),-1)=IFERROR(VLOOKUP($AD103,areaCercaPuntiClassificaSquadra,3,FALSE),-2)),SUMIFS(Dati!$D$2:$D$451,Dati!$A$2:$A$451,$H103,Dati!$H$2:$H$451,$AD103)+SUMIFS(Dati!$K$2:$K$451,Dati!$H$2:$H$451,$H103,Dati!$A$2:$A$451,$AD103)+SUMIFS(Dati!$C$2:$C$451,Dati!$A$2:$A$451,$H103,Dati!$H$2:$H$451,$AD103)+SUMIFS(Dati!$J$2:$J$451,Dati!$H$2:$H$451,$H103,Dati!$A$2:$A$451,$AD103),"-")</f>
        <v/>
      </c>
      <c r="BC103" s="22">
        <f>IF(AND($H103&lt;&gt;"",$AE103&lt;&gt;"",$H103&lt;&gt;$AE103,IFERROR(VLOOKUP($H103,areaCercaPuntiClassificaSquadra,3,FALSE),-1)=IFERROR(VLOOKUP($AE103,areaCercaPuntiClassificaSquadra,3,FALSE),-2)),SUMIFS(Dati!$D$2:$D$451,Dati!$A$2:$A$451,$H103,Dati!$H$2:$H$451,$AE103)+SUMIFS(Dati!$K$2:$K$451,Dati!$H$2:$H$451,$H103,Dati!$A$2:$A$451,$AE103)+SUMIFS(Dati!$C$2:$C$451,Dati!$A$2:$A$451,$H103,Dati!$H$2:$H$451,$AE103)+SUMIFS(Dati!$J$2:$J$451,Dati!$H$2:$H$451,$H103,Dati!$A$2:$A$451,$AE103),"-")</f>
        <v/>
      </c>
      <c r="BD103" s="22">
        <f>IF(AND($H103&lt;&gt;"",$AF103&lt;&gt;"",$H103&lt;&gt;$AF103,IFERROR(VLOOKUP($H103,areaCercaPuntiClassificaSquadra,3,FALSE),-1)=IFERROR(VLOOKUP($AF103,areaCercaPuntiClassificaSquadra,3,FALSE),-2)),SUMIFS(Dati!$D$2:$D$451,Dati!$A$2:$A$451,$H103,Dati!$H$2:$H$451,$AF103)+SUMIFS(Dati!$K$2:$K$451,Dati!$H$2:$H$451,$H103,Dati!$A$2:$A$451,$AF103)+SUMIFS(Dati!$C$2:$C$451,Dati!$A$2:$A$451,$H103,Dati!$H$2:$H$451,$AF103)+SUMIFS(Dati!$J$2:$J$451,Dati!$H$2:$H$451,$H103,Dati!$A$2:$A$451,$AF103),"-")</f>
        <v/>
      </c>
      <c r="BE103" s="22">
        <f>IF(AND($H103&lt;&gt;"",$AG103&lt;&gt;"",$H103&lt;&gt;$AG103,IFERROR(VLOOKUP($H103,areaCercaPuntiClassificaSquadra,3,FALSE),-1)=IFERROR(VLOOKUP($AG103,areaCercaPuntiClassificaSquadra,3,FALSE),-2)),SUMIFS(Dati!$D$2:$D$451,Dati!$A$2:$A$451,$H103,Dati!$H$2:$H$451,$AG103)+SUMIFS(Dati!$K$2:$K$451,Dati!$H$2:$H$451,$H103,Dati!$A$2:$A$451,$AG103)+SUMIFS(Dati!$C$2:$C$451,Dati!$A$2:$A$451,$H103,Dati!$H$2:$H$451,$AG103)+SUMIFS(Dati!$J$2:$J$451,Dati!$H$2:$H$451,$H103,Dati!$A$2:$A$451,$AG103),"-")</f>
        <v/>
      </c>
      <c r="BF103" s="22">
        <f>IF(AND($H103&lt;&gt;"",$AH103&lt;&gt;"",$H103&lt;&gt;$AH103,IFERROR(VLOOKUP($H103,areaCercaPuntiClassificaSquadra,3,FALSE),-1)=IFERROR(VLOOKUP($AH103,areaCercaPuntiClassificaSquadra,3,FALSE),-2)),SUMIFS(Dati!$D$2:$D$451,Dati!$A$2:$A$451,$H103,Dati!$H$2:$H$451,$AH103)+SUMIFS(Dati!$K$2:$K$451,Dati!$H$2:$H$451,$H103,Dati!$A$2:$A$451,$AH103)+SUMIFS(Dati!$C$2:$C$451,Dati!$A$2:$A$451,$H103,Dati!$H$2:$H$451,$AH103)+SUMIFS(Dati!$J$2:$J$451,Dati!$H$2:$H$451,$H103,Dati!$A$2:$A$451,$AH103),"-")</f>
        <v/>
      </c>
      <c r="BH103" s="21">
        <f>$C103</f>
        <v/>
      </c>
      <c r="BI103" s="22">
        <f>IF(AND($H103&lt;&gt;"",$Y103&lt;&gt;"",$H103&lt;&gt;$Y103,IFERROR(VLOOKUP($H103,areaCercaPuntiClassificaSquadra,3,FALSE),-1)=IFERROR(VLOOKUP($Y103,areaCercaPuntiClassificaSquadra,3,FALSE),-2)),SUMIFS(Dati!$E$2:$E$451,Dati!$A$2:$A$451,$H103,Dati!$H$2:$H$451,$Y103)+SUMIFS(Dati!$L$2:$L$451,Dati!$H$2:$H$451,$H103,Dati!$A$2:$A$451,$Y103),"-")</f>
        <v/>
      </c>
      <c r="BJ103" s="22">
        <f>IF(AND($H103&lt;&gt;"",$Z103&lt;&gt;"",$H103&lt;&gt;$Z103,IFERROR(VLOOKUP($H103,areaCercaPuntiClassificaSquadra,3,FALSE),-1)=IFERROR(VLOOKUP($Z103,areaCercaPuntiClassificaSquadra,3,FALSE),-2)),SUMIFS(Dati!$E$2:$E$451,Dati!$A$2:$A$451,$H103,Dati!$H$2:$H$451,$Z103)+SUMIFS(Dati!$L$2:$L$451,Dati!$H$2:$H$451,$H103,Dati!$A$2:$A$451,$Z103),"-")</f>
        <v/>
      </c>
      <c r="BK103" s="22">
        <f>IF(AND($H103&lt;&gt;"",$AA103&lt;&gt;"",$H103&lt;&gt;$AA103,IFERROR(VLOOKUP($H103,areaCercaPuntiClassificaSquadra,3,FALSE),-1)=IFERROR(VLOOKUP($AA103,areaCercaPuntiClassificaSquadra,3,FALSE),-2)),SUMIFS(Dati!$E$2:$E$451,Dati!$A$2:$A$451,$H103,Dati!$H$2:$H$451,$AA103)+SUMIFS(Dati!$L$2:$L$451,Dati!$H$2:$H$451,$H103,Dati!$A$2:$A$451,$AA103),"-")</f>
        <v/>
      </c>
      <c r="BL103" s="22">
        <f>IF(AND($H103&lt;&gt;"",$AB103&lt;&gt;"",$H103&lt;&gt;$AB103,IFERROR(VLOOKUP($H103,areaCercaPuntiClassificaSquadra,3,FALSE),-1)=IFERROR(VLOOKUP($AB103,areaCercaPuntiClassificaSquadra,3,FALSE),-2)),SUMIFS(Dati!$E$2:$E$451,Dati!$A$2:$A$451,$H103,Dati!$H$2:$H$451,$AB103)+SUMIFS(Dati!$L$2:$L$451,Dati!$H$2:$H$451,$H103,Dati!$A$2:$A$451,$AB103),"-")</f>
        <v/>
      </c>
      <c r="BM103" s="22">
        <f>IF(AND($H103&lt;&gt;"",$AC103&lt;&gt;"",$H103&lt;&gt;$AC103,IFERROR(VLOOKUP($H103,areaCercaPuntiClassificaSquadra,3,FALSE),-1)=IFERROR(VLOOKUP($AC103,areaCercaPuntiClassificaSquadra,3,FALSE),-2)),SUMIFS(Dati!$E$2:$E$451,Dati!$A$2:$A$451,$H103,Dati!$H$2:$H$451,$AC103)+SUMIFS(Dati!$L$2:$L$451,Dati!$H$2:$H$451,$H103,Dati!$A$2:$A$451,$AC103),"-")</f>
        <v/>
      </c>
      <c r="BN103" s="22">
        <f>IF(AND($H103&lt;&gt;"",$AD103&lt;&gt;"",$H103&lt;&gt;$AD103,IFERROR(VLOOKUP($H103,areaCercaPuntiClassificaSquadra,3,FALSE),-1)=IFERROR(VLOOKUP($AD103,areaCercaPuntiClassificaSquadra,3,FALSE),-2)),SUMIFS(Dati!$E$2:$E$451,Dati!$A$2:$A$451,$H103,Dati!$H$2:$H$451,$AD103)+SUMIFS(Dati!$L$2:$L$451,Dati!$H$2:$H$451,$H103,Dati!$A$2:$A$451,$AD103),"-")</f>
        <v/>
      </c>
      <c r="BO103" s="22">
        <f>IF(AND($H103&lt;&gt;"",$AE103&lt;&gt;"",$H103&lt;&gt;$AE103,IFERROR(VLOOKUP($H103,areaCercaPuntiClassificaSquadra,3,FALSE),-1)=IFERROR(VLOOKUP($AE103,areaCercaPuntiClassificaSquadra,3,FALSE),-2)),SUMIFS(Dati!$E$2:$E$451,Dati!$A$2:$A$451,$H103,Dati!$H$2:$H$451,$AE103)+SUMIFS(Dati!$L$2:$L$451,Dati!$H$2:$H$451,$H103,Dati!$A$2:$A$451,$AE103),"-")</f>
        <v/>
      </c>
      <c r="BP103" s="22">
        <f>IF(AND($H103&lt;&gt;"",$AF103&lt;&gt;"",$H103&lt;&gt;$AF103,IFERROR(VLOOKUP($H103,areaCercaPuntiClassificaSquadra,3,FALSE),-1)=IFERROR(VLOOKUP($AF103,areaCercaPuntiClassificaSquadra,3,FALSE),-2)),SUMIFS(Dati!$E$2:$E$451,Dati!$A$2:$A$451,$H103,Dati!$H$2:$H$451,$AF103)+SUMIFS(Dati!$L$2:$L$451,Dati!$H$2:$H$451,$H103,Dati!$A$2:$A$451,$AF103),"-")</f>
        <v/>
      </c>
      <c r="BQ103" s="22">
        <f>IF(AND($H103&lt;&gt;"",$AG103&lt;&gt;"",$H103&lt;&gt;$AG103,IFERROR(VLOOKUP($H103,areaCercaPuntiClassificaSquadra,3,FALSE),-1)=IFERROR(VLOOKUP($AG103,areaCercaPuntiClassificaSquadra,3,FALSE),-2)),SUMIFS(Dati!$E$2:$E$451,Dati!$A$2:$A$451,$H103,Dati!$H$2:$H$451,$AG103)+SUMIFS(Dati!$L$2:$L$451,Dati!$H$2:$H$451,$H103,Dati!$A$2:$A$451,$AG103),"-")</f>
        <v/>
      </c>
      <c r="BR103" s="22">
        <f>IF(AND($H103&lt;&gt;"",$AH103&lt;&gt;"",$H103&lt;&gt;$AH103,IFERROR(VLOOKUP($H103,areaCercaPuntiClassificaSquadra,3,FALSE),-1)=IFERROR(VLOOKUP($AH103,areaCercaPuntiClassificaSquadra,3,FALSE),-2)),SUMIFS(Dati!$E$2:$E$451,Dati!$A$2:$A$451,$H103,Dati!$H$2:$H$451,$AH103)+SUMIFS(Dati!$L$2:$L$451,Dati!$H$2:$H$451,$H103,Dati!$A$2:$A$451,$AH103),"-")</f>
        <v/>
      </c>
      <c r="BT103" s="21">
        <f>$C103</f>
        <v/>
      </c>
      <c r="BU103" s="22">
        <f>IF(AND($H103&lt;&gt;"",$Y103&lt;&gt;"",$H103&lt;&gt;$Y103,IFERROR(VLOOKUP($H103,areaCercaPuntiClassificaSquadra,3,FALSE),-1)=IFERROR(VLOOKUP($Y103,areaCercaPuntiClassificaSquadra,3,FALSE),-2)),SUMIFS(Dati!$F$2:$F$451,Dati!$A$2:$A$451,$H103,Dati!$H$2:$H$451,$Y103)+SUMIFS(Dati!$M$2:$M$451,Dati!$H$2:$H$451,$H103,Dati!$A$2:$A$451,$Y103),"-")</f>
        <v/>
      </c>
      <c r="BV103" s="22">
        <f>IF(AND($H103&lt;&gt;"",$Z103&lt;&gt;"",$H103&lt;&gt;$Z103,IFERROR(VLOOKUP($H103,areaCercaPuntiClassificaSquadra,3,FALSE),-1)=IFERROR(VLOOKUP($Z103,areaCercaPuntiClassificaSquadra,3,FALSE),-2)),SUMIFS(Dati!$F$2:$F$451,Dati!$A$2:$A$451,$H103,Dati!$H$2:$H$451,$Z103)+SUMIFS(Dati!$M$2:$M$451,Dati!$H$2:$H$451,$H103,Dati!$A$2:$A$451,$Z103),"-")</f>
        <v/>
      </c>
      <c r="BW103" s="22">
        <f>IF(AND($H103&lt;&gt;"",$AA103&lt;&gt;"",$H103&lt;&gt;$AA103,IFERROR(VLOOKUP($H103,areaCercaPuntiClassificaSquadra,3,FALSE),-1)=IFERROR(VLOOKUP($AA103,areaCercaPuntiClassificaSquadra,3,FALSE),-2)),SUMIFS(Dati!$F$2:$F$451,Dati!$A$2:$A$451,$H103,Dati!$H$2:$H$451,$AA103)+SUMIFS(Dati!$M$2:$M$451,Dati!$H$2:$H$451,$H103,Dati!$A$2:$A$451,$AA103),"-")</f>
        <v/>
      </c>
      <c r="BX103" s="22">
        <f>IF(AND($H103&lt;&gt;"",$AB103&lt;&gt;"",$H103&lt;&gt;$AB103,IFERROR(VLOOKUP($H103,areaCercaPuntiClassificaSquadra,3,FALSE),-1)=IFERROR(VLOOKUP($AB103,areaCercaPuntiClassificaSquadra,3,FALSE),-2)),SUMIFS(Dati!$F$2:$F$451,Dati!$A$2:$A$451,$H103,Dati!$H$2:$H$451,$AB103)+SUMIFS(Dati!$M$2:$M$451,Dati!$H$2:$H$451,$H103,Dati!$A$2:$A$451,$AB103),"-")</f>
        <v/>
      </c>
      <c r="BY103" s="22">
        <f>IF(AND($H103&lt;&gt;"",$AC103&lt;&gt;"",$H103&lt;&gt;$AC103,IFERROR(VLOOKUP($H103,areaCercaPuntiClassificaSquadra,3,FALSE),-1)=IFERROR(VLOOKUP($AC103,areaCercaPuntiClassificaSquadra,3,FALSE),-2)),SUMIFS(Dati!$F$2:$F$451,Dati!$A$2:$A$451,$H103,Dati!$H$2:$H$451,$AC103)+SUMIFS(Dati!$M$2:$M$451,Dati!$H$2:$H$451,$H103,Dati!$A$2:$A$451,$AC103),"-")</f>
        <v/>
      </c>
      <c r="BZ103" s="22">
        <f>IF(AND($H103&lt;&gt;"",$AD103&lt;&gt;"",$H103&lt;&gt;$AD103,IFERROR(VLOOKUP($H103,areaCercaPuntiClassificaSquadra,3,FALSE),-1)=IFERROR(VLOOKUP($AD103,areaCercaPuntiClassificaSquadra,3,FALSE),-2)),SUMIFS(Dati!$F$2:$F$451,Dati!$A$2:$A$451,$H103,Dati!$H$2:$H$451,$AD103)+SUMIFS(Dati!$M$2:$M$451,Dati!$H$2:$H$451,$H103,Dati!$A$2:$A$451,$AD103),"-")</f>
        <v/>
      </c>
      <c r="CA103" s="22">
        <f>IF(AND($H103&lt;&gt;"",$AE103&lt;&gt;"",$H103&lt;&gt;$AE103,IFERROR(VLOOKUP($H103,areaCercaPuntiClassificaSquadra,3,FALSE),-1)=IFERROR(VLOOKUP($AE103,areaCercaPuntiClassificaSquadra,3,FALSE),-2)),SUMIFS(Dati!$F$2:$F$451,Dati!$A$2:$A$451,$H103,Dati!$H$2:$H$451,$AE103)+SUMIFS(Dati!$M$2:$M$451,Dati!$H$2:$H$451,$H103,Dati!$A$2:$A$451,$AE103),"-")</f>
        <v/>
      </c>
      <c r="CB103" s="22">
        <f>IF(AND($H103&lt;&gt;"",$AF103&lt;&gt;"",$H103&lt;&gt;$AF103,IFERROR(VLOOKUP($H103,areaCercaPuntiClassificaSquadra,3,FALSE),-1)=IFERROR(VLOOKUP($AF103,areaCercaPuntiClassificaSquadra,3,FALSE),-2)),SUMIFS(Dati!$F$2:$F$451,Dati!$A$2:$A$451,$H103,Dati!$H$2:$H$451,$AF103)+SUMIFS(Dati!$M$2:$M$451,Dati!$H$2:$H$451,$H103,Dati!$A$2:$A$451,$AF103),"-")</f>
        <v/>
      </c>
      <c r="CC103" s="22">
        <f>IF(AND($H103&lt;&gt;"",$AG103&lt;&gt;"",$H103&lt;&gt;$AG103,IFERROR(VLOOKUP($H103,areaCercaPuntiClassificaSquadra,3,FALSE),-1)=IFERROR(VLOOKUP($AG103,areaCercaPuntiClassificaSquadra,3,FALSE),-2)),SUMIFS(Dati!$F$2:$F$451,Dati!$A$2:$A$451,$H103,Dati!$H$2:$H$451,$AG103)+SUMIFS(Dati!$M$2:$M$451,Dati!$H$2:$H$451,$H103,Dati!$A$2:$A$451,$AG103),"-")</f>
        <v/>
      </c>
      <c r="CD103" s="22">
        <f>IF(AND($H103&lt;&gt;"",$AH103&lt;&gt;"",$H103&lt;&gt;$AH103,IFERROR(VLOOKUP($H103,areaCercaPuntiClassificaSquadra,3,FALSE),-1)=IFERROR(VLOOKUP($AH103,areaCercaPuntiClassificaSquadra,3,FALSE),-2)),SUMIFS(Dati!$F$2:$F$451,Dati!$A$2:$A$451,$H103,Dati!$H$2:$H$451,$AH103)+SUMIFS(Dati!$M$2:$M$451,Dati!$H$2:$H$451,$H103,Dati!$A$2:$A$451,$AH103),"-")</f>
        <v/>
      </c>
      <c r="CF103" s="22">
        <f>IF($C103="","",SUM(AK103:AT103))</f>
        <v/>
      </c>
    </row>
    <row r="104">
      <c r="B104" s="12" t="inlineStr">
        <is>
          <t>J01</t>
        </is>
      </c>
      <c r="C104" s="13" t="n"/>
      <c r="D104" s="14" t="n"/>
      <c r="E104" s="39" t="inlineStr">
        <is>
          <t>J</t>
        </is>
      </c>
      <c r="G104" s="40">
        <f>IF($C104="","",$E104&amp;(COUNTIFS(I$14:I$113,"&gt;"&amp;I104,E$14:E$113,"="&amp;E104,C$14:C$113,"&lt;&gt;")+COUNTIFS(I$14:I$113,"="&amp;I104,H$14:H$113,"&lt;="&amp;H104,E$14:E$113,"="&amp;E104,C$14:C$113,"&lt;&gt;")))</f>
        <v/>
      </c>
      <c r="H104" s="17">
        <f>IF($C104="","",IFERROR(LEFT($C104,FIND("-",$C104)-1),$C104))</f>
        <v/>
      </c>
      <c r="I104" s="12">
        <f>TEXT(1000000000+J104,"|0000000000|")&amp;TEXT(SUM(AK104:AT104),"0000000000|")&amp;IF(SUM(BU104:CD104)=0,"0000000000|",TEXT(ROUND(SUM(BI104:BR104)/SUM(BU104:CD104),4)*100000,"0000000000|"))&amp;IF(P104=0,"0000000000|",TEXT(ROUND(O104/P104,4)*100000,"0000000000|"))</f>
        <v/>
      </c>
      <c r="J104" s="40">
        <f>L104*constPuntiVittoria+M104*constPuntiSconfitta+N104*constPuntiForfait+IF(D104="",0,D104)</f>
        <v/>
      </c>
      <c r="K104" s="12">
        <f>SUM(L104:N104)</f>
        <v/>
      </c>
      <c r="L104" s="12">
        <f>IF($H104="",0,SUMIF(Dati!$A$2:$A$451,$H104,Dati!$B$2:$B$451)+SUMIF(Dati!$H$2:$H$451,$H104,Dati!$I$2:$I$451))</f>
        <v/>
      </c>
      <c r="M104" s="12">
        <f>IF($H104="",0,SUMIF(Dati!$A$2:$A$451,$H104,Dati!$D$2:$D$451)+SUMIF(Dati!$H$2:$H$451,$H104,Dati!$K$2:$K$451))</f>
        <v/>
      </c>
      <c r="N104" s="12">
        <f>IF($H104="",0,SUMIF(Dati!$A$2:$A$451,$H104,Dati!$C$2:$C$451)+SUMIF(Dati!$H$2:$H$451,$H104,Dati!$J$2:$J$451))</f>
        <v/>
      </c>
      <c r="O104" s="12">
        <f>IF($H104="",0,SUMIF(Dati!$A$2:$A$451,$H104,Dati!$E$2:$E$451)+SUMIF(Dati!$H$2:$H$451,$H104,Dati!$L$2:$L$451))</f>
        <v/>
      </c>
      <c r="P104" s="12">
        <f>IF($H104="",0,SUMIF(Dati!$A$2:$A$451,$H104,Dati!$F$2:$F$451)+SUMIF(Dati!$H$2:$H$451,$H104,Dati!$M$2:$M$451))</f>
        <v/>
      </c>
      <c r="Q104" s="12">
        <f>IF($H104="",0,SUMIF(Dati!$A$2:$A$451,$H104,Dati!$G$2:$G$451)+SUMIF(Dati!$H$2:$H$451,$H104,Dati!$N$2:$N$451))</f>
        <v/>
      </c>
      <c r="R104" s="12">
        <f>IF(K104=0,0,ROUND(O104/K104,2))</f>
        <v/>
      </c>
      <c r="S104" s="12">
        <f>IF(K104=0,0,ROUND(P104/K104,2))</f>
        <v/>
      </c>
      <c r="T104" s="12">
        <f>IF(K104=0,0,ROUND(Q104/K104,2))</f>
        <v/>
      </c>
      <c r="U104" s="12">
        <f>IF(COUNTIFS($E$14:$E$113,$E104,$J$14:$J$113,$J104,$C$14:$C$113,"&lt;&gt;")&lt;=1,"-",SUM(AK104:AT104)&amp;"-"&amp;SUM(AW104:BF104))</f>
        <v/>
      </c>
      <c r="V104" s="18">
        <f>IF(COUNTIFS($E$14:$E$113,$E104,$J$14:$J$113,$J104,$C$14:$C$113,"&lt;&gt;",$CF$14:$CF$113,$CF104)&lt;=1,"-",IF(SUM(BU104:CD104)=0,0,ROUND(SUM(BI104:BR104)/SUM(BU104:CD104),3)))</f>
        <v/>
      </c>
      <c r="W104" s="18">
        <f>IF(COUNTIFS($E$14:$E$113,$E104,$J$14:$J$113,$J104,$C$14:$C$113,"&lt;&gt;",$CF$14:$CF$113,$CF104,$V$14:$V$113,$V104)&lt;=1,"-",IF(P104=0,0,ROUND(O104/P104,3)))</f>
        <v/>
      </c>
      <c r="X104" s="19">
        <f>IF($C104="","",$E104&amp;"#"&amp;COUNTIFS($E$14:$E104,$E104,$C$14:$C104,"&lt;&gt;"))</f>
        <v/>
      </c>
      <c r="Y104" s="20">
        <f>IFERROR(INDEX($H$14:$H$113,MATCH($E104&amp;"#1",$X$14:$X$113,0)),"")</f>
        <v/>
      </c>
      <c r="Z104" s="20">
        <f>IFERROR(INDEX($H$14:$H$113,MATCH($E104&amp;"#2",$X$14:$X$113,0)),"")</f>
        <v/>
      </c>
      <c r="AA104" s="20">
        <f>IFERROR(INDEX($H$14:$H$113,MATCH($E104&amp;"#3",$X$14:$X$113,0)),"")</f>
        <v/>
      </c>
      <c r="AB104" s="20">
        <f>IFERROR(INDEX($H$14:$H$113,MATCH($E104&amp;"#4",$X$14:$X$113,0)),"")</f>
        <v/>
      </c>
      <c r="AC104" s="20">
        <f>IFERROR(INDEX($H$14:$H$113,MATCH($E104&amp;"#5",$X$14:$X$113,0)),"")</f>
        <v/>
      </c>
      <c r="AD104" s="20">
        <f>IFERROR(INDEX($H$14:$H$113,MATCH($E104&amp;"#6",$X$14:$X$113,0)),"")</f>
        <v/>
      </c>
      <c r="AE104" s="20">
        <f>IFERROR(INDEX($H$14:$H$113,MATCH($E104&amp;"#7",$X$14:$X$113,0)),"")</f>
        <v/>
      </c>
      <c r="AF104" s="20">
        <f>IFERROR(INDEX($H$14:$H$113,MATCH($E104&amp;"#8",$X$14:$X$113,0)),"")</f>
        <v/>
      </c>
      <c r="AG104" s="20">
        <f>IFERROR(INDEX($H$14:$H$113,MATCH($E104&amp;"#9",$X$14:$X$113,0)),"")</f>
        <v/>
      </c>
      <c r="AH104" s="20">
        <f>IFERROR(INDEX($H$14:$H$113,MATCH($E104&amp;"#10",$X$14:$X$113,0)),"")</f>
        <v/>
      </c>
      <c r="AJ104" s="21">
        <f>$C104</f>
        <v/>
      </c>
      <c r="AK104" s="22">
        <f>IF(AND($H104&lt;&gt;"",$Y104&lt;&gt;"",$H104&lt;&gt;$Y104,IFERROR(VLOOKUP($H104,areaCercaPuntiClassificaSquadra,3,FALSE),-1)=IFERROR(VLOOKUP($Y104,areaCercaPuntiClassificaSquadra,3,FALSE),-2)),SUMIFS(Dati!$B$2:$B$451,Dati!$A$2:$A$451,$H104,Dati!$H$2:$H$451,$Y104)+SUMIFS(Dati!$I$2:$I$451,Dati!$H$2:$H$451,$H104,Dati!$A$2:$A$451,$Y104),"-")</f>
        <v/>
      </c>
      <c r="AL104" s="22">
        <f>IF(AND($H104&lt;&gt;"",$Z104&lt;&gt;"",$H104&lt;&gt;$Z104,IFERROR(VLOOKUP($H104,areaCercaPuntiClassificaSquadra,3,FALSE),-1)=IFERROR(VLOOKUP($Z104,areaCercaPuntiClassificaSquadra,3,FALSE),-2)),SUMIFS(Dati!$B$2:$B$451,Dati!$A$2:$A$451,$H104,Dati!$H$2:$H$451,$Z104)+SUMIFS(Dati!$I$2:$I$451,Dati!$H$2:$H$451,$H104,Dati!$A$2:$A$451,$Z104),"-")</f>
        <v/>
      </c>
      <c r="AM104" s="22">
        <f>IF(AND($H104&lt;&gt;"",$AA104&lt;&gt;"",$H104&lt;&gt;$AA104,IFERROR(VLOOKUP($H104,areaCercaPuntiClassificaSquadra,3,FALSE),-1)=IFERROR(VLOOKUP($AA104,areaCercaPuntiClassificaSquadra,3,FALSE),-2)),SUMIFS(Dati!$B$2:$B$451,Dati!$A$2:$A$451,$H104,Dati!$H$2:$H$451,$AA104)+SUMIFS(Dati!$I$2:$I$451,Dati!$H$2:$H$451,$H104,Dati!$A$2:$A$451,$AA104),"-")</f>
        <v/>
      </c>
      <c r="AN104" s="22">
        <f>IF(AND($H104&lt;&gt;"",$AB104&lt;&gt;"",$H104&lt;&gt;$AB104,IFERROR(VLOOKUP($H104,areaCercaPuntiClassificaSquadra,3,FALSE),-1)=IFERROR(VLOOKUP($AB104,areaCercaPuntiClassificaSquadra,3,FALSE),-2)),SUMIFS(Dati!$B$2:$B$451,Dati!$A$2:$A$451,$H104,Dati!$H$2:$H$451,$AB104)+SUMIFS(Dati!$I$2:$I$451,Dati!$H$2:$H$451,$H104,Dati!$A$2:$A$451,$AB104),"-")</f>
        <v/>
      </c>
      <c r="AO104" s="22">
        <f>IF(AND($H104&lt;&gt;"",$AC104&lt;&gt;"",$H104&lt;&gt;$AC104,IFERROR(VLOOKUP($H104,areaCercaPuntiClassificaSquadra,3,FALSE),-1)=IFERROR(VLOOKUP($AC104,areaCercaPuntiClassificaSquadra,3,FALSE),-2)),SUMIFS(Dati!$B$2:$B$451,Dati!$A$2:$A$451,$H104,Dati!$H$2:$H$451,$AC104)+SUMIFS(Dati!$I$2:$I$451,Dati!$H$2:$H$451,$H104,Dati!$A$2:$A$451,$AC104),"-")</f>
        <v/>
      </c>
      <c r="AP104" s="22">
        <f>IF(AND($H104&lt;&gt;"",$AD104&lt;&gt;"",$H104&lt;&gt;$AD104,IFERROR(VLOOKUP($H104,areaCercaPuntiClassificaSquadra,3,FALSE),-1)=IFERROR(VLOOKUP($AD104,areaCercaPuntiClassificaSquadra,3,FALSE),-2)),SUMIFS(Dati!$B$2:$B$451,Dati!$A$2:$A$451,$H104,Dati!$H$2:$H$451,$AD104)+SUMIFS(Dati!$I$2:$I$451,Dati!$H$2:$H$451,$H104,Dati!$A$2:$A$451,$AD104),"-")</f>
        <v/>
      </c>
      <c r="AQ104" s="22">
        <f>IF(AND($H104&lt;&gt;"",$AE104&lt;&gt;"",$H104&lt;&gt;$AE104,IFERROR(VLOOKUP($H104,areaCercaPuntiClassificaSquadra,3,FALSE),-1)=IFERROR(VLOOKUP($AE104,areaCercaPuntiClassificaSquadra,3,FALSE),-2)),SUMIFS(Dati!$B$2:$B$451,Dati!$A$2:$A$451,$H104,Dati!$H$2:$H$451,$AE104)+SUMIFS(Dati!$I$2:$I$451,Dati!$H$2:$H$451,$H104,Dati!$A$2:$A$451,$AE104),"-")</f>
        <v/>
      </c>
      <c r="AR104" s="22">
        <f>IF(AND($H104&lt;&gt;"",$AF104&lt;&gt;"",$H104&lt;&gt;$AF104,IFERROR(VLOOKUP($H104,areaCercaPuntiClassificaSquadra,3,FALSE),-1)=IFERROR(VLOOKUP($AF104,areaCercaPuntiClassificaSquadra,3,FALSE),-2)),SUMIFS(Dati!$B$2:$B$451,Dati!$A$2:$A$451,$H104,Dati!$H$2:$H$451,$AF104)+SUMIFS(Dati!$I$2:$I$451,Dati!$H$2:$H$451,$H104,Dati!$A$2:$A$451,$AF104),"-")</f>
        <v/>
      </c>
      <c r="AS104" s="22">
        <f>IF(AND($H104&lt;&gt;"",$AG104&lt;&gt;"",$H104&lt;&gt;$AG104,IFERROR(VLOOKUP($H104,areaCercaPuntiClassificaSquadra,3,FALSE),-1)=IFERROR(VLOOKUP($AG104,areaCercaPuntiClassificaSquadra,3,FALSE),-2)),SUMIFS(Dati!$B$2:$B$451,Dati!$A$2:$A$451,$H104,Dati!$H$2:$H$451,$AG104)+SUMIFS(Dati!$I$2:$I$451,Dati!$H$2:$H$451,$H104,Dati!$A$2:$A$451,$AG104),"-")</f>
        <v/>
      </c>
      <c r="AT104" s="22">
        <f>IF(AND($H104&lt;&gt;"",$AH104&lt;&gt;"",$H104&lt;&gt;$AH104,IFERROR(VLOOKUP($H104,areaCercaPuntiClassificaSquadra,3,FALSE),-1)=IFERROR(VLOOKUP($AH104,areaCercaPuntiClassificaSquadra,3,FALSE),-2)),SUMIFS(Dati!$B$2:$B$451,Dati!$A$2:$A$451,$H104,Dati!$H$2:$H$451,$AH104)+SUMIFS(Dati!$I$2:$I$451,Dati!$H$2:$H$451,$H104,Dati!$A$2:$A$451,$AH104),"-")</f>
        <v/>
      </c>
      <c r="AV104" s="21">
        <f>$C104</f>
        <v/>
      </c>
      <c r="AW104" s="22">
        <f>IF(AND($H104&lt;&gt;"",$Y104&lt;&gt;"",$H104&lt;&gt;$Y104,IFERROR(VLOOKUP($H104,areaCercaPuntiClassificaSquadra,3,FALSE),-1)=IFERROR(VLOOKUP($Y104,areaCercaPuntiClassificaSquadra,3,FALSE),-2)),SUMIFS(Dati!$D$2:$D$451,Dati!$A$2:$A$451,$H104,Dati!$H$2:$H$451,$Y104)+SUMIFS(Dati!$K$2:$K$451,Dati!$H$2:$H$451,$H104,Dati!$A$2:$A$451,$Y104)+SUMIFS(Dati!$C$2:$C$451,Dati!$A$2:$A$451,$H104,Dati!$H$2:$H$451,$Y104)+SUMIFS(Dati!$J$2:$J$451,Dati!$H$2:$H$451,$H104,Dati!$A$2:$A$451,$Y104),"-")</f>
        <v/>
      </c>
      <c r="AX104" s="22">
        <f>IF(AND($H104&lt;&gt;"",$Z104&lt;&gt;"",$H104&lt;&gt;$Z104,IFERROR(VLOOKUP($H104,areaCercaPuntiClassificaSquadra,3,FALSE),-1)=IFERROR(VLOOKUP($Z104,areaCercaPuntiClassificaSquadra,3,FALSE),-2)),SUMIFS(Dati!$D$2:$D$451,Dati!$A$2:$A$451,$H104,Dati!$H$2:$H$451,$Z104)+SUMIFS(Dati!$K$2:$K$451,Dati!$H$2:$H$451,$H104,Dati!$A$2:$A$451,$Z104)+SUMIFS(Dati!$C$2:$C$451,Dati!$A$2:$A$451,$H104,Dati!$H$2:$H$451,$Z104)+SUMIFS(Dati!$J$2:$J$451,Dati!$H$2:$H$451,$H104,Dati!$A$2:$A$451,$Z104),"-")</f>
        <v/>
      </c>
      <c r="AY104" s="22">
        <f>IF(AND($H104&lt;&gt;"",$AA104&lt;&gt;"",$H104&lt;&gt;$AA104,IFERROR(VLOOKUP($H104,areaCercaPuntiClassificaSquadra,3,FALSE),-1)=IFERROR(VLOOKUP($AA104,areaCercaPuntiClassificaSquadra,3,FALSE),-2)),SUMIFS(Dati!$D$2:$D$451,Dati!$A$2:$A$451,$H104,Dati!$H$2:$H$451,$AA104)+SUMIFS(Dati!$K$2:$K$451,Dati!$H$2:$H$451,$H104,Dati!$A$2:$A$451,$AA104)+SUMIFS(Dati!$C$2:$C$451,Dati!$A$2:$A$451,$H104,Dati!$H$2:$H$451,$AA104)+SUMIFS(Dati!$J$2:$J$451,Dati!$H$2:$H$451,$H104,Dati!$A$2:$A$451,$AA104),"-")</f>
        <v/>
      </c>
      <c r="AZ104" s="22">
        <f>IF(AND($H104&lt;&gt;"",$AB104&lt;&gt;"",$H104&lt;&gt;$AB104,IFERROR(VLOOKUP($H104,areaCercaPuntiClassificaSquadra,3,FALSE),-1)=IFERROR(VLOOKUP($AB104,areaCercaPuntiClassificaSquadra,3,FALSE),-2)),SUMIFS(Dati!$D$2:$D$451,Dati!$A$2:$A$451,$H104,Dati!$H$2:$H$451,$AB104)+SUMIFS(Dati!$K$2:$K$451,Dati!$H$2:$H$451,$H104,Dati!$A$2:$A$451,$AB104)+SUMIFS(Dati!$C$2:$C$451,Dati!$A$2:$A$451,$H104,Dati!$H$2:$H$451,$AB104)+SUMIFS(Dati!$J$2:$J$451,Dati!$H$2:$H$451,$H104,Dati!$A$2:$A$451,$AB104),"-")</f>
        <v/>
      </c>
      <c r="BA104" s="22">
        <f>IF(AND($H104&lt;&gt;"",$AC104&lt;&gt;"",$H104&lt;&gt;$AC104,IFERROR(VLOOKUP($H104,areaCercaPuntiClassificaSquadra,3,FALSE),-1)=IFERROR(VLOOKUP($AC104,areaCercaPuntiClassificaSquadra,3,FALSE),-2)),SUMIFS(Dati!$D$2:$D$451,Dati!$A$2:$A$451,$H104,Dati!$H$2:$H$451,$AC104)+SUMIFS(Dati!$K$2:$K$451,Dati!$H$2:$H$451,$H104,Dati!$A$2:$A$451,$AC104)+SUMIFS(Dati!$C$2:$C$451,Dati!$A$2:$A$451,$H104,Dati!$H$2:$H$451,$AC104)+SUMIFS(Dati!$J$2:$J$451,Dati!$H$2:$H$451,$H104,Dati!$A$2:$A$451,$AC104),"-")</f>
        <v/>
      </c>
      <c r="BB104" s="22">
        <f>IF(AND($H104&lt;&gt;"",$AD104&lt;&gt;"",$H104&lt;&gt;$AD104,IFERROR(VLOOKUP($H104,areaCercaPuntiClassificaSquadra,3,FALSE),-1)=IFERROR(VLOOKUP($AD104,areaCercaPuntiClassificaSquadra,3,FALSE),-2)),SUMIFS(Dati!$D$2:$D$451,Dati!$A$2:$A$451,$H104,Dati!$H$2:$H$451,$AD104)+SUMIFS(Dati!$K$2:$K$451,Dati!$H$2:$H$451,$H104,Dati!$A$2:$A$451,$AD104)+SUMIFS(Dati!$C$2:$C$451,Dati!$A$2:$A$451,$H104,Dati!$H$2:$H$451,$AD104)+SUMIFS(Dati!$J$2:$J$451,Dati!$H$2:$H$451,$H104,Dati!$A$2:$A$451,$AD104),"-")</f>
        <v/>
      </c>
      <c r="BC104" s="22">
        <f>IF(AND($H104&lt;&gt;"",$AE104&lt;&gt;"",$H104&lt;&gt;$AE104,IFERROR(VLOOKUP($H104,areaCercaPuntiClassificaSquadra,3,FALSE),-1)=IFERROR(VLOOKUP($AE104,areaCercaPuntiClassificaSquadra,3,FALSE),-2)),SUMIFS(Dati!$D$2:$D$451,Dati!$A$2:$A$451,$H104,Dati!$H$2:$H$451,$AE104)+SUMIFS(Dati!$K$2:$K$451,Dati!$H$2:$H$451,$H104,Dati!$A$2:$A$451,$AE104)+SUMIFS(Dati!$C$2:$C$451,Dati!$A$2:$A$451,$H104,Dati!$H$2:$H$451,$AE104)+SUMIFS(Dati!$J$2:$J$451,Dati!$H$2:$H$451,$H104,Dati!$A$2:$A$451,$AE104),"-")</f>
        <v/>
      </c>
      <c r="BD104" s="22">
        <f>IF(AND($H104&lt;&gt;"",$AF104&lt;&gt;"",$H104&lt;&gt;$AF104,IFERROR(VLOOKUP($H104,areaCercaPuntiClassificaSquadra,3,FALSE),-1)=IFERROR(VLOOKUP($AF104,areaCercaPuntiClassificaSquadra,3,FALSE),-2)),SUMIFS(Dati!$D$2:$D$451,Dati!$A$2:$A$451,$H104,Dati!$H$2:$H$451,$AF104)+SUMIFS(Dati!$K$2:$K$451,Dati!$H$2:$H$451,$H104,Dati!$A$2:$A$451,$AF104)+SUMIFS(Dati!$C$2:$C$451,Dati!$A$2:$A$451,$H104,Dati!$H$2:$H$451,$AF104)+SUMIFS(Dati!$J$2:$J$451,Dati!$H$2:$H$451,$H104,Dati!$A$2:$A$451,$AF104),"-")</f>
        <v/>
      </c>
      <c r="BE104" s="22">
        <f>IF(AND($H104&lt;&gt;"",$AG104&lt;&gt;"",$H104&lt;&gt;$AG104,IFERROR(VLOOKUP($H104,areaCercaPuntiClassificaSquadra,3,FALSE),-1)=IFERROR(VLOOKUP($AG104,areaCercaPuntiClassificaSquadra,3,FALSE),-2)),SUMIFS(Dati!$D$2:$D$451,Dati!$A$2:$A$451,$H104,Dati!$H$2:$H$451,$AG104)+SUMIFS(Dati!$K$2:$K$451,Dati!$H$2:$H$451,$H104,Dati!$A$2:$A$451,$AG104)+SUMIFS(Dati!$C$2:$C$451,Dati!$A$2:$A$451,$H104,Dati!$H$2:$H$451,$AG104)+SUMIFS(Dati!$J$2:$J$451,Dati!$H$2:$H$451,$H104,Dati!$A$2:$A$451,$AG104),"-")</f>
        <v/>
      </c>
      <c r="BF104" s="22">
        <f>IF(AND($H104&lt;&gt;"",$AH104&lt;&gt;"",$H104&lt;&gt;$AH104,IFERROR(VLOOKUP($H104,areaCercaPuntiClassificaSquadra,3,FALSE),-1)=IFERROR(VLOOKUP($AH104,areaCercaPuntiClassificaSquadra,3,FALSE),-2)),SUMIFS(Dati!$D$2:$D$451,Dati!$A$2:$A$451,$H104,Dati!$H$2:$H$451,$AH104)+SUMIFS(Dati!$K$2:$K$451,Dati!$H$2:$H$451,$H104,Dati!$A$2:$A$451,$AH104)+SUMIFS(Dati!$C$2:$C$451,Dati!$A$2:$A$451,$H104,Dati!$H$2:$H$451,$AH104)+SUMIFS(Dati!$J$2:$J$451,Dati!$H$2:$H$451,$H104,Dati!$A$2:$A$451,$AH104),"-")</f>
        <v/>
      </c>
      <c r="BH104" s="21">
        <f>$C104</f>
        <v/>
      </c>
      <c r="BI104" s="22">
        <f>IF(AND($H104&lt;&gt;"",$Y104&lt;&gt;"",$H104&lt;&gt;$Y104,IFERROR(VLOOKUP($H104,areaCercaPuntiClassificaSquadra,3,FALSE),-1)=IFERROR(VLOOKUP($Y104,areaCercaPuntiClassificaSquadra,3,FALSE),-2)),SUMIFS(Dati!$E$2:$E$451,Dati!$A$2:$A$451,$H104,Dati!$H$2:$H$451,$Y104)+SUMIFS(Dati!$L$2:$L$451,Dati!$H$2:$H$451,$H104,Dati!$A$2:$A$451,$Y104),"-")</f>
        <v/>
      </c>
      <c r="BJ104" s="22">
        <f>IF(AND($H104&lt;&gt;"",$Z104&lt;&gt;"",$H104&lt;&gt;$Z104,IFERROR(VLOOKUP($H104,areaCercaPuntiClassificaSquadra,3,FALSE),-1)=IFERROR(VLOOKUP($Z104,areaCercaPuntiClassificaSquadra,3,FALSE),-2)),SUMIFS(Dati!$E$2:$E$451,Dati!$A$2:$A$451,$H104,Dati!$H$2:$H$451,$Z104)+SUMIFS(Dati!$L$2:$L$451,Dati!$H$2:$H$451,$H104,Dati!$A$2:$A$451,$Z104),"-")</f>
        <v/>
      </c>
      <c r="BK104" s="22">
        <f>IF(AND($H104&lt;&gt;"",$AA104&lt;&gt;"",$H104&lt;&gt;$AA104,IFERROR(VLOOKUP($H104,areaCercaPuntiClassificaSquadra,3,FALSE),-1)=IFERROR(VLOOKUP($AA104,areaCercaPuntiClassificaSquadra,3,FALSE),-2)),SUMIFS(Dati!$E$2:$E$451,Dati!$A$2:$A$451,$H104,Dati!$H$2:$H$451,$AA104)+SUMIFS(Dati!$L$2:$L$451,Dati!$H$2:$H$451,$H104,Dati!$A$2:$A$451,$AA104),"-")</f>
        <v/>
      </c>
      <c r="BL104" s="22">
        <f>IF(AND($H104&lt;&gt;"",$AB104&lt;&gt;"",$H104&lt;&gt;$AB104,IFERROR(VLOOKUP($H104,areaCercaPuntiClassificaSquadra,3,FALSE),-1)=IFERROR(VLOOKUP($AB104,areaCercaPuntiClassificaSquadra,3,FALSE),-2)),SUMIFS(Dati!$E$2:$E$451,Dati!$A$2:$A$451,$H104,Dati!$H$2:$H$451,$AB104)+SUMIFS(Dati!$L$2:$L$451,Dati!$H$2:$H$451,$H104,Dati!$A$2:$A$451,$AB104),"-")</f>
        <v/>
      </c>
      <c r="BM104" s="22">
        <f>IF(AND($H104&lt;&gt;"",$AC104&lt;&gt;"",$H104&lt;&gt;$AC104,IFERROR(VLOOKUP($H104,areaCercaPuntiClassificaSquadra,3,FALSE),-1)=IFERROR(VLOOKUP($AC104,areaCercaPuntiClassificaSquadra,3,FALSE),-2)),SUMIFS(Dati!$E$2:$E$451,Dati!$A$2:$A$451,$H104,Dati!$H$2:$H$451,$AC104)+SUMIFS(Dati!$L$2:$L$451,Dati!$H$2:$H$451,$H104,Dati!$A$2:$A$451,$AC104),"-")</f>
        <v/>
      </c>
      <c r="BN104" s="22">
        <f>IF(AND($H104&lt;&gt;"",$AD104&lt;&gt;"",$H104&lt;&gt;$AD104,IFERROR(VLOOKUP($H104,areaCercaPuntiClassificaSquadra,3,FALSE),-1)=IFERROR(VLOOKUP($AD104,areaCercaPuntiClassificaSquadra,3,FALSE),-2)),SUMIFS(Dati!$E$2:$E$451,Dati!$A$2:$A$451,$H104,Dati!$H$2:$H$451,$AD104)+SUMIFS(Dati!$L$2:$L$451,Dati!$H$2:$H$451,$H104,Dati!$A$2:$A$451,$AD104),"-")</f>
        <v/>
      </c>
      <c r="BO104" s="22">
        <f>IF(AND($H104&lt;&gt;"",$AE104&lt;&gt;"",$H104&lt;&gt;$AE104,IFERROR(VLOOKUP($H104,areaCercaPuntiClassificaSquadra,3,FALSE),-1)=IFERROR(VLOOKUP($AE104,areaCercaPuntiClassificaSquadra,3,FALSE),-2)),SUMIFS(Dati!$E$2:$E$451,Dati!$A$2:$A$451,$H104,Dati!$H$2:$H$451,$AE104)+SUMIFS(Dati!$L$2:$L$451,Dati!$H$2:$H$451,$H104,Dati!$A$2:$A$451,$AE104),"-")</f>
        <v/>
      </c>
      <c r="BP104" s="22">
        <f>IF(AND($H104&lt;&gt;"",$AF104&lt;&gt;"",$H104&lt;&gt;$AF104,IFERROR(VLOOKUP($H104,areaCercaPuntiClassificaSquadra,3,FALSE),-1)=IFERROR(VLOOKUP($AF104,areaCercaPuntiClassificaSquadra,3,FALSE),-2)),SUMIFS(Dati!$E$2:$E$451,Dati!$A$2:$A$451,$H104,Dati!$H$2:$H$451,$AF104)+SUMIFS(Dati!$L$2:$L$451,Dati!$H$2:$H$451,$H104,Dati!$A$2:$A$451,$AF104),"-")</f>
        <v/>
      </c>
      <c r="BQ104" s="22">
        <f>IF(AND($H104&lt;&gt;"",$AG104&lt;&gt;"",$H104&lt;&gt;$AG104,IFERROR(VLOOKUP($H104,areaCercaPuntiClassificaSquadra,3,FALSE),-1)=IFERROR(VLOOKUP($AG104,areaCercaPuntiClassificaSquadra,3,FALSE),-2)),SUMIFS(Dati!$E$2:$E$451,Dati!$A$2:$A$451,$H104,Dati!$H$2:$H$451,$AG104)+SUMIFS(Dati!$L$2:$L$451,Dati!$H$2:$H$451,$H104,Dati!$A$2:$A$451,$AG104),"-")</f>
        <v/>
      </c>
      <c r="BR104" s="22">
        <f>IF(AND($H104&lt;&gt;"",$AH104&lt;&gt;"",$H104&lt;&gt;$AH104,IFERROR(VLOOKUP($H104,areaCercaPuntiClassificaSquadra,3,FALSE),-1)=IFERROR(VLOOKUP($AH104,areaCercaPuntiClassificaSquadra,3,FALSE),-2)),SUMIFS(Dati!$E$2:$E$451,Dati!$A$2:$A$451,$H104,Dati!$H$2:$H$451,$AH104)+SUMIFS(Dati!$L$2:$L$451,Dati!$H$2:$H$451,$H104,Dati!$A$2:$A$451,$AH104),"-")</f>
        <v/>
      </c>
      <c r="BT104" s="21">
        <f>$C104</f>
        <v/>
      </c>
      <c r="BU104" s="22">
        <f>IF(AND($H104&lt;&gt;"",$Y104&lt;&gt;"",$H104&lt;&gt;$Y104,IFERROR(VLOOKUP($H104,areaCercaPuntiClassificaSquadra,3,FALSE),-1)=IFERROR(VLOOKUP($Y104,areaCercaPuntiClassificaSquadra,3,FALSE),-2)),SUMIFS(Dati!$F$2:$F$451,Dati!$A$2:$A$451,$H104,Dati!$H$2:$H$451,$Y104)+SUMIFS(Dati!$M$2:$M$451,Dati!$H$2:$H$451,$H104,Dati!$A$2:$A$451,$Y104),"-")</f>
        <v/>
      </c>
      <c r="BV104" s="22">
        <f>IF(AND($H104&lt;&gt;"",$Z104&lt;&gt;"",$H104&lt;&gt;$Z104,IFERROR(VLOOKUP($H104,areaCercaPuntiClassificaSquadra,3,FALSE),-1)=IFERROR(VLOOKUP($Z104,areaCercaPuntiClassificaSquadra,3,FALSE),-2)),SUMIFS(Dati!$F$2:$F$451,Dati!$A$2:$A$451,$H104,Dati!$H$2:$H$451,$Z104)+SUMIFS(Dati!$M$2:$M$451,Dati!$H$2:$H$451,$H104,Dati!$A$2:$A$451,$Z104),"-")</f>
        <v/>
      </c>
      <c r="BW104" s="22">
        <f>IF(AND($H104&lt;&gt;"",$AA104&lt;&gt;"",$H104&lt;&gt;$AA104,IFERROR(VLOOKUP($H104,areaCercaPuntiClassificaSquadra,3,FALSE),-1)=IFERROR(VLOOKUP($AA104,areaCercaPuntiClassificaSquadra,3,FALSE),-2)),SUMIFS(Dati!$F$2:$F$451,Dati!$A$2:$A$451,$H104,Dati!$H$2:$H$451,$AA104)+SUMIFS(Dati!$M$2:$M$451,Dati!$H$2:$H$451,$H104,Dati!$A$2:$A$451,$AA104),"-")</f>
        <v/>
      </c>
      <c r="BX104" s="22">
        <f>IF(AND($H104&lt;&gt;"",$AB104&lt;&gt;"",$H104&lt;&gt;$AB104,IFERROR(VLOOKUP($H104,areaCercaPuntiClassificaSquadra,3,FALSE),-1)=IFERROR(VLOOKUP($AB104,areaCercaPuntiClassificaSquadra,3,FALSE),-2)),SUMIFS(Dati!$F$2:$F$451,Dati!$A$2:$A$451,$H104,Dati!$H$2:$H$451,$AB104)+SUMIFS(Dati!$M$2:$M$451,Dati!$H$2:$H$451,$H104,Dati!$A$2:$A$451,$AB104),"-")</f>
        <v/>
      </c>
      <c r="BY104" s="22">
        <f>IF(AND($H104&lt;&gt;"",$AC104&lt;&gt;"",$H104&lt;&gt;$AC104,IFERROR(VLOOKUP($H104,areaCercaPuntiClassificaSquadra,3,FALSE),-1)=IFERROR(VLOOKUP($AC104,areaCercaPuntiClassificaSquadra,3,FALSE),-2)),SUMIFS(Dati!$F$2:$F$451,Dati!$A$2:$A$451,$H104,Dati!$H$2:$H$451,$AC104)+SUMIFS(Dati!$M$2:$M$451,Dati!$H$2:$H$451,$H104,Dati!$A$2:$A$451,$AC104),"-")</f>
        <v/>
      </c>
      <c r="BZ104" s="22">
        <f>IF(AND($H104&lt;&gt;"",$AD104&lt;&gt;"",$H104&lt;&gt;$AD104,IFERROR(VLOOKUP($H104,areaCercaPuntiClassificaSquadra,3,FALSE),-1)=IFERROR(VLOOKUP($AD104,areaCercaPuntiClassificaSquadra,3,FALSE),-2)),SUMIFS(Dati!$F$2:$F$451,Dati!$A$2:$A$451,$H104,Dati!$H$2:$H$451,$AD104)+SUMIFS(Dati!$M$2:$M$451,Dati!$H$2:$H$451,$H104,Dati!$A$2:$A$451,$AD104),"-")</f>
        <v/>
      </c>
      <c r="CA104" s="22">
        <f>IF(AND($H104&lt;&gt;"",$AE104&lt;&gt;"",$H104&lt;&gt;$AE104,IFERROR(VLOOKUP($H104,areaCercaPuntiClassificaSquadra,3,FALSE),-1)=IFERROR(VLOOKUP($AE104,areaCercaPuntiClassificaSquadra,3,FALSE),-2)),SUMIFS(Dati!$F$2:$F$451,Dati!$A$2:$A$451,$H104,Dati!$H$2:$H$451,$AE104)+SUMIFS(Dati!$M$2:$M$451,Dati!$H$2:$H$451,$H104,Dati!$A$2:$A$451,$AE104),"-")</f>
        <v/>
      </c>
      <c r="CB104" s="22">
        <f>IF(AND($H104&lt;&gt;"",$AF104&lt;&gt;"",$H104&lt;&gt;$AF104,IFERROR(VLOOKUP($H104,areaCercaPuntiClassificaSquadra,3,FALSE),-1)=IFERROR(VLOOKUP($AF104,areaCercaPuntiClassificaSquadra,3,FALSE),-2)),SUMIFS(Dati!$F$2:$F$451,Dati!$A$2:$A$451,$H104,Dati!$H$2:$H$451,$AF104)+SUMIFS(Dati!$M$2:$M$451,Dati!$H$2:$H$451,$H104,Dati!$A$2:$A$451,$AF104),"-")</f>
        <v/>
      </c>
      <c r="CC104" s="22">
        <f>IF(AND($H104&lt;&gt;"",$AG104&lt;&gt;"",$H104&lt;&gt;$AG104,IFERROR(VLOOKUP($H104,areaCercaPuntiClassificaSquadra,3,FALSE),-1)=IFERROR(VLOOKUP($AG104,areaCercaPuntiClassificaSquadra,3,FALSE),-2)),SUMIFS(Dati!$F$2:$F$451,Dati!$A$2:$A$451,$H104,Dati!$H$2:$H$451,$AG104)+SUMIFS(Dati!$M$2:$M$451,Dati!$H$2:$H$451,$H104,Dati!$A$2:$A$451,$AG104),"-")</f>
        <v/>
      </c>
      <c r="CD104" s="22">
        <f>IF(AND($H104&lt;&gt;"",$AH104&lt;&gt;"",$H104&lt;&gt;$AH104,IFERROR(VLOOKUP($H104,areaCercaPuntiClassificaSquadra,3,FALSE),-1)=IFERROR(VLOOKUP($AH104,areaCercaPuntiClassificaSquadra,3,FALSE),-2)),SUMIFS(Dati!$F$2:$F$451,Dati!$A$2:$A$451,$H104,Dati!$H$2:$H$451,$AH104)+SUMIFS(Dati!$M$2:$M$451,Dati!$H$2:$H$451,$H104,Dati!$A$2:$A$451,$AH104),"-")</f>
        <v/>
      </c>
      <c r="CF104" s="22">
        <f>IF($C104="","",SUM(AK104:AT104))</f>
        <v/>
      </c>
    </row>
    <row r="105">
      <c r="B105" s="12" t="inlineStr">
        <is>
          <t>J02</t>
        </is>
      </c>
      <c r="C105" s="13" t="n"/>
      <c r="D105" s="14" t="n"/>
      <c r="E105" s="39" t="inlineStr">
        <is>
          <t>J</t>
        </is>
      </c>
      <c r="G105" s="40">
        <f>IF($C105="","",$E105&amp;(COUNTIFS(I$14:I$113,"&gt;"&amp;I105,E$14:E$113,"="&amp;E105,C$14:C$113,"&lt;&gt;")+COUNTIFS(I$14:I$113,"="&amp;I105,H$14:H$113,"&lt;="&amp;H105,E$14:E$113,"="&amp;E105,C$14:C$113,"&lt;&gt;")))</f>
        <v/>
      </c>
      <c r="H105" s="17">
        <f>IF($C105="","",IFERROR(LEFT($C105,FIND("-",$C105)-1),$C105))</f>
        <v/>
      </c>
      <c r="I105" s="12">
        <f>TEXT(1000000000+J105,"|0000000000|")&amp;TEXT(SUM(AK105:AT105),"0000000000|")&amp;IF(SUM(BU105:CD105)=0,"0000000000|",TEXT(ROUND(SUM(BI105:BR105)/SUM(BU105:CD105),4)*100000,"0000000000|"))&amp;IF(P105=0,"0000000000|",TEXT(ROUND(O105/P105,4)*100000,"0000000000|"))</f>
        <v/>
      </c>
      <c r="J105" s="40">
        <f>L105*constPuntiVittoria+M105*constPuntiSconfitta+N105*constPuntiForfait+IF(D105="",0,D105)</f>
        <v/>
      </c>
      <c r="K105" s="12">
        <f>SUM(L105:N105)</f>
        <v/>
      </c>
      <c r="L105" s="12">
        <f>IF($H105="",0,SUMIF(Dati!$A$2:$A$451,$H105,Dati!$B$2:$B$451)+SUMIF(Dati!$H$2:$H$451,$H105,Dati!$I$2:$I$451))</f>
        <v/>
      </c>
      <c r="M105" s="12">
        <f>IF($H105="",0,SUMIF(Dati!$A$2:$A$451,$H105,Dati!$D$2:$D$451)+SUMIF(Dati!$H$2:$H$451,$H105,Dati!$K$2:$K$451))</f>
        <v/>
      </c>
      <c r="N105" s="12">
        <f>IF($H105="",0,SUMIF(Dati!$A$2:$A$451,$H105,Dati!$C$2:$C$451)+SUMIF(Dati!$H$2:$H$451,$H105,Dati!$J$2:$J$451))</f>
        <v/>
      </c>
      <c r="O105" s="12">
        <f>IF($H105="",0,SUMIF(Dati!$A$2:$A$451,$H105,Dati!$E$2:$E$451)+SUMIF(Dati!$H$2:$H$451,$H105,Dati!$L$2:$L$451))</f>
        <v/>
      </c>
      <c r="P105" s="12">
        <f>IF($H105="",0,SUMIF(Dati!$A$2:$A$451,$H105,Dati!$F$2:$F$451)+SUMIF(Dati!$H$2:$H$451,$H105,Dati!$M$2:$M$451))</f>
        <v/>
      </c>
      <c r="Q105" s="12">
        <f>IF($H105="",0,SUMIF(Dati!$A$2:$A$451,$H105,Dati!$G$2:$G$451)+SUMIF(Dati!$H$2:$H$451,$H105,Dati!$N$2:$N$451))</f>
        <v/>
      </c>
      <c r="R105" s="12">
        <f>IF(K105=0,0,ROUND(O105/K105,2))</f>
        <v/>
      </c>
      <c r="S105" s="12">
        <f>IF(K105=0,0,ROUND(P105/K105,2))</f>
        <v/>
      </c>
      <c r="T105" s="12">
        <f>IF(K105=0,0,ROUND(Q105/K105,2))</f>
        <v/>
      </c>
      <c r="U105" s="12">
        <f>IF(COUNTIFS($E$14:$E$113,$E105,$J$14:$J$113,$J105,$C$14:$C$113,"&lt;&gt;")&lt;=1,"-",SUM(AK105:AT105)&amp;"-"&amp;SUM(AW105:BF105))</f>
        <v/>
      </c>
      <c r="V105" s="18">
        <f>IF(COUNTIFS($E$14:$E$113,$E105,$J$14:$J$113,$J105,$C$14:$C$113,"&lt;&gt;",$CF$14:$CF$113,$CF105)&lt;=1,"-",IF(SUM(BU105:CD105)=0,0,ROUND(SUM(BI105:BR105)/SUM(BU105:CD105),3)))</f>
        <v/>
      </c>
      <c r="W105" s="18">
        <f>IF(COUNTIFS($E$14:$E$113,$E105,$J$14:$J$113,$J105,$C$14:$C$113,"&lt;&gt;",$CF$14:$CF$113,$CF105,$V$14:$V$113,$V105)&lt;=1,"-",IF(P105=0,0,ROUND(O105/P105,3)))</f>
        <v/>
      </c>
      <c r="X105" s="19">
        <f>IF($C105="","",$E105&amp;"#"&amp;COUNTIFS($E$14:$E105,$E105,$C$14:$C105,"&lt;&gt;"))</f>
        <v/>
      </c>
      <c r="Y105" s="20">
        <f>IFERROR(INDEX($H$14:$H$113,MATCH($E105&amp;"#1",$X$14:$X$113,0)),"")</f>
        <v/>
      </c>
      <c r="Z105" s="20">
        <f>IFERROR(INDEX($H$14:$H$113,MATCH($E105&amp;"#2",$X$14:$X$113,0)),"")</f>
        <v/>
      </c>
      <c r="AA105" s="20">
        <f>IFERROR(INDEX($H$14:$H$113,MATCH($E105&amp;"#3",$X$14:$X$113,0)),"")</f>
        <v/>
      </c>
      <c r="AB105" s="20">
        <f>IFERROR(INDEX($H$14:$H$113,MATCH($E105&amp;"#4",$X$14:$X$113,0)),"")</f>
        <v/>
      </c>
      <c r="AC105" s="20">
        <f>IFERROR(INDEX($H$14:$H$113,MATCH($E105&amp;"#5",$X$14:$X$113,0)),"")</f>
        <v/>
      </c>
      <c r="AD105" s="20">
        <f>IFERROR(INDEX($H$14:$H$113,MATCH($E105&amp;"#6",$X$14:$X$113,0)),"")</f>
        <v/>
      </c>
      <c r="AE105" s="20">
        <f>IFERROR(INDEX($H$14:$H$113,MATCH($E105&amp;"#7",$X$14:$X$113,0)),"")</f>
        <v/>
      </c>
      <c r="AF105" s="20">
        <f>IFERROR(INDEX($H$14:$H$113,MATCH($E105&amp;"#8",$X$14:$X$113,0)),"")</f>
        <v/>
      </c>
      <c r="AG105" s="20">
        <f>IFERROR(INDEX($H$14:$H$113,MATCH($E105&amp;"#9",$X$14:$X$113,0)),"")</f>
        <v/>
      </c>
      <c r="AH105" s="20">
        <f>IFERROR(INDEX($H$14:$H$113,MATCH($E105&amp;"#10",$X$14:$X$113,0)),"")</f>
        <v/>
      </c>
      <c r="AJ105" s="21">
        <f>$C105</f>
        <v/>
      </c>
      <c r="AK105" s="22">
        <f>IF(AND($H105&lt;&gt;"",$Y105&lt;&gt;"",$H105&lt;&gt;$Y105,IFERROR(VLOOKUP($H105,areaCercaPuntiClassificaSquadra,3,FALSE),-1)=IFERROR(VLOOKUP($Y105,areaCercaPuntiClassificaSquadra,3,FALSE),-2)),SUMIFS(Dati!$B$2:$B$451,Dati!$A$2:$A$451,$H105,Dati!$H$2:$H$451,$Y105)+SUMIFS(Dati!$I$2:$I$451,Dati!$H$2:$H$451,$H105,Dati!$A$2:$A$451,$Y105),"-")</f>
        <v/>
      </c>
      <c r="AL105" s="22">
        <f>IF(AND($H105&lt;&gt;"",$Z105&lt;&gt;"",$H105&lt;&gt;$Z105,IFERROR(VLOOKUP($H105,areaCercaPuntiClassificaSquadra,3,FALSE),-1)=IFERROR(VLOOKUP($Z105,areaCercaPuntiClassificaSquadra,3,FALSE),-2)),SUMIFS(Dati!$B$2:$B$451,Dati!$A$2:$A$451,$H105,Dati!$H$2:$H$451,$Z105)+SUMIFS(Dati!$I$2:$I$451,Dati!$H$2:$H$451,$H105,Dati!$A$2:$A$451,$Z105),"-")</f>
        <v/>
      </c>
      <c r="AM105" s="22">
        <f>IF(AND($H105&lt;&gt;"",$AA105&lt;&gt;"",$H105&lt;&gt;$AA105,IFERROR(VLOOKUP($H105,areaCercaPuntiClassificaSquadra,3,FALSE),-1)=IFERROR(VLOOKUP($AA105,areaCercaPuntiClassificaSquadra,3,FALSE),-2)),SUMIFS(Dati!$B$2:$B$451,Dati!$A$2:$A$451,$H105,Dati!$H$2:$H$451,$AA105)+SUMIFS(Dati!$I$2:$I$451,Dati!$H$2:$H$451,$H105,Dati!$A$2:$A$451,$AA105),"-")</f>
        <v/>
      </c>
      <c r="AN105" s="22">
        <f>IF(AND($H105&lt;&gt;"",$AB105&lt;&gt;"",$H105&lt;&gt;$AB105,IFERROR(VLOOKUP($H105,areaCercaPuntiClassificaSquadra,3,FALSE),-1)=IFERROR(VLOOKUP($AB105,areaCercaPuntiClassificaSquadra,3,FALSE),-2)),SUMIFS(Dati!$B$2:$B$451,Dati!$A$2:$A$451,$H105,Dati!$H$2:$H$451,$AB105)+SUMIFS(Dati!$I$2:$I$451,Dati!$H$2:$H$451,$H105,Dati!$A$2:$A$451,$AB105),"-")</f>
        <v/>
      </c>
      <c r="AO105" s="22">
        <f>IF(AND($H105&lt;&gt;"",$AC105&lt;&gt;"",$H105&lt;&gt;$AC105,IFERROR(VLOOKUP($H105,areaCercaPuntiClassificaSquadra,3,FALSE),-1)=IFERROR(VLOOKUP($AC105,areaCercaPuntiClassificaSquadra,3,FALSE),-2)),SUMIFS(Dati!$B$2:$B$451,Dati!$A$2:$A$451,$H105,Dati!$H$2:$H$451,$AC105)+SUMIFS(Dati!$I$2:$I$451,Dati!$H$2:$H$451,$H105,Dati!$A$2:$A$451,$AC105),"-")</f>
        <v/>
      </c>
      <c r="AP105" s="22">
        <f>IF(AND($H105&lt;&gt;"",$AD105&lt;&gt;"",$H105&lt;&gt;$AD105,IFERROR(VLOOKUP($H105,areaCercaPuntiClassificaSquadra,3,FALSE),-1)=IFERROR(VLOOKUP($AD105,areaCercaPuntiClassificaSquadra,3,FALSE),-2)),SUMIFS(Dati!$B$2:$B$451,Dati!$A$2:$A$451,$H105,Dati!$H$2:$H$451,$AD105)+SUMIFS(Dati!$I$2:$I$451,Dati!$H$2:$H$451,$H105,Dati!$A$2:$A$451,$AD105),"-")</f>
        <v/>
      </c>
      <c r="AQ105" s="22">
        <f>IF(AND($H105&lt;&gt;"",$AE105&lt;&gt;"",$H105&lt;&gt;$AE105,IFERROR(VLOOKUP($H105,areaCercaPuntiClassificaSquadra,3,FALSE),-1)=IFERROR(VLOOKUP($AE105,areaCercaPuntiClassificaSquadra,3,FALSE),-2)),SUMIFS(Dati!$B$2:$B$451,Dati!$A$2:$A$451,$H105,Dati!$H$2:$H$451,$AE105)+SUMIFS(Dati!$I$2:$I$451,Dati!$H$2:$H$451,$H105,Dati!$A$2:$A$451,$AE105),"-")</f>
        <v/>
      </c>
      <c r="AR105" s="22">
        <f>IF(AND($H105&lt;&gt;"",$AF105&lt;&gt;"",$H105&lt;&gt;$AF105,IFERROR(VLOOKUP($H105,areaCercaPuntiClassificaSquadra,3,FALSE),-1)=IFERROR(VLOOKUP($AF105,areaCercaPuntiClassificaSquadra,3,FALSE),-2)),SUMIFS(Dati!$B$2:$B$451,Dati!$A$2:$A$451,$H105,Dati!$H$2:$H$451,$AF105)+SUMIFS(Dati!$I$2:$I$451,Dati!$H$2:$H$451,$H105,Dati!$A$2:$A$451,$AF105),"-")</f>
        <v/>
      </c>
      <c r="AS105" s="22">
        <f>IF(AND($H105&lt;&gt;"",$AG105&lt;&gt;"",$H105&lt;&gt;$AG105,IFERROR(VLOOKUP($H105,areaCercaPuntiClassificaSquadra,3,FALSE),-1)=IFERROR(VLOOKUP($AG105,areaCercaPuntiClassificaSquadra,3,FALSE),-2)),SUMIFS(Dati!$B$2:$B$451,Dati!$A$2:$A$451,$H105,Dati!$H$2:$H$451,$AG105)+SUMIFS(Dati!$I$2:$I$451,Dati!$H$2:$H$451,$H105,Dati!$A$2:$A$451,$AG105),"-")</f>
        <v/>
      </c>
      <c r="AT105" s="22">
        <f>IF(AND($H105&lt;&gt;"",$AH105&lt;&gt;"",$H105&lt;&gt;$AH105,IFERROR(VLOOKUP($H105,areaCercaPuntiClassificaSquadra,3,FALSE),-1)=IFERROR(VLOOKUP($AH105,areaCercaPuntiClassificaSquadra,3,FALSE),-2)),SUMIFS(Dati!$B$2:$B$451,Dati!$A$2:$A$451,$H105,Dati!$H$2:$H$451,$AH105)+SUMIFS(Dati!$I$2:$I$451,Dati!$H$2:$H$451,$H105,Dati!$A$2:$A$451,$AH105),"-")</f>
        <v/>
      </c>
      <c r="AV105" s="21">
        <f>$C105</f>
        <v/>
      </c>
      <c r="AW105" s="22">
        <f>IF(AND($H105&lt;&gt;"",$Y105&lt;&gt;"",$H105&lt;&gt;$Y105,IFERROR(VLOOKUP($H105,areaCercaPuntiClassificaSquadra,3,FALSE),-1)=IFERROR(VLOOKUP($Y105,areaCercaPuntiClassificaSquadra,3,FALSE),-2)),SUMIFS(Dati!$D$2:$D$451,Dati!$A$2:$A$451,$H105,Dati!$H$2:$H$451,$Y105)+SUMIFS(Dati!$K$2:$K$451,Dati!$H$2:$H$451,$H105,Dati!$A$2:$A$451,$Y105)+SUMIFS(Dati!$C$2:$C$451,Dati!$A$2:$A$451,$H105,Dati!$H$2:$H$451,$Y105)+SUMIFS(Dati!$J$2:$J$451,Dati!$H$2:$H$451,$H105,Dati!$A$2:$A$451,$Y105),"-")</f>
        <v/>
      </c>
      <c r="AX105" s="22">
        <f>IF(AND($H105&lt;&gt;"",$Z105&lt;&gt;"",$H105&lt;&gt;$Z105,IFERROR(VLOOKUP($H105,areaCercaPuntiClassificaSquadra,3,FALSE),-1)=IFERROR(VLOOKUP($Z105,areaCercaPuntiClassificaSquadra,3,FALSE),-2)),SUMIFS(Dati!$D$2:$D$451,Dati!$A$2:$A$451,$H105,Dati!$H$2:$H$451,$Z105)+SUMIFS(Dati!$K$2:$K$451,Dati!$H$2:$H$451,$H105,Dati!$A$2:$A$451,$Z105)+SUMIFS(Dati!$C$2:$C$451,Dati!$A$2:$A$451,$H105,Dati!$H$2:$H$451,$Z105)+SUMIFS(Dati!$J$2:$J$451,Dati!$H$2:$H$451,$H105,Dati!$A$2:$A$451,$Z105),"-")</f>
        <v/>
      </c>
      <c r="AY105" s="22">
        <f>IF(AND($H105&lt;&gt;"",$AA105&lt;&gt;"",$H105&lt;&gt;$AA105,IFERROR(VLOOKUP($H105,areaCercaPuntiClassificaSquadra,3,FALSE),-1)=IFERROR(VLOOKUP($AA105,areaCercaPuntiClassificaSquadra,3,FALSE),-2)),SUMIFS(Dati!$D$2:$D$451,Dati!$A$2:$A$451,$H105,Dati!$H$2:$H$451,$AA105)+SUMIFS(Dati!$K$2:$K$451,Dati!$H$2:$H$451,$H105,Dati!$A$2:$A$451,$AA105)+SUMIFS(Dati!$C$2:$C$451,Dati!$A$2:$A$451,$H105,Dati!$H$2:$H$451,$AA105)+SUMIFS(Dati!$J$2:$J$451,Dati!$H$2:$H$451,$H105,Dati!$A$2:$A$451,$AA105),"-")</f>
        <v/>
      </c>
      <c r="AZ105" s="22">
        <f>IF(AND($H105&lt;&gt;"",$AB105&lt;&gt;"",$H105&lt;&gt;$AB105,IFERROR(VLOOKUP($H105,areaCercaPuntiClassificaSquadra,3,FALSE),-1)=IFERROR(VLOOKUP($AB105,areaCercaPuntiClassificaSquadra,3,FALSE),-2)),SUMIFS(Dati!$D$2:$D$451,Dati!$A$2:$A$451,$H105,Dati!$H$2:$H$451,$AB105)+SUMIFS(Dati!$K$2:$K$451,Dati!$H$2:$H$451,$H105,Dati!$A$2:$A$451,$AB105)+SUMIFS(Dati!$C$2:$C$451,Dati!$A$2:$A$451,$H105,Dati!$H$2:$H$451,$AB105)+SUMIFS(Dati!$J$2:$J$451,Dati!$H$2:$H$451,$H105,Dati!$A$2:$A$451,$AB105),"-")</f>
        <v/>
      </c>
      <c r="BA105" s="22">
        <f>IF(AND($H105&lt;&gt;"",$AC105&lt;&gt;"",$H105&lt;&gt;$AC105,IFERROR(VLOOKUP($H105,areaCercaPuntiClassificaSquadra,3,FALSE),-1)=IFERROR(VLOOKUP($AC105,areaCercaPuntiClassificaSquadra,3,FALSE),-2)),SUMIFS(Dati!$D$2:$D$451,Dati!$A$2:$A$451,$H105,Dati!$H$2:$H$451,$AC105)+SUMIFS(Dati!$K$2:$K$451,Dati!$H$2:$H$451,$H105,Dati!$A$2:$A$451,$AC105)+SUMIFS(Dati!$C$2:$C$451,Dati!$A$2:$A$451,$H105,Dati!$H$2:$H$451,$AC105)+SUMIFS(Dati!$J$2:$J$451,Dati!$H$2:$H$451,$H105,Dati!$A$2:$A$451,$AC105),"-")</f>
        <v/>
      </c>
      <c r="BB105" s="22">
        <f>IF(AND($H105&lt;&gt;"",$AD105&lt;&gt;"",$H105&lt;&gt;$AD105,IFERROR(VLOOKUP($H105,areaCercaPuntiClassificaSquadra,3,FALSE),-1)=IFERROR(VLOOKUP($AD105,areaCercaPuntiClassificaSquadra,3,FALSE),-2)),SUMIFS(Dati!$D$2:$D$451,Dati!$A$2:$A$451,$H105,Dati!$H$2:$H$451,$AD105)+SUMIFS(Dati!$K$2:$K$451,Dati!$H$2:$H$451,$H105,Dati!$A$2:$A$451,$AD105)+SUMIFS(Dati!$C$2:$C$451,Dati!$A$2:$A$451,$H105,Dati!$H$2:$H$451,$AD105)+SUMIFS(Dati!$J$2:$J$451,Dati!$H$2:$H$451,$H105,Dati!$A$2:$A$451,$AD105),"-")</f>
        <v/>
      </c>
      <c r="BC105" s="22">
        <f>IF(AND($H105&lt;&gt;"",$AE105&lt;&gt;"",$H105&lt;&gt;$AE105,IFERROR(VLOOKUP($H105,areaCercaPuntiClassificaSquadra,3,FALSE),-1)=IFERROR(VLOOKUP($AE105,areaCercaPuntiClassificaSquadra,3,FALSE),-2)),SUMIFS(Dati!$D$2:$D$451,Dati!$A$2:$A$451,$H105,Dati!$H$2:$H$451,$AE105)+SUMIFS(Dati!$K$2:$K$451,Dati!$H$2:$H$451,$H105,Dati!$A$2:$A$451,$AE105)+SUMIFS(Dati!$C$2:$C$451,Dati!$A$2:$A$451,$H105,Dati!$H$2:$H$451,$AE105)+SUMIFS(Dati!$J$2:$J$451,Dati!$H$2:$H$451,$H105,Dati!$A$2:$A$451,$AE105),"-")</f>
        <v/>
      </c>
      <c r="BD105" s="22">
        <f>IF(AND($H105&lt;&gt;"",$AF105&lt;&gt;"",$H105&lt;&gt;$AF105,IFERROR(VLOOKUP($H105,areaCercaPuntiClassificaSquadra,3,FALSE),-1)=IFERROR(VLOOKUP($AF105,areaCercaPuntiClassificaSquadra,3,FALSE),-2)),SUMIFS(Dati!$D$2:$D$451,Dati!$A$2:$A$451,$H105,Dati!$H$2:$H$451,$AF105)+SUMIFS(Dati!$K$2:$K$451,Dati!$H$2:$H$451,$H105,Dati!$A$2:$A$451,$AF105)+SUMIFS(Dati!$C$2:$C$451,Dati!$A$2:$A$451,$H105,Dati!$H$2:$H$451,$AF105)+SUMIFS(Dati!$J$2:$J$451,Dati!$H$2:$H$451,$H105,Dati!$A$2:$A$451,$AF105),"-")</f>
        <v/>
      </c>
      <c r="BE105" s="22">
        <f>IF(AND($H105&lt;&gt;"",$AG105&lt;&gt;"",$H105&lt;&gt;$AG105,IFERROR(VLOOKUP($H105,areaCercaPuntiClassificaSquadra,3,FALSE),-1)=IFERROR(VLOOKUP($AG105,areaCercaPuntiClassificaSquadra,3,FALSE),-2)),SUMIFS(Dati!$D$2:$D$451,Dati!$A$2:$A$451,$H105,Dati!$H$2:$H$451,$AG105)+SUMIFS(Dati!$K$2:$K$451,Dati!$H$2:$H$451,$H105,Dati!$A$2:$A$451,$AG105)+SUMIFS(Dati!$C$2:$C$451,Dati!$A$2:$A$451,$H105,Dati!$H$2:$H$451,$AG105)+SUMIFS(Dati!$J$2:$J$451,Dati!$H$2:$H$451,$H105,Dati!$A$2:$A$451,$AG105),"-")</f>
        <v/>
      </c>
      <c r="BF105" s="22">
        <f>IF(AND($H105&lt;&gt;"",$AH105&lt;&gt;"",$H105&lt;&gt;$AH105,IFERROR(VLOOKUP($H105,areaCercaPuntiClassificaSquadra,3,FALSE),-1)=IFERROR(VLOOKUP($AH105,areaCercaPuntiClassificaSquadra,3,FALSE),-2)),SUMIFS(Dati!$D$2:$D$451,Dati!$A$2:$A$451,$H105,Dati!$H$2:$H$451,$AH105)+SUMIFS(Dati!$K$2:$K$451,Dati!$H$2:$H$451,$H105,Dati!$A$2:$A$451,$AH105)+SUMIFS(Dati!$C$2:$C$451,Dati!$A$2:$A$451,$H105,Dati!$H$2:$H$451,$AH105)+SUMIFS(Dati!$J$2:$J$451,Dati!$H$2:$H$451,$H105,Dati!$A$2:$A$451,$AH105),"-")</f>
        <v/>
      </c>
      <c r="BH105" s="21">
        <f>$C105</f>
        <v/>
      </c>
      <c r="BI105" s="22">
        <f>IF(AND($H105&lt;&gt;"",$Y105&lt;&gt;"",$H105&lt;&gt;$Y105,IFERROR(VLOOKUP($H105,areaCercaPuntiClassificaSquadra,3,FALSE),-1)=IFERROR(VLOOKUP($Y105,areaCercaPuntiClassificaSquadra,3,FALSE),-2)),SUMIFS(Dati!$E$2:$E$451,Dati!$A$2:$A$451,$H105,Dati!$H$2:$H$451,$Y105)+SUMIFS(Dati!$L$2:$L$451,Dati!$H$2:$H$451,$H105,Dati!$A$2:$A$451,$Y105),"-")</f>
        <v/>
      </c>
      <c r="BJ105" s="22">
        <f>IF(AND($H105&lt;&gt;"",$Z105&lt;&gt;"",$H105&lt;&gt;$Z105,IFERROR(VLOOKUP($H105,areaCercaPuntiClassificaSquadra,3,FALSE),-1)=IFERROR(VLOOKUP($Z105,areaCercaPuntiClassificaSquadra,3,FALSE),-2)),SUMIFS(Dati!$E$2:$E$451,Dati!$A$2:$A$451,$H105,Dati!$H$2:$H$451,$Z105)+SUMIFS(Dati!$L$2:$L$451,Dati!$H$2:$H$451,$H105,Dati!$A$2:$A$451,$Z105),"-")</f>
        <v/>
      </c>
      <c r="BK105" s="22">
        <f>IF(AND($H105&lt;&gt;"",$AA105&lt;&gt;"",$H105&lt;&gt;$AA105,IFERROR(VLOOKUP($H105,areaCercaPuntiClassificaSquadra,3,FALSE),-1)=IFERROR(VLOOKUP($AA105,areaCercaPuntiClassificaSquadra,3,FALSE),-2)),SUMIFS(Dati!$E$2:$E$451,Dati!$A$2:$A$451,$H105,Dati!$H$2:$H$451,$AA105)+SUMIFS(Dati!$L$2:$L$451,Dati!$H$2:$H$451,$H105,Dati!$A$2:$A$451,$AA105),"-")</f>
        <v/>
      </c>
      <c r="BL105" s="22">
        <f>IF(AND($H105&lt;&gt;"",$AB105&lt;&gt;"",$H105&lt;&gt;$AB105,IFERROR(VLOOKUP($H105,areaCercaPuntiClassificaSquadra,3,FALSE),-1)=IFERROR(VLOOKUP($AB105,areaCercaPuntiClassificaSquadra,3,FALSE),-2)),SUMIFS(Dati!$E$2:$E$451,Dati!$A$2:$A$451,$H105,Dati!$H$2:$H$451,$AB105)+SUMIFS(Dati!$L$2:$L$451,Dati!$H$2:$H$451,$H105,Dati!$A$2:$A$451,$AB105),"-")</f>
        <v/>
      </c>
      <c r="BM105" s="22">
        <f>IF(AND($H105&lt;&gt;"",$AC105&lt;&gt;"",$H105&lt;&gt;$AC105,IFERROR(VLOOKUP($H105,areaCercaPuntiClassificaSquadra,3,FALSE),-1)=IFERROR(VLOOKUP($AC105,areaCercaPuntiClassificaSquadra,3,FALSE),-2)),SUMIFS(Dati!$E$2:$E$451,Dati!$A$2:$A$451,$H105,Dati!$H$2:$H$451,$AC105)+SUMIFS(Dati!$L$2:$L$451,Dati!$H$2:$H$451,$H105,Dati!$A$2:$A$451,$AC105),"-")</f>
        <v/>
      </c>
      <c r="BN105" s="22">
        <f>IF(AND($H105&lt;&gt;"",$AD105&lt;&gt;"",$H105&lt;&gt;$AD105,IFERROR(VLOOKUP($H105,areaCercaPuntiClassificaSquadra,3,FALSE),-1)=IFERROR(VLOOKUP($AD105,areaCercaPuntiClassificaSquadra,3,FALSE),-2)),SUMIFS(Dati!$E$2:$E$451,Dati!$A$2:$A$451,$H105,Dati!$H$2:$H$451,$AD105)+SUMIFS(Dati!$L$2:$L$451,Dati!$H$2:$H$451,$H105,Dati!$A$2:$A$451,$AD105),"-")</f>
        <v/>
      </c>
      <c r="BO105" s="22">
        <f>IF(AND($H105&lt;&gt;"",$AE105&lt;&gt;"",$H105&lt;&gt;$AE105,IFERROR(VLOOKUP($H105,areaCercaPuntiClassificaSquadra,3,FALSE),-1)=IFERROR(VLOOKUP($AE105,areaCercaPuntiClassificaSquadra,3,FALSE),-2)),SUMIFS(Dati!$E$2:$E$451,Dati!$A$2:$A$451,$H105,Dati!$H$2:$H$451,$AE105)+SUMIFS(Dati!$L$2:$L$451,Dati!$H$2:$H$451,$H105,Dati!$A$2:$A$451,$AE105),"-")</f>
        <v/>
      </c>
      <c r="BP105" s="22">
        <f>IF(AND($H105&lt;&gt;"",$AF105&lt;&gt;"",$H105&lt;&gt;$AF105,IFERROR(VLOOKUP($H105,areaCercaPuntiClassificaSquadra,3,FALSE),-1)=IFERROR(VLOOKUP($AF105,areaCercaPuntiClassificaSquadra,3,FALSE),-2)),SUMIFS(Dati!$E$2:$E$451,Dati!$A$2:$A$451,$H105,Dati!$H$2:$H$451,$AF105)+SUMIFS(Dati!$L$2:$L$451,Dati!$H$2:$H$451,$H105,Dati!$A$2:$A$451,$AF105),"-")</f>
        <v/>
      </c>
      <c r="BQ105" s="22">
        <f>IF(AND($H105&lt;&gt;"",$AG105&lt;&gt;"",$H105&lt;&gt;$AG105,IFERROR(VLOOKUP($H105,areaCercaPuntiClassificaSquadra,3,FALSE),-1)=IFERROR(VLOOKUP($AG105,areaCercaPuntiClassificaSquadra,3,FALSE),-2)),SUMIFS(Dati!$E$2:$E$451,Dati!$A$2:$A$451,$H105,Dati!$H$2:$H$451,$AG105)+SUMIFS(Dati!$L$2:$L$451,Dati!$H$2:$H$451,$H105,Dati!$A$2:$A$451,$AG105),"-")</f>
        <v/>
      </c>
      <c r="BR105" s="22">
        <f>IF(AND($H105&lt;&gt;"",$AH105&lt;&gt;"",$H105&lt;&gt;$AH105,IFERROR(VLOOKUP($H105,areaCercaPuntiClassificaSquadra,3,FALSE),-1)=IFERROR(VLOOKUP($AH105,areaCercaPuntiClassificaSquadra,3,FALSE),-2)),SUMIFS(Dati!$E$2:$E$451,Dati!$A$2:$A$451,$H105,Dati!$H$2:$H$451,$AH105)+SUMIFS(Dati!$L$2:$L$451,Dati!$H$2:$H$451,$H105,Dati!$A$2:$A$451,$AH105),"-")</f>
        <v/>
      </c>
      <c r="BT105" s="21">
        <f>$C105</f>
        <v/>
      </c>
      <c r="BU105" s="22">
        <f>IF(AND($H105&lt;&gt;"",$Y105&lt;&gt;"",$H105&lt;&gt;$Y105,IFERROR(VLOOKUP($H105,areaCercaPuntiClassificaSquadra,3,FALSE),-1)=IFERROR(VLOOKUP($Y105,areaCercaPuntiClassificaSquadra,3,FALSE),-2)),SUMIFS(Dati!$F$2:$F$451,Dati!$A$2:$A$451,$H105,Dati!$H$2:$H$451,$Y105)+SUMIFS(Dati!$M$2:$M$451,Dati!$H$2:$H$451,$H105,Dati!$A$2:$A$451,$Y105),"-")</f>
        <v/>
      </c>
      <c r="BV105" s="22">
        <f>IF(AND($H105&lt;&gt;"",$Z105&lt;&gt;"",$H105&lt;&gt;$Z105,IFERROR(VLOOKUP($H105,areaCercaPuntiClassificaSquadra,3,FALSE),-1)=IFERROR(VLOOKUP($Z105,areaCercaPuntiClassificaSquadra,3,FALSE),-2)),SUMIFS(Dati!$F$2:$F$451,Dati!$A$2:$A$451,$H105,Dati!$H$2:$H$451,$Z105)+SUMIFS(Dati!$M$2:$M$451,Dati!$H$2:$H$451,$H105,Dati!$A$2:$A$451,$Z105),"-")</f>
        <v/>
      </c>
      <c r="BW105" s="22">
        <f>IF(AND($H105&lt;&gt;"",$AA105&lt;&gt;"",$H105&lt;&gt;$AA105,IFERROR(VLOOKUP($H105,areaCercaPuntiClassificaSquadra,3,FALSE),-1)=IFERROR(VLOOKUP($AA105,areaCercaPuntiClassificaSquadra,3,FALSE),-2)),SUMIFS(Dati!$F$2:$F$451,Dati!$A$2:$A$451,$H105,Dati!$H$2:$H$451,$AA105)+SUMIFS(Dati!$M$2:$M$451,Dati!$H$2:$H$451,$H105,Dati!$A$2:$A$451,$AA105),"-")</f>
        <v/>
      </c>
      <c r="BX105" s="22">
        <f>IF(AND($H105&lt;&gt;"",$AB105&lt;&gt;"",$H105&lt;&gt;$AB105,IFERROR(VLOOKUP($H105,areaCercaPuntiClassificaSquadra,3,FALSE),-1)=IFERROR(VLOOKUP($AB105,areaCercaPuntiClassificaSquadra,3,FALSE),-2)),SUMIFS(Dati!$F$2:$F$451,Dati!$A$2:$A$451,$H105,Dati!$H$2:$H$451,$AB105)+SUMIFS(Dati!$M$2:$M$451,Dati!$H$2:$H$451,$H105,Dati!$A$2:$A$451,$AB105),"-")</f>
        <v/>
      </c>
      <c r="BY105" s="22">
        <f>IF(AND($H105&lt;&gt;"",$AC105&lt;&gt;"",$H105&lt;&gt;$AC105,IFERROR(VLOOKUP($H105,areaCercaPuntiClassificaSquadra,3,FALSE),-1)=IFERROR(VLOOKUP($AC105,areaCercaPuntiClassificaSquadra,3,FALSE),-2)),SUMIFS(Dati!$F$2:$F$451,Dati!$A$2:$A$451,$H105,Dati!$H$2:$H$451,$AC105)+SUMIFS(Dati!$M$2:$M$451,Dati!$H$2:$H$451,$H105,Dati!$A$2:$A$451,$AC105),"-")</f>
        <v/>
      </c>
      <c r="BZ105" s="22">
        <f>IF(AND($H105&lt;&gt;"",$AD105&lt;&gt;"",$H105&lt;&gt;$AD105,IFERROR(VLOOKUP($H105,areaCercaPuntiClassificaSquadra,3,FALSE),-1)=IFERROR(VLOOKUP($AD105,areaCercaPuntiClassificaSquadra,3,FALSE),-2)),SUMIFS(Dati!$F$2:$F$451,Dati!$A$2:$A$451,$H105,Dati!$H$2:$H$451,$AD105)+SUMIFS(Dati!$M$2:$M$451,Dati!$H$2:$H$451,$H105,Dati!$A$2:$A$451,$AD105),"-")</f>
        <v/>
      </c>
      <c r="CA105" s="22">
        <f>IF(AND($H105&lt;&gt;"",$AE105&lt;&gt;"",$H105&lt;&gt;$AE105,IFERROR(VLOOKUP($H105,areaCercaPuntiClassificaSquadra,3,FALSE),-1)=IFERROR(VLOOKUP($AE105,areaCercaPuntiClassificaSquadra,3,FALSE),-2)),SUMIFS(Dati!$F$2:$F$451,Dati!$A$2:$A$451,$H105,Dati!$H$2:$H$451,$AE105)+SUMIFS(Dati!$M$2:$M$451,Dati!$H$2:$H$451,$H105,Dati!$A$2:$A$451,$AE105),"-")</f>
        <v/>
      </c>
      <c r="CB105" s="22">
        <f>IF(AND($H105&lt;&gt;"",$AF105&lt;&gt;"",$H105&lt;&gt;$AF105,IFERROR(VLOOKUP($H105,areaCercaPuntiClassificaSquadra,3,FALSE),-1)=IFERROR(VLOOKUP($AF105,areaCercaPuntiClassificaSquadra,3,FALSE),-2)),SUMIFS(Dati!$F$2:$F$451,Dati!$A$2:$A$451,$H105,Dati!$H$2:$H$451,$AF105)+SUMIFS(Dati!$M$2:$M$451,Dati!$H$2:$H$451,$H105,Dati!$A$2:$A$451,$AF105),"-")</f>
        <v/>
      </c>
      <c r="CC105" s="22">
        <f>IF(AND($H105&lt;&gt;"",$AG105&lt;&gt;"",$H105&lt;&gt;$AG105,IFERROR(VLOOKUP($H105,areaCercaPuntiClassificaSquadra,3,FALSE),-1)=IFERROR(VLOOKUP($AG105,areaCercaPuntiClassificaSquadra,3,FALSE),-2)),SUMIFS(Dati!$F$2:$F$451,Dati!$A$2:$A$451,$H105,Dati!$H$2:$H$451,$AG105)+SUMIFS(Dati!$M$2:$M$451,Dati!$H$2:$H$451,$H105,Dati!$A$2:$A$451,$AG105),"-")</f>
        <v/>
      </c>
      <c r="CD105" s="22">
        <f>IF(AND($H105&lt;&gt;"",$AH105&lt;&gt;"",$H105&lt;&gt;$AH105,IFERROR(VLOOKUP($H105,areaCercaPuntiClassificaSquadra,3,FALSE),-1)=IFERROR(VLOOKUP($AH105,areaCercaPuntiClassificaSquadra,3,FALSE),-2)),SUMIFS(Dati!$F$2:$F$451,Dati!$A$2:$A$451,$H105,Dati!$H$2:$H$451,$AH105)+SUMIFS(Dati!$M$2:$M$451,Dati!$H$2:$H$451,$H105,Dati!$A$2:$A$451,$AH105),"-")</f>
        <v/>
      </c>
      <c r="CF105" s="22">
        <f>IF($C105="","",SUM(AK105:AT105))</f>
        <v/>
      </c>
    </row>
    <row r="106">
      <c r="B106" s="12" t="inlineStr">
        <is>
          <t>J03</t>
        </is>
      </c>
      <c r="C106" s="13" t="n"/>
      <c r="D106" s="14" t="n"/>
      <c r="E106" s="39" t="inlineStr">
        <is>
          <t>J</t>
        </is>
      </c>
      <c r="G106" s="40">
        <f>IF($C106="","",$E106&amp;(COUNTIFS(I$14:I$113,"&gt;"&amp;I106,E$14:E$113,"="&amp;E106,C$14:C$113,"&lt;&gt;")+COUNTIFS(I$14:I$113,"="&amp;I106,H$14:H$113,"&lt;="&amp;H106,E$14:E$113,"="&amp;E106,C$14:C$113,"&lt;&gt;")))</f>
        <v/>
      </c>
      <c r="H106" s="17">
        <f>IF($C106="","",IFERROR(LEFT($C106,FIND("-",$C106)-1),$C106))</f>
        <v/>
      </c>
      <c r="I106" s="12">
        <f>TEXT(1000000000+J106,"|0000000000|")&amp;TEXT(SUM(AK106:AT106),"0000000000|")&amp;IF(SUM(BU106:CD106)=0,"0000000000|",TEXT(ROUND(SUM(BI106:BR106)/SUM(BU106:CD106),4)*100000,"0000000000|"))&amp;IF(P106=0,"0000000000|",TEXT(ROUND(O106/P106,4)*100000,"0000000000|"))</f>
        <v/>
      </c>
      <c r="J106" s="40">
        <f>L106*constPuntiVittoria+M106*constPuntiSconfitta+N106*constPuntiForfait+IF(D106="",0,D106)</f>
        <v/>
      </c>
      <c r="K106" s="12">
        <f>SUM(L106:N106)</f>
        <v/>
      </c>
      <c r="L106" s="12">
        <f>IF($H106="",0,SUMIF(Dati!$A$2:$A$451,$H106,Dati!$B$2:$B$451)+SUMIF(Dati!$H$2:$H$451,$H106,Dati!$I$2:$I$451))</f>
        <v/>
      </c>
      <c r="M106" s="12">
        <f>IF($H106="",0,SUMIF(Dati!$A$2:$A$451,$H106,Dati!$D$2:$D$451)+SUMIF(Dati!$H$2:$H$451,$H106,Dati!$K$2:$K$451))</f>
        <v/>
      </c>
      <c r="N106" s="12">
        <f>IF($H106="",0,SUMIF(Dati!$A$2:$A$451,$H106,Dati!$C$2:$C$451)+SUMIF(Dati!$H$2:$H$451,$H106,Dati!$J$2:$J$451))</f>
        <v/>
      </c>
      <c r="O106" s="12">
        <f>IF($H106="",0,SUMIF(Dati!$A$2:$A$451,$H106,Dati!$E$2:$E$451)+SUMIF(Dati!$H$2:$H$451,$H106,Dati!$L$2:$L$451))</f>
        <v/>
      </c>
      <c r="P106" s="12">
        <f>IF($H106="",0,SUMIF(Dati!$A$2:$A$451,$H106,Dati!$F$2:$F$451)+SUMIF(Dati!$H$2:$H$451,$H106,Dati!$M$2:$M$451))</f>
        <v/>
      </c>
      <c r="Q106" s="12">
        <f>IF($H106="",0,SUMIF(Dati!$A$2:$A$451,$H106,Dati!$G$2:$G$451)+SUMIF(Dati!$H$2:$H$451,$H106,Dati!$N$2:$N$451))</f>
        <v/>
      </c>
      <c r="R106" s="12">
        <f>IF(K106=0,0,ROUND(O106/K106,2))</f>
        <v/>
      </c>
      <c r="S106" s="12">
        <f>IF(K106=0,0,ROUND(P106/K106,2))</f>
        <v/>
      </c>
      <c r="T106" s="12">
        <f>IF(K106=0,0,ROUND(Q106/K106,2))</f>
        <v/>
      </c>
      <c r="U106" s="12">
        <f>IF(COUNTIFS($E$14:$E$113,$E106,$J$14:$J$113,$J106,$C$14:$C$113,"&lt;&gt;")&lt;=1,"-",SUM(AK106:AT106)&amp;"-"&amp;SUM(AW106:BF106))</f>
        <v/>
      </c>
      <c r="V106" s="18">
        <f>IF(COUNTIFS($E$14:$E$113,$E106,$J$14:$J$113,$J106,$C$14:$C$113,"&lt;&gt;",$CF$14:$CF$113,$CF106)&lt;=1,"-",IF(SUM(BU106:CD106)=0,0,ROUND(SUM(BI106:BR106)/SUM(BU106:CD106),3)))</f>
        <v/>
      </c>
      <c r="W106" s="18">
        <f>IF(COUNTIFS($E$14:$E$113,$E106,$J$14:$J$113,$J106,$C$14:$C$113,"&lt;&gt;",$CF$14:$CF$113,$CF106,$V$14:$V$113,$V106)&lt;=1,"-",IF(P106=0,0,ROUND(O106/P106,3)))</f>
        <v/>
      </c>
      <c r="X106" s="19">
        <f>IF($C106="","",$E106&amp;"#"&amp;COUNTIFS($E$14:$E106,$E106,$C$14:$C106,"&lt;&gt;"))</f>
        <v/>
      </c>
      <c r="Y106" s="20">
        <f>IFERROR(INDEX($H$14:$H$113,MATCH($E106&amp;"#1",$X$14:$X$113,0)),"")</f>
        <v/>
      </c>
      <c r="Z106" s="20">
        <f>IFERROR(INDEX($H$14:$H$113,MATCH($E106&amp;"#2",$X$14:$X$113,0)),"")</f>
        <v/>
      </c>
      <c r="AA106" s="20">
        <f>IFERROR(INDEX($H$14:$H$113,MATCH($E106&amp;"#3",$X$14:$X$113,0)),"")</f>
        <v/>
      </c>
      <c r="AB106" s="20">
        <f>IFERROR(INDEX($H$14:$H$113,MATCH($E106&amp;"#4",$X$14:$X$113,0)),"")</f>
        <v/>
      </c>
      <c r="AC106" s="20">
        <f>IFERROR(INDEX($H$14:$H$113,MATCH($E106&amp;"#5",$X$14:$X$113,0)),"")</f>
        <v/>
      </c>
      <c r="AD106" s="20">
        <f>IFERROR(INDEX($H$14:$H$113,MATCH($E106&amp;"#6",$X$14:$X$113,0)),"")</f>
        <v/>
      </c>
      <c r="AE106" s="20">
        <f>IFERROR(INDEX($H$14:$H$113,MATCH($E106&amp;"#7",$X$14:$X$113,0)),"")</f>
        <v/>
      </c>
      <c r="AF106" s="20">
        <f>IFERROR(INDEX($H$14:$H$113,MATCH($E106&amp;"#8",$X$14:$X$113,0)),"")</f>
        <v/>
      </c>
      <c r="AG106" s="20">
        <f>IFERROR(INDEX($H$14:$H$113,MATCH($E106&amp;"#9",$X$14:$X$113,0)),"")</f>
        <v/>
      </c>
      <c r="AH106" s="20">
        <f>IFERROR(INDEX($H$14:$H$113,MATCH($E106&amp;"#10",$X$14:$X$113,0)),"")</f>
        <v/>
      </c>
      <c r="AJ106" s="21">
        <f>$C106</f>
        <v/>
      </c>
      <c r="AK106" s="22">
        <f>IF(AND($H106&lt;&gt;"",$Y106&lt;&gt;"",$H106&lt;&gt;$Y106,IFERROR(VLOOKUP($H106,areaCercaPuntiClassificaSquadra,3,FALSE),-1)=IFERROR(VLOOKUP($Y106,areaCercaPuntiClassificaSquadra,3,FALSE),-2)),SUMIFS(Dati!$B$2:$B$451,Dati!$A$2:$A$451,$H106,Dati!$H$2:$H$451,$Y106)+SUMIFS(Dati!$I$2:$I$451,Dati!$H$2:$H$451,$H106,Dati!$A$2:$A$451,$Y106),"-")</f>
        <v/>
      </c>
      <c r="AL106" s="22">
        <f>IF(AND($H106&lt;&gt;"",$Z106&lt;&gt;"",$H106&lt;&gt;$Z106,IFERROR(VLOOKUP($H106,areaCercaPuntiClassificaSquadra,3,FALSE),-1)=IFERROR(VLOOKUP($Z106,areaCercaPuntiClassificaSquadra,3,FALSE),-2)),SUMIFS(Dati!$B$2:$B$451,Dati!$A$2:$A$451,$H106,Dati!$H$2:$H$451,$Z106)+SUMIFS(Dati!$I$2:$I$451,Dati!$H$2:$H$451,$H106,Dati!$A$2:$A$451,$Z106),"-")</f>
        <v/>
      </c>
      <c r="AM106" s="22">
        <f>IF(AND($H106&lt;&gt;"",$AA106&lt;&gt;"",$H106&lt;&gt;$AA106,IFERROR(VLOOKUP($H106,areaCercaPuntiClassificaSquadra,3,FALSE),-1)=IFERROR(VLOOKUP($AA106,areaCercaPuntiClassificaSquadra,3,FALSE),-2)),SUMIFS(Dati!$B$2:$B$451,Dati!$A$2:$A$451,$H106,Dati!$H$2:$H$451,$AA106)+SUMIFS(Dati!$I$2:$I$451,Dati!$H$2:$H$451,$H106,Dati!$A$2:$A$451,$AA106),"-")</f>
        <v/>
      </c>
      <c r="AN106" s="22">
        <f>IF(AND($H106&lt;&gt;"",$AB106&lt;&gt;"",$H106&lt;&gt;$AB106,IFERROR(VLOOKUP($H106,areaCercaPuntiClassificaSquadra,3,FALSE),-1)=IFERROR(VLOOKUP($AB106,areaCercaPuntiClassificaSquadra,3,FALSE),-2)),SUMIFS(Dati!$B$2:$B$451,Dati!$A$2:$A$451,$H106,Dati!$H$2:$H$451,$AB106)+SUMIFS(Dati!$I$2:$I$451,Dati!$H$2:$H$451,$H106,Dati!$A$2:$A$451,$AB106),"-")</f>
        <v/>
      </c>
      <c r="AO106" s="22">
        <f>IF(AND($H106&lt;&gt;"",$AC106&lt;&gt;"",$H106&lt;&gt;$AC106,IFERROR(VLOOKUP($H106,areaCercaPuntiClassificaSquadra,3,FALSE),-1)=IFERROR(VLOOKUP($AC106,areaCercaPuntiClassificaSquadra,3,FALSE),-2)),SUMIFS(Dati!$B$2:$B$451,Dati!$A$2:$A$451,$H106,Dati!$H$2:$H$451,$AC106)+SUMIFS(Dati!$I$2:$I$451,Dati!$H$2:$H$451,$H106,Dati!$A$2:$A$451,$AC106),"-")</f>
        <v/>
      </c>
      <c r="AP106" s="22">
        <f>IF(AND($H106&lt;&gt;"",$AD106&lt;&gt;"",$H106&lt;&gt;$AD106,IFERROR(VLOOKUP($H106,areaCercaPuntiClassificaSquadra,3,FALSE),-1)=IFERROR(VLOOKUP($AD106,areaCercaPuntiClassificaSquadra,3,FALSE),-2)),SUMIFS(Dati!$B$2:$B$451,Dati!$A$2:$A$451,$H106,Dati!$H$2:$H$451,$AD106)+SUMIFS(Dati!$I$2:$I$451,Dati!$H$2:$H$451,$H106,Dati!$A$2:$A$451,$AD106),"-")</f>
        <v/>
      </c>
      <c r="AQ106" s="22">
        <f>IF(AND($H106&lt;&gt;"",$AE106&lt;&gt;"",$H106&lt;&gt;$AE106,IFERROR(VLOOKUP($H106,areaCercaPuntiClassificaSquadra,3,FALSE),-1)=IFERROR(VLOOKUP($AE106,areaCercaPuntiClassificaSquadra,3,FALSE),-2)),SUMIFS(Dati!$B$2:$B$451,Dati!$A$2:$A$451,$H106,Dati!$H$2:$H$451,$AE106)+SUMIFS(Dati!$I$2:$I$451,Dati!$H$2:$H$451,$H106,Dati!$A$2:$A$451,$AE106),"-")</f>
        <v/>
      </c>
      <c r="AR106" s="22">
        <f>IF(AND($H106&lt;&gt;"",$AF106&lt;&gt;"",$H106&lt;&gt;$AF106,IFERROR(VLOOKUP($H106,areaCercaPuntiClassificaSquadra,3,FALSE),-1)=IFERROR(VLOOKUP($AF106,areaCercaPuntiClassificaSquadra,3,FALSE),-2)),SUMIFS(Dati!$B$2:$B$451,Dati!$A$2:$A$451,$H106,Dati!$H$2:$H$451,$AF106)+SUMIFS(Dati!$I$2:$I$451,Dati!$H$2:$H$451,$H106,Dati!$A$2:$A$451,$AF106),"-")</f>
        <v/>
      </c>
      <c r="AS106" s="22">
        <f>IF(AND($H106&lt;&gt;"",$AG106&lt;&gt;"",$H106&lt;&gt;$AG106,IFERROR(VLOOKUP($H106,areaCercaPuntiClassificaSquadra,3,FALSE),-1)=IFERROR(VLOOKUP($AG106,areaCercaPuntiClassificaSquadra,3,FALSE),-2)),SUMIFS(Dati!$B$2:$B$451,Dati!$A$2:$A$451,$H106,Dati!$H$2:$H$451,$AG106)+SUMIFS(Dati!$I$2:$I$451,Dati!$H$2:$H$451,$H106,Dati!$A$2:$A$451,$AG106),"-")</f>
        <v/>
      </c>
      <c r="AT106" s="22">
        <f>IF(AND($H106&lt;&gt;"",$AH106&lt;&gt;"",$H106&lt;&gt;$AH106,IFERROR(VLOOKUP($H106,areaCercaPuntiClassificaSquadra,3,FALSE),-1)=IFERROR(VLOOKUP($AH106,areaCercaPuntiClassificaSquadra,3,FALSE),-2)),SUMIFS(Dati!$B$2:$B$451,Dati!$A$2:$A$451,$H106,Dati!$H$2:$H$451,$AH106)+SUMIFS(Dati!$I$2:$I$451,Dati!$H$2:$H$451,$H106,Dati!$A$2:$A$451,$AH106),"-")</f>
        <v/>
      </c>
      <c r="AV106" s="21">
        <f>$C106</f>
        <v/>
      </c>
      <c r="AW106" s="22">
        <f>IF(AND($H106&lt;&gt;"",$Y106&lt;&gt;"",$H106&lt;&gt;$Y106,IFERROR(VLOOKUP($H106,areaCercaPuntiClassificaSquadra,3,FALSE),-1)=IFERROR(VLOOKUP($Y106,areaCercaPuntiClassificaSquadra,3,FALSE),-2)),SUMIFS(Dati!$D$2:$D$451,Dati!$A$2:$A$451,$H106,Dati!$H$2:$H$451,$Y106)+SUMIFS(Dati!$K$2:$K$451,Dati!$H$2:$H$451,$H106,Dati!$A$2:$A$451,$Y106)+SUMIFS(Dati!$C$2:$C$451,Dati!$A$2:$A$451,$H106,Dati!$H$2:$H$451,$Y106)+SUMIFS(Dati!$J$2:$J$451,Dati!$H$2:$H$451,$H106,Dati!$A$2:$A$451,$Y106),"-")</f>
        <v/>
      </c>
      <c r="AX106" s="22">
        <f>IF(AND($H106&lt;&gt;"",$Z106&lt;&gt;"",$H106&lt;&gt;$Z106,IFERROR(VLOOKUP($H106,areaCercaPuntiClassificaSquadra,3,FALSE),-1)=IFERROR(VLOOKUP($Z106,areaCercaPuntiClassificaSquadra,3,FALSE),-2)),SUMIFS(Dati!$D$2:$D$451,Dati!$A$2:$A$451,$H106,Dati!$H$2:$H$451,$Z106)+SUMIFS(Dati!$K$2:$K$451,Dati!$H$2:$H$451,$H106,Dati!$A$2:$A$451,$Z106)+SUMIFS(Dati!$C$2:$C$451,Dati!$A$2:$A$451,$H106,Dati!$H$2:$H$451,$Z106)+SUMIFS(Dati!$J$2:$J$451,Dati!$H$2:$H$451,$H106,Dati!$A$2:$A$451,$Z106),"-")</f>
        <v/>
      </c>
      <c r="AY106" s="22">
        <f>IF(AND($H106&lt;&gt;"",$AA106&lt;&gt;"",$H106&lt;&gt;$AA106,IFERROR(VLOOKUP($H106,areaCercaPuntiClassificaSquadra,3,FALSE),-1)=IFERROR(VLOOKUP($AA106,areaCercaPuntiClassificaSquadra,3,FALSE),-2)),SUMIFS(Dati!$D$2:$D$451,Dati!$A$2:$A$451,$H106,Dati!$H$2:$H$451,$AA106)+SUMIFS(Dati!$K$2:$K$451,Dati!$H$2:$H$451,$H106,Dati!$A$2:$A$451,$AA106)+SUMIFS(Dati!$C$2:$C$451,Dati!$A$2:$A$451,$H106,Dati!$H$2:$H$451,$AA106)+SUMIFS(Dati!$J$2:$J$451,Dati!$H$2:$H$451,$H106,Dati!$A$2:$A$451,$AA106),"-")</f>
        <v/>
      </c>
      <c r="AZ106" s="22">
        <f>IF(AND($H106&lt;&gt;"",$AB106&lt;&gt;"",$H106&lt;&gt;$AB106,IFERROR(VLOOKUP($H106,areaCercaPuntiClassificaSquadra,3,FALSE),-1)=IFERROR(VLOOKUP($AB106,areaCercaPuntiClassificaSquadra,3,FALSE),-2)),SUMIFS(Dati!$D$2:$D$451,Dati!$A$2:$A$451,$H106,Dati!$H$2:$H$451,$AB106)+SUMIFS(Dati!$K$2:$K$451,Dati!$H$2:$H$451,$H106,Dati!$A$2:$A$451,$AB106)+SUMIFS(Dati!$C$2:$C$451,Dati!$A$2:$A$451,$H106,Dati!$H$2:$H$451,$AB106)+SUMIFS(Dati!$J$2:$J$451,Dati!$H$2:$H$451,$H106,Dati!$A$2:$A$451,$AB106),"-")</f>
        <v/>
      </c>
      <c r="BA106" s="22">
        <f>IF(AND($H106&lt;&gt;"",$AC106&lt;&gt;"",$H106&lt;&gt;$AC106,IFERROR(VLOOKUP($H106,areaCercaPuntiClassificaSquadra,3,FALSE),-1)=IFERROR(VLOOKUP($AC106,areaCercaPuntiClassificaSquadra,3,FALSE),-2)),SUMIFS(Dati!$D$2:$D$451,Dati!$A$2:$A$451,$H106,Dati!$H$2:$H$451,$AC106)+SUMIFS(Dati!$K$2:$K$451,Dati!$H$2:$H$451,$H106,Dati!$A$2:$A$451,$AC106)+SUMIFS(Dati!$C$2:$C$451,Dati!$A$2:$A$451,$H106,Dati!$H$2:$H$451,$AC106)+SUMIFS(Dati!$J$2:$J$451,Dati!$H$2:$H$451,$H106,Dati!$A$2:$A$451,$AC106),"-")</f>
        <v/>
      </c>
      <c r="BB106" s="22">
        <f>IF(AND($H106&lt;&gt;"",$AD106&lt;&gt;"",$H106&lt;&gt;$AD106,IFERROR(VLOOKUP($H106,areaCercaPuntiClassificaSquadra,3,FALSE),-1)=IFERROR(VLOOKUP($AD106,areaCercaPuntiClassificaSquadra,3,FALSE),-2)),SUMIFS(Dati!$D$2:$D$451,Dati!$A$2:$A$451,$H106,Dati!$H$2:$H$451,$AD106)+SUMIFS(Dati!$K$2:$K$451,Dati!$H$2:$H$451,$H106,Dati!$A$2:$A$451,$AD106)+SUMIFS(Dati!$C$2:$C$451,Dati!$A$2:$A$451,$H106,Dati!$H$2:$H$451,$AD106)+SUMIFS(Dati!$J$2:$J$451,Dati!$H$2:$H$451,$H106,Dati!$A$2:$A$451,$AD106),"-")</f>
        <v/>
      </c>
      <c r="BC106" s="22">
        <f>IF(AND($H106&lt;&gt;"",$AE106&lt;&gt;"",$H106&lt;&gt;$AE106,IFERROR(VLOOKUP($H106,areaCercaPuntiClassificaSquadra,3,FALSE),-1)=IFERROR(VLOOKUP($AE106,areaCercaPuntiClassificaSquadra,3,FALSE),-2)),SUMIFS(Dati!$D$2:$D$451,Dati!$A$2:$A$451,$H106,Dati!$H$2:$H$451,$AE106)+SUMIFS(Dati!$K$2:$K$451,Dati!$H$2:$H$451,$H106,Dati!$A$2:$A$451,$AE106)+SUMIFS(Dati!$C$2:$C$451,Dati!$A$2:$A$451,$H106,Dati!$H$2:$H$451,$AE106)+SUMIFS(Dati!$J$2:$J$451,Dati!$H$2:$H$451,$H106,Dati!$A$2:$A$451,$AE106),"-")</f>
        <v/>
      </c>
      <c r="BD106" s="22">
        <f>IF(AND($H106&lt;&gt;"",$AF106&lt;&gt;"",$H106&lt;&gt;$AF106,IFERROR(VLOOKUP($H106,areaCercaPuntiClassificaSquadra,3,FALSE),-1)=IFERROR(VLOOKUP($AF106,areaCercaPuntiClassificaSquadra,3,FALSE),-2)),SUMIFS(Dati!$D$2:$D$451,Dati!$A$2:$A$451,$H106,Dati!$H$2:$H$451,$AF106)+SUMIFS(Dati!$K$2:$K$451,Dati!$H$2:$H$451,$H106,Dati!$A$2:$A$451,$AF106)+SUMIFS(Dati!$C$2:$C$451,Dati!$A$2:$A$451,$H106,Dati!$H$2:$H$451,$AF106)+SUMIFS(Dati!$J$2:$J$451,Dati!$H$2:$H$451,$H106,Dati!$A$2:$A$451,$AF106),"-")</f>
        <v/>
      </c>
      <c r="BE106" s="22">
        <f>IF(AND($H106&lt;&gt;"",$AG106&lt;&gt;"",$H106&lt;&gt;$AG106,IFERROR(VLOOKUP($H106,areaCercaPuntiClassificaSquadra,3,FALSE),-1)=IFERROR(VLOOKUP($AG106,areaCercaPuntiClassificaSquadra,3,FALSE),-2)),SUMIFS(Dati!$D$2:$D$451,Dati!$A$2:$A$451,$H106,Dati!$H$2:$H$451,$AG106)+SUMIFS(Dati!$K$2:$K$451,Dati!$H$2:$H$451,$H106,Dati!$A$2:$A$451,$AG106)+SUMIFS(Dati!$C$2:$C$451,Dati!$A$2:$A$451,$H106,Dati!$H$2:$H$451,$AG106)+SUMIFS(Dati!$J$2:$J$451,Dati!$H$2:$H$451,$H106,Dati!$A$2:$A$451,$AG106),"-")</f>
        <v/>
      </c>
      <c r="BF106" s="22">
        <f>IF(AND($H106&lt;&gt;"",$AH106&lt;&gt;"",$H106&lt;&gt;$AH106,IFERROR(VLOOKUP($H106,areaCercaPuntiClassificaSquadra,3,FALSE),-1)=IFERROR(VLOOKUP($AH106,areaCercaPuntiClassificaSquadra,3,FALSE),-2)),SUMIFS(Dati!$D$2:$D$451,Dati!$A$2:$A$451,$H106,Dati!$H$2:$H$451,$AH106)+SUMIFS(Dati!$K$2:$K$451,Dati!$H$2:$H$451,$H106,Dati!$A$2:$A$451,$AH106)+SUMIFS(Dati!$C$2:$C$451,Dati!$A$2:$A$451,$H106,Dati!$H$2:$H$451,$AH106)+SUMIFS(Dati!$J$2:$J$451,Dati!$H$2:$H$451,$H106,Dati!$A$2:$A$451,$AH106),"-")</f>
        <v/>
      </c>
      <c r="BH106" s="21">
        <f>$C106</f>
        <v/>
      </c>
      <c r="BI106" s="22">
        <f>IF(AND($H106&lt;&gt;"",$Y106&lt;&gt;"",$H106&lt;&gt;$Y106,IFERROR(VLOOKUP($H106,areaCercaPuntiClassificaSquadra,3,FALSE),-1)=IFERROR(VLOOKUP($Y106,areaCercaPuntiClassificaSquadra,3,FALSE),-2)),SUMIFS(Dati!$E$2:$E$451,Dati!$A$2:$A$451,$H106,Dati!$H$2:$H$451,$Y106)+SUMIFS(Dati!$L$2:$L$451,Dati!$H$2:$H$451,$H106,Dati!$A$2:$A$451,$Y106),"-")</f>
        <v/>
      </c>
      <c r="BJ106" s="22">
        <f>IF(AND($H106&lt;&gt;"",$Z106&lt;&gt;"",$H106&lt;&gt;$Z106,IFERROR(VLOOKUP($H106,areaCercaPuntiClassificaSquadra,3,FALSE),-1)=IFERROR(VLOOKUP($Z106,areaCercaPuntiClassificaSquadra,3,FALSE),-2)),SUMIFS(Dati!$E$2:$E$451,Dati!$A$2:$A$451,$H106,Dati!$H$2:$H$451,$Z106)+SUMIFS(Dati!$L$2:$L$451,Dati!$H$2:$H$451,$H106,Dati!$A$2:$A$451,$Z106),"-")</f>
        <v/>
      </c>
      <c r="BK106" s="22">
        <f>IF(AND($H106&lt;&gt;"",$AA106&lt;&gt;"",$H106&lt;&gt;$AA106,IFERROR(VLOOKUP($H106,areaCercaPuntiClassificaSquadra,3,FALSE),-1)=IFERROR(VLOOKUP($AA106,areaCercaPuntiClassificaSquadra,3,FALSE),-2)),SUMIFS(Dati!$E$2:$E$451,Dati!$A$2:$A$451,$H106,Dati!$H$2:$H$451,$AA106)+SUMIFS(Dati!$L$2:$L$451,Dati!$H$2:$H$451,$H106,Dati!$A$2:$A$451,$AA106),"-")</f>
        <v/>
      </c>
      <c r="BL106" s="22">
        <f>IF(AND($H106&lt;&gt;"",$AB106&lt;&gt;"",$H106&lt;&gt;$AB106,IFERROR(VLOOKUP($H106,areaCercaPuntiClassificaSquadra,3,FALSE),-1)=IFERROR(VLOOKUP($AB106,areaCercaPuntiClassificaSquadra,3,FALSE),-2)),SUMIFS(Dati!$E$2:$E$451,Dati!$A$2:$A$451,$H106,Dati!$H$2:$H$451,$AB106)+SUMIFS(Dati!$L$2:$L$451,Dati!$H$2:$H$451,$H106,Dati!$A$2:$A$451,$AB106),"-")</f>
        <v/>
      </c>
      <c r="BM106" s="22">
        <f>IF(AND($H106&lt;&gt;"",$AC106&lt;&gt;"",$H106&lt;&gt;$AC106,IFERROR(VLOOKUP($H106,areaCercaPuntiClassificaSquadra,3,FALSE),-1)=IFERROR(VLOOKUP($AC106,areaCercaPuntiClassificaSquadra,3,FALSE),-2)),SUMIFS(Dati!$E$2:$E$451,Dati!$A$2:$A$451,$H106,Dati!$H$2:$H$451,$AC106)+SUMIFS(Dati!$L$2:$L$451,Dati!$H$2:$H$451,$H106,Dati!$A$2:$A$451,$AC106),"-")</f>
        <v/>
      </c>
      <c r="BN106" s="22">
        <f>IF(AND($H106&lt;&gt;"",$AD106&lt;&gt;"",$H106&lt;&gt;$AD106,IFERROR(VLOOKUP($H106,areaCercaPuntiClassificaSquadra,3,FALSE),-1)=IFERROR(VLOOKUP($AD106,areaCercaPuntiClassificaSquadra,3,FALSE),-2)),SUMIFS(Dati!$E$2:$E$451,Dati!$A$2:$A$451,$H106,Dati!$H$2:$H$451,$AD106)+SUMIFS(Dati!$L$2:$L$451,Dati!$H$2:$H$451,$H106,Dati!$A$2:$A$451,$AD106),"-")</f>
        <v/>
      </c>
      <c r="BO106" s="22">
        <f>IF(AND($H106&lt;&gt;"",$AE106&lt;&gt;"",$H106&lt;&gt;$AE106,IFERROR(VLOOKUP($H106,areaCercaPuntiClassificaSquadra,3,FALSE),-1)=IFERROR(VLOOKUP($AE106,areaCercaPuntiClassificaSquadra,3,FALSE),-2)),SUMIFS(Dati!$E$2:$E$451,Dati!$A$2:$A$451,$H106,Dati!$H$2:$H$451,$AE106)+SUMIFS(Dati!$L$2:$L$451,Dati!$H$2:$H$451,$H106,Dati!$A$2:$A$451,$AE106),"-")</f>
        <v/>
      </c>
      <c r="BP106" s="22">
        <f>IF(AND($H106&lt;&gt;"",$AF106&lt;&gt;"",$H106&lt;&gt;$AF106,IFERROR(VLOOKUP($H106,areaCercaPuntiClassificaSquadra,3,FALSE),-1)=IFERROR(VLOOKUP($AF106,areaCercaPuntiClassificaSquadra,3,FALSE),-2)),SUMIFS(Dati!$E$2:$E$451,Dati!$A$2:$A$451,$H106,Dati!$H$2:$H$451,$AF106)+SUMIFS(Dati!$L$2:$L$451,Dati!$H$2:$H$451,$H106,Dati!$A$2:$A$451,$AF106),"-")</f>
        <v/>
      </c>
      <c r="BQ106" s="22">
        <f>IF(AND($H106&lt;&gt;"",$AG106&lt;&gt;"",$H106&lt;&gt;$AG106,IFERROR(VLOOKUP($H106,areaCercaPuntiClassificaSquadra,3,FALSE),-1)=IFERROR(VLOOKUP($AG106,areaCercaPuntiClassificaSquadra,3,FALSE),-2)),SUMIFS(Dati!$E$2:$E$451,Dati!$A$2:$A$451,$H106,Dati!$H$2:$H$451,$AG106)+SUMIFS(Dati!$L$2:$L$451,Dati!$H$2:$H$451,$H106,Dati!$A$2:$A$451,$AG106),"-")</f>
        <v/>
      </c>
      <c r="BR106" s="22">
        <f>IF(AND($H106&lt;&gt;"",$AH106&lt;&gt;"",$H106&lt;&gt;$AH106,IFERROR(VLOOKUP($H106,areaCercaPuntiClassificaSquadra,3,FALSE),-1)=IFERROR(VLOOKUP($AH106,areaCercaPuntiClassificaSquadra,3,FALSE),-2)),SUMIFS(Dati!$E$2:$E$451,Dati!$A$2:$A$451,$H106,Dati!$H$2:$H$451,$AH106)+SUMIFS(Dati!$L$2:$L$451,Dati!$H$2:$H$451,$H106,Dati!$A$2:$A$451,$AH106),"-")</f>
        <v/>
      </c>
      <c r="BT106" s="21">
        <f>$C106</f>
        <v/>
      </c>
      <c r="BU106" s="22">
        <f>IF(AND($H106&lt;&gt;"",$Y106&lt;&gt;"",$H106&lt;&gt;$Y106,IFERROR(VLOOKUP($H106,areaCercaPuntiClassificaSquadra,3,FALSE),-1)=IFERROR(VLOOKUP($Y106,areaCercaPuntiClassificaSquadra,3,FALSE),-2)),SUMIFS(Dati!$F$2:$F$451,Dati!$A$2:$A$451,$H106,Dati!$H$2:$H$451,$Y106)+SUMIFS(Dati!$M$2:$M$451,Dati!$H$2:$H$451,$H106,Dati!$A$2:$A$451,$Y106),"-")</f>
        <v/>
      </c>
      <c r="BV106" s="22">
        <f>IF(AND($H106&lt;&gt;"",$Z106&lt;&gt;"",$H106&lt;&gt;$Z106,IFERROR(VLOOKUP($H106,areaCercaPuntiClassificaSquadra,3,FALSE),-1)=IFERROR(VLOOKUP($Z106,areaCercaPuntiClassificaSquadra,3,FALSE),-2)),SUMIFS(Dati!$F$2:$F$451,Dati!$A$2:$A$451,$H106,Dati!$H$2:$H$451,$Z106)+SUMIFS(Dati!$M$2:$M$451,Dati!$H$2:$H$451,$H106,Dati!$A$2:$A$451,$Z106),"-")</f>
        <v/>
      </c>
      <c r="BW106" s="22">
        <f>IF(AND($H106&lt;&gt;"",$AA106&lt;&gt;"",$H106&lt;&gt;$AA106,IFERROR(VLOOKUP($H106,areaCercaPuntiClassificaSquadra,3,FALSE),-1)=IFERROR(VLOOKUP($AA106,areaCercaPuntiClassificaSquadra,3,FALSE),-2)),SUMIFS(Dati!$F$2:$F$451,Dati!$A$2:$A$451,$H106,Dati!$H$2:$H$451,$AA106)+SUMIFS(Dati!$M$2:$M$451,Dati!$H$2:$H$451,$H106,Dati!$A$2:$A$451,$AA106),"-")</f>
        <v/>
      </c>
      <c r="BX106" s="22">
        <f>IF(AND($H106&lt;&gt;"",$AB106&lt;&gt;"",$H106&lt;&gt;$AB106,IFERROR(VLOOKUP($H106,areaCercaPuntiClassificaSquadra,3,FALSE),-1)=IFERROR(VLOOKUP($AB106,areaCercaPuntiClassificaSquadra,3,FALSE),-2)),SUMIFS(Dati!$F$2:$F$451,Dati!$A$2:$A$451,$H106,Dati!$H$2:$H$451,$AB106)+SUMIFS(Dati!$M$2:$M$451,Dati!$H$2:$H$451,$H106,Dati!$A$2:$A$451,$AB106),"-")</f>
        <v/>
      </c>
      <c r="BY106" s="22">
        <f>IF(AND($H106&lt;&gt;"",$AC106&lt;&gt;"",$H106&lt;&gt;$AC106,IFERROR(VLOOKUP($H106,areaCercaPuntiClassificaSquadra,3,FALSE),-1)=IFERROR(VLOOKUP($AC106,areaCercaPuntiClassificaSquadra,3,FALSE),-2)),SUMIFS(Dati!$F$2:$F$451,Dati!$A$2:$A$451,$H106,Dati!$H$2:$H$451,$AC106)+SUMIFS(Dati!$M$2:$M$451,Dati!$H$2:$H$451,$H106,Dati!$A$2:$A$451,$AC106),"-")</f>
        <v/>
      </c>
      <c r="BZ106" s="22">
        <f>IF(AND($H106&lt;&gt;"",$AD106&lt;&gt;"",$H106&lt;&gt;$AD106,IFERROR(VLOOKUP($H106,areaCercaPuntiClassificaSquadra,3,FALSE),-1)=IFERROR(VLOOKUP($AD106,areaCercaPuntiClassificaSquadra,3,FALSE),-2)),SUMIFS(Dati!$F$2:$F$451,Dati!$A$2:$A$451,$H106,Dati!$H$2:$H$451,$AD106)+SUMIFS(Dati!$M$2:$M$451,Dati!$H$2:$H$451,$H106,Dati!$A$2:$A$451,$AD106),"-")</f>
        <v/>
      </c>
      <c r="CA106" s="22">
        <f>IF(AND($H106&lt;&gt;"",$AE106&lt;&gt;"",$H106&lt;&gt;$AE106,IFERROR(VLOOKUP($H106,areaCercaPuntiClassificaSquadra,3,FALSE),-1)=IFERROR(VLOOKUP($AE106,areaCercaPuntiClassificaSquadra,3,FALSE),-2)),SUMIFS(Dati!$F$2:$F$451,Dati!$A$2:$A$451,$H106,Dati!$H$2:$H$451,$AE106)+SUMIFS(Dati!$M$2:$M$451,Dati!$H$2:$H$451,$H106,Dati!$A$2:$A$451,$AE106),"-")</f>
        <v/>
      </c>
      <c r="CB106" s="22">
        <f>IF(AND($H106&lt;&gt;"",$AF106&lt;&gt;"",$H106&lt;&gt;$AF106,IFERROR(VLOOKUP($H106,areaCercaPuntiClassificaSquadra,3,FALSE),-1)=IFERROR(VLOOKUP($AF106,areaCercaPuntiClassificaSquadra,3,FALSE),-2)),SUMIFS(Dati!$F$2:$F$451,Dati!$A$2:$A$451,$H106,Dati!$H$2:$H$451,$AF106)+SUMIFS(Dati!$M$2:$M$451,Dati!$H$2:$H$451,$H106,Dati!$A$2:$A$451,$AF106),"-")</f>
        <v/>
      </c>
      <c r="CC106" s="22">
        <f>IF(AND($H106&lt;&gt;"",$AG106&lt;&gt;"",$H106&lt;&gt;$AG106,IFERROR(VLOOKUP($H106,areaCercaPuntiClassificaSquadra,3,FALSE),-1)=IFERROR(VLOOKUP($AG106,areaCercaPuntiClassificaSquadra,3,FALSE),-2)),SUMIFS(Dati!$F$2:$F$451,Dati!$A$2:$A$451,$H106,Dati!$H$2:$H$451,$AG106)+SUMIFS(Dati!$M$2:$M$451,Dati!$H$2:$H$451,$H106,Dati!$A$2:$A$451,$AG106),"-")</f>
        <v/>
      </c>
      <c r="CD106" s="22">
        <f>IF(AND($H106&lt;&gt;"",$AH106&lt;&gt;"",$H106&lt;&gt;$AH106,IFERROR(VLOOKUP($H106,areaCercaPuntiClassificaSquadra,3,FALSE),-1)=IFERROR(VLOOKUP($AH106,areaCercaPuntiClassificaSquadra,3,FALSE),-2)),SUMIFS(Dati!$F$2:$F$451,Dati!$A$2:$A$451,$H106,Dati!$H$2:$H$451,$AH106)+SUMIFS(Dati!$M$2:$M$451,Dati!$H$2:$H$451,$H106,Dati!$A$2:$A$451,$AH106),"-")</f>
        <v/>
      </c>
      <c r="CF106" s="22">
        <f>IF($C106="","",SUM(AK106:AT106))</f>
        <v/>
      </c>
    </row>
    <row r="107">
      <c r="B107" s="12" t="inlineStr">
        <is>
          <t>J04</t>
        </is>
      </c>
      <c r="C107" s="13" t="n"/>
      <c r="D107" s="14" t="n"/>
      <c r="E107" s="39" t="inlineStr">
        <is>
          <t>J</t>
        </is>
      </c>
      <c r="G107" s="40">
        <f>IF($C107="","",$E107&amp;(COUNTIFS(I$14:I$113,"&gt;"&amp;I107,E$14:E$113,"="&amp;E107,C$14:C$113,"&lt;&gt;")+COUNTIFS(I$14:I$113,"="&amp;I107,H$14:H$113,"&lt;="&amp;H107,E$14:E$113,"="&amp;E107,C$14:C$113,"&lt;&gt;")))</f>
        <v/>
      </c>
      <c r="H107" s="17">
        <f>IF($C107="","",IFERROR(LEFT($C107,FIND("-",$C107)-1),$C107))</f>
        <v/>
      </c>
      <c r="I107" s="12">
        <f>TEXT(1000000000+J107,"|0000000000|")&amp;TEXT(SUM(AK107:AT107),"0000000000|")&amp;IF(SUM(BU107:CD107)=0,"0000000000|",TEXT(ROUND(SUM(BI107:BR107)/SUM(BU107:CD107),4)*100000,"0000000000|"))&amp;IF(P107=0,"0000000000|",TEXT(ROUND(O107/P107,4)*100000,"0000000000|"))</f>
        <v/>
      </c>
      <c r="J107" s="40">
        <f>L107*constPuntiVittoria+M107*constPuntiSconfitta+N107*constPuntiForfait+IF(D107="",0,D107)</f>
        <v/>
      </c>
      <c r="K107" s="12">
        <f>SUM(L107:N107)</f>
        <v/>
      </c>
      <c r="L107" s="12">
        <f>IF($H107="",0,SUMIF(Dati!$A$2:$A$451,$H107,Dati!$B$2:$B$451)+SUMIF(Dati!$H$2:$H$451,$H107,Dati!$I$2:$I$451))</f>
        <v/>
      </c>
      <c r="M107" s="12">
        <f>IF($H107="",0,SUMIF(Dati!$A$2:$A$451,$H107,Dati!$D$2:$D$451)+SUMIF(Dati!$H$2:$H$451,$H107,Dati!$K$2:$K$451))</f>
        <v/>
      </c>
      <c r="N107" s="12">
        <f>IF($H107="",0,SUMIF(Dati!$A$2:$A$451,$H107,Dati!$C$2:$C$451)+SUMIF(Dati!$H$2:$H$451,$H107,Dati!$J$2:$J$451))</f>
        <v/>
      </c>
      <c r="O107" s="12">
        <f>IF($H107="",0,SUMIF(Dati!$A$2:$A$451,$H107,Dati!$E$2:$E$451)+SUMIF(Dati!$H$2:$H$451,$H107,Dati!$L$2:$L$451))</f>
        <v/>
      </c>
      <c r="P107" s="12">
        <f>IF($H107="",0,SUMIF(Dati!$A$2:$A$451,$H107,Dati!$F$2:$F$451)+SUMIF(Dati!$H$2:$H$451,$H107,Dati!$M$2:$M$451))</f>
        <v/>
      </c>
      <c r="Q107" s="12">
        <f>IF($H107="",0,SUMIF(Dati!$A$2:$A$451,$H107,Dati!$G$2:$G$451)+SUMIF(Dati!$H$2:$H$451,$H107,Dati!$N$2:$N$451))</f>
        <v/>
      </c>
      <c r="R107" s="12">
        <f>IF(K107=0,0,ROUND(O107/K107,2))</f>
        <v/>
      </c>
      <c r="S107" s="12">
        <f>IF(K107=0,0,ROUND(P107/K107,2))</f>
        <v/>
      </c>
      <c r="T107" s="12">
        <f>IF(K107=0,0,ROUND(Q107/K107,2))</f>
        <v/>
      </c>
      <c r="U107" s="12">
        <f>IF(COUNTIFS($E$14:$E$113,$E107,$J$14:$J$113,$J107,$C$14:$C$113,"&lt;&gt;")&lt;=1,"-",SUM(AK107:AT107)&amp;"-"&amp;SUM(AW107:BF107))</f>
        <v/>
      </c>
      <c r="V107" s="18">
        <f>IF(COUNTIFS($E$14:$E$113,$E107,$J$14:$J$113,$J107,$C$14:$C$113,"&lt;&gt;",$CF$14:$CF$113,$CF107)&lt;=1,"-",IF(SUM(BU107:CD107)=0,0,ROUND(SUM(BI107:BR107)/SUM(BU107:CD107),3)))</f>
        <v/>
      </c>
      <c r="W107" s="18">
        <f>IF(COUNTIFS($E$14:$E$113,$E107,$J$14:$J$113,$J107,$C$14:$C$113,"&lt;&gt;",$CF$14:$CF$113,$CF107,$V$14:$V$113,$V107)&lt;=1,"-",IF(P107=0,0,ROUND(O107/P107,3)))</f>
        <v/>
      </c>
      <c r="X107" s="19">
        <f>IF($C107="","",$E107&amp;"#"&amp;COUNTIFS($E$14:$E107,$E107,$C$14:$C107,"&lt;&gt;"))</f>
        <v/>
      </c>
      <c r="Y107" s="20">
        <f>IFERROR(INDEX($H$14:$H$113,MATCH($E107&amp;"#1",$X$14:$X$113,0)),"")</f>
        <v/>
      </c>
      <c r="Z107" s="20">
        <f>IFERROR(INDEX($H$14:$H$113,MATCH($E107&amp;"#2",$X$14:$X$113,0)),"")</f>
        <v/>
      </c>
      <c r="AA107" s="20">
        <f>IFERROR(INDEX($H$14:$H$113,MATCH($E107&amp;"#3",$X$14:$X$113,0)),"")</f>
        <v/>
      </c>
      <c r="AB107" s="20">
        <f>IFERROR(INDEX($H$14:$H$113,MATCH($E107&amp;"#4",$X$14:$X$113,0)),"")</f>
        <v/>
      </c>
      <c r="AC107" s="20">
        <f>IFERROR(INDEX($H$14:$H$113,MATCH($E107&amp;"#5",$X$14:$X$113,0)),"")</f>
        <v/>
      </c>
      <c r="AD107" s="20">
        <f>IFERROR(INDEX($H$14:$H$113,MATCH($E107&amp;"#6",$X$14:$X$113,0)),"")</f>
        <v/>
      </c>
      <c r="AE107" s="20">
        <f>IFERROR(INDEX($H$14:$H$113,MATCH($E107&amp;"#7",$X$14:$X$113,0)),"")</f>
        <v/>
      </c>
      <c r="AF107" s="20">
        <f>IFERROR(INDEX($H$14:$H$113,MATCH($E107&amp;"#8",$X$14:$X$113,0)),"")</f>
        <v/>
      </c>
      <c r="AG107" s="20">
        <f>IFERROR(INDEX($H$14:$H$113,MATCH($E107&amp;"#9",$X$14:$X$113,0)),"")</f>
        <v/>
      </c>
      <c r="AH107" s="20">
        <f>IFERROR(INDEX($H$14:$H$113,MATCH($E107&amp;"#10",$X$14:$X$113,0)),"")</f>
        <v/>
      </c>
      <c r="AJ107" s="21">
        <f>$C107</f>
        <v/>
      </c>
      <c r="AK107" s="22">
        <f>IF(AND($H107&lt;&gt;"",$Y107&lt;&gt;"",$H107&lt;&gt;$Y107,IFERROR(VLOOKUP($H107,areaCercaPuntiClassificaSquadra,3,FALSE),-1)=IFERROR(VLOOKUP($Y107,areaCercaPuntiClassificaSquadra,3,FALSE),-2)),SUMIFS(Dati!$B$2:$B$451,Dati!$A$2:$A$451,$H107,Dati!$H$2:$H$451,$Y107)+SUMIFS(Dati!$I$2:$I$451,Dati!$H$2:$H$451,$H107,Dati!$A$2:$A$451,$Y107),"-")</f>
        <v/>
      </c>
      <c r="AL107" s="22">
        <f>IF(AND($H107&lt;&gt;"",$Z107&lt;&gt;"",$H107&lt;&gt;$Z107,IFERROR(VLOOKUP($H107,areaCercaPuntiClassificaSquadra,3,FALSE),-1)=IFERROR(VLOOKUP($Z107,areaCercaPuntiClassificaSquadra,3,FALSE),-2)),SUMIFS(Dati!$B$2:$B$451,Dati!$A$2:$A$451,$H107,Dati!$H$2:$H$451,$Z107)+SUMIFS(Dati!$I$2:$I$451,Dati!$H$2:$H$451,$H107,Dati!$A$2:$A$451,$Z107),"-")</f>
        <v/>
      </c>
      <c r="AM107" s="22">
        <f>IF(AND($H107&lt;&gt;"",$AA107&lt;&gt;"",$H107&lt;&gt;$AA107,IFERROR(VLOOKUP($H107,areaCercaPuntiClassificaSquadra,3,FALSE),-1)=IFERROR(VLOOKUP($AA107,areaCercaPuntiClassificaSquadra,3,FALSE),-2)),SUMIFS(Dati!$B$2:$B$451,Dati!$A$2:$A$451,$H107,Dati!$H$2:$H$451,$AA107)+SUMIFS(Dati!$I$2:$I$451,Dati!$H$2:$H$451,$H107,Dati!$A$2:$A$451,$AA107),"-")</f>
        <v/>
      </c>
      <c r="AN107" s="22">
        <f>IF(AND($H107&lt;&gt;"",$AB107&lt;&gt;"",$H107&lt;&gt;$AB107,IFERROR(VLOOKUP($H107,areaCercaPuntiClassificaSquadra,3,FALSE),-1)=IFERROR(VLOOKUP($AB107,areaCercaPuntiClassificaSquadra,3,FALSE),-2)),SUMIFS(Dati!$B$2:$B$451,Dati!$A$2:$A$451,$H107,Dati!$H$2:$H$451,$AB107)+SUMIFS(Dati!$I$2:$I$451,Dati!$H$2:$H$451,$H107,Dati!$A$2:$A$451,$AB107),"-")</f>
        <v/>
      </c>
      <c r="AO107" s="22">
        <f>IF(AND($H107&lt;&gt;"",$AC107&lt;&gt;"",$H107&lt;&gt;$AC107,IFERROR(VLOOKUP($H107,areaCercaPuntiClassificaSquadra,3,FALSE),-1)=IFERROR(VLOOKUP($AC107,areaCercaPuntiClassificaSquadra,3,FALSE),-2)),SUMIFS(Dati!$B$2:$B$451,Dati!$A$2:$A$451,$H107,Dati!$H$2:$H$451,$AC107)+SUMIFS(Dati!$I$2:$I$451,Dati!$H$2:$H$451,$H107,Dati!$A$2:$A$451,$AC107),"-")</f>
        <v/>
      </c>
      <c r="AP107" s="22">
        <f>IF(AND($H107&lt;&gt;"",$AD107&lt;&gt;"",$H107&lt;&gt;$AD107,IFERROR(VLOOKUP($H107,areaCercaPuntiClassificaSquadra,3,FALSE),-1)=IFERROR(VLOOKUP($AD107,areaCercaPuntiClassificaSquadra,3,FALSE),-2)),SUMIFS(Dati!$B$2:$B$451,Dati!$A$2:$A$451,$H107,Dati!$H$2:$H$451,$AD107)+SUMIFS(Dati!$I$2:$I$451,Dati!$H$2:$H$451,$H107,Dati!$A$2:$A$451,$AD107),"-")</f>
        <v/>
      </c>
      <c r="AQ107" s="22">
        <f>IF(AND($H107&lt;&gt;"",$AE107&lt;&gt;"",$H107&lt;&gt;$AE107,IFERROR(VLOOKUP($H107,areaCercaPuntiClassificaSquadra,3,FALSE),-1)=IFERROR(VLOOKUP($AE107,areaCercaPuntiClassificaSquadra,3,FALSE),-2)),SUMIFS(Dati!$B$2:$B$451,Dati!$A$2:$A$451,$H107,Dati!$H$2:$H$451,$AE107)+SUMIFS(Dati!$I$2:$I$451,Dati!$H$2:$H$451,$H107,Dati!$A$2:$A$451,$AE107),"-")</f>
        <v/>
      </c>
      <c r="AR107" s="22">
        <f>IF(AND($H107&lt;&gt;"",$AF107&lt;&gt;"",$H107&lt;&gt;$AF107,IFERROR(VLOOKUP($H107,areaCercaPuntiClassificaSquadra,3,FALSE),-1)=IFERROR(VLOOKUP($AF107,areaCercaPuntiClassificaSquadra,3,FALSE),-2)),SUMIFS(Dati!$B$2:$B$451,Dati!$A$2:$A$451,$H107,Dati!$H$2:$H$451,$AF107)+SUMIFS(Dati!$I$2:$I$451,Dati!$H$2:$H$451,$H107,Dati!$A$2:$A$451,$AF107),"-")</f>
        <v/>
      </c>
      <c r="AS107" s="22">
        <f>IF(AND($H107&lt;&gt;"",$AG107&lt;&gt;"",$H107&lt;&gt;$AG107,IFERROR(VLOOKUP($H107,areaCercaPuntiClassificaSquadra,3,FALSE),-1)=IFERROR(VLOOKUP($AG107,areaCercaPuntiClassificaSquadra,3,FALSE),-2)),SUMIFS(Dati!$B$2:$B$451,Dati!$A$2:$A$451,$H107,Dati!$H$2:$H$451,$AG107)+SUMIFS(Dati!$I$2:$I$451,Dati!$H$2:$H$451,$H107,Dati!$A$2:$A$451,$AG107),"-")</f>
        <v/>
      </c>
      <c r="AT107" s="22">
        <f>IF(AND($H107&lt;&gt;"",$AH107&lt;&gt;"",$H107&lt;&gt;$AH107,IFERROR(VLOOKUP($H107,areaCercaPuntiClassificaSquadra,3,FALSE),-1)=IFERROR(VLOOKUP($AH107,areaCercaPuntiClassificaSquadra,3,FALSE),-2)),SUMIFS(Dati!$B$2:$B$451,Dati!$A$2:$A$451,$H107,Dati!$H$2:$H$451,$AH107)+SUMIFS(Dati!$I$2:$I$451,Dati!$H$2:$H$451,$H107,Dati!$A$2:$A$451,$AH107),"-")</f>
        <v/>
      </c>
      <c r="AV107" s="21">
        <f>$C107</f>
        <v/>
      </c>
      <c r="AW107" s="22">
        <f>IF(AND($H107&lt;&gt;"",$Y107&lt;&gt;"",$H107&lt;&gt;$Y107,IFERROR(VLOOKUP($H107,areaCercaPuntiClassificaSquadra,3,FALSE),-1)=IFERROR(VLOOKUP($Y107,areaCercaPuntiClassificaSquadra,3,FALSE),-2)),SUMIFS(Dati!$D$2:$D$451,Dati!$A$2:$A$451,$H107,Dati!$H$2:$H$451,$Y107)+SUMIFS(Dati!$K$2:$K$451,Dati!$H$2:$H$451,$H107,Dati!$A$2:$A$451,$Y107)+SUMIFS(Dati!$C$2:$C$451,Dati!$A$2:$A$451,$H107,Dati!$H$2:$H$451,$Y107)+SUMIFS(Dati!$J$2:$J$451,Dati!$H$2:$H$451,$H107,Dati!$A$2:$A$451,$Y107),"-")</f>
        <v/>
      </c>
      <c r="AX107" s="22">
        <f>IF(AND($H107&lt;&gt;"",$Z107&lt;&gt;"",$H107&lt;&gt;$Z107,IFERROR(VLOOKUP($H107,areaCercaPuntiClassificaSquadra,3,FALSE),-1)=IFERROR(VLOOKUP($Z107,areaCercaPuntiClassificaSquadra,3,FALSE),-2)),SUMIFS(Dati!$D$2:$D$451,Dati!$A$2:$A$451,$H107,Dati!$H$2:$H$451,$Z107)+SUMIFS(Dati!$K$2:$K$451,Dati!$H$2:$H$451,$H107,Dati!$A$2:$A$451,$Z107)+SUMIFS(Dati!$C$2:$C$451,Dati!$A$2:$A$451,$H107,Dati!$H$2:$H$451,$Z107)+SUMIFS(Dati!$J$2:$J$451,Dati!$H$2:$H$451,$H107,Dati!$A$2:$A$451,$Z107),"-")</f>
        <v/>
      </c>
      <c r="AY107" s="22">
        <f>IF(AND($H107&lt;&gt;"",$AA107&lt;&gt;"",$H107&lt;&gt;$AA107,IFERROR(VLOOKUP($H107,areaCercaPuntiClassificaSquadra,3,FALSE),-1)=IFERROR(VLOOKUP($AA107,areaCercaPuntiClassificaSquadra,3,FALSE),-2)),SUMIFS(Dati!$D$2:$D$451,Dati!$A$2:$A$451,$H107,Dati!$H$2:$H$451,$AA107)+SUMIFS(Dati!$K$2:$K$451,Dati!$H$2:$H$451,$H107,Dati!$A$2:$A$451,$AA107)+SUMIFS(Dati!$C$2:$C$451,Dati!$A$2:$A$451,$H107,Dati!$H$2:$H$451,$AA107)+SUMIFS(Dati!$J$2:$J$451,Dati!$H$2:$H$451,$H107,Dati!$A$2:$A$451,$AA107),"-")</f>
        <v/>
      </c>
      <c r="AZ107" s="22">
        <f>IF(AND($H107&lt;&gt;"",$AB107&lt;&gt;"",$H107&lt;&gt;$AB107,IFERROR(VLOOKUP($H107,areaCercaPuntiClassificaSquadra,3,FALSE),-1)=IFERROR(VLOOKUP($AB107,areaCercaPuntiClassificaSquadra,3,FALSE),-2)),SUMIFS(Dati!$D$2:$D$451,Dati!$A$2:$A$451,$H107,Dati!$H$2:$H$451,$AB107)+SUMIFS(Dati!$K$2:$K$451,Dati!$H$2:$H$451,$H107,Dati!$A$2:$A$451,$AB107)+SUMIFS(Dati!$C$2:$C$451,Dati!$A$2:$A$451,$H107,Dati!$H$2:$H$451,$AB107)+SUMIFS(Dati!$J$2:$J$451,Dati!$H$2:$H$451,$H107,Dati!$A$2:$A$451,$AB107),"-")</f>
        <v/>
      </c>
      <c r="BA107" s="22">
        <f>IF(AND($H107&lt;&gt;"",$AC107&lt;&gt;"",$H107&lt;&gt;$AC107,IFERROR(VLOOKUP($H107,areaCercaPuntiClassificaSquadra,3,FALSE),-1)=IFERROR(VLOOKUP($AC107,areaCercaPuntiClassificaSquadra,3,FALSE),-2)),SUMIFS(Dati!$D$2:$D$451,Dati!$A$2:$A$451,$H107,Dati!$H$2:$H$451,$AC107)+SUMIFS(Dati!$K$2:$K$451,Dati!$H$2:$H$451,$H107,Dati!$A$2:$A$451,$AC107)+SUMIFS(Dati!$C$2:$C$451,Dati!$A$2:$A$451,$H107,Dati!$H$2:$H$451,$AC107)+SUMIFS(Dati!$J$2:$J$451,Dati!$H$2:$H$451,$H107,Dati!$A$2:$A$451,$AC107),"-")</f>
        <v/>
      </c>
      <c r="BB107" s="22">
        <f>IF(AND($H107&lt;&gt;"",$AD107&lt;&gt;"",$H107&lt;&gt;$AD107,IFERROR(VLOOKUP($H107,areaCercaPuntiClassificaSquadra,3,FALSE),-1)=IFERROR(VLOOKUP($AD107,areaCercaPuntiClassificaSquadra,3,FALSE),-2)),SUMIFS(Dati!$D$2:$D$451,Dati!$A$2:$A$451,$H107,Dati!$H$2:$H$451,$AD107)+SUMIFS(Dati!$K$2:$K$451,Dati!$H$2:$H$451,$H107,Dati!$A$2:$A$451,$AD107)+SUMIFS(Dati!$C$2:$C$451,Dati!$A$2:$A$451,$H107,Dati!$H$2:$H$451,$AD107)+SUMIFS(Dati!$J$2:$J$451,Dati!$H$2:$H$451,$H107,Dati!$A$2:$A$451,$AD107),"-")</f>
        <v/>
      </c>
      <c r="BC107" s="22">
        <f>IF(AND($H107&lt;&gt;"",$AE107&lt;&gt;"",$H107&lt;&gt;$AE107,IFERROR(VLOOKUP($H107,areaCercaPuntiClassificaSquadra,3,FALSE),-1)=IFERROR(VLOOKUP($AE107,areaCercaPuntiClassificaSquadra,3,FALSE),-2)),SUMIFS(Dati!$D$2:$D$451,Dati!$A$2:$A$451,$H107,Dati!$H$2:$H$451,$AE107)+SUMIFS(Dati!$K$2:$K$451,Dati!$H$2:$H$451,$H107,Dati!$A$2:$A$451,$AE107)+SUMIFS(Dati!$C$2:$C$451,Dati!$A$2:$A$451,$H107,Dati!$H$2:$H$451,$AE107)+SUMIFS(Dati!$J$2:$J$451,Dati!$H$2:$H$451,$H107,Dati!$A$2:$A$451,$AE107),"-")</f>
        <v/>
      </c>
      <c r="BD107" s="22">
        <f>IF(AND($H107&lt;&gt;"",$AF107&lt;&gt;"",$H107&lt;&gt;$AF107,IFERROR(VLOOKUP($H107,areaCercaPuntiClassificaSquadra,3,FALSE),-1)=IFERROR(VLOOKUP($AF107,areaCercaPuntiClassificaSquadra,3,FALSE),-2)),SUMIFS(Dati!$D$2:$D$451,Dati!$A$2:$A$451,$H107,Dati!$H$2:$H$451,$AF107)+SUMIFS(Dati!$K$2:$K$451,Dati!$H$2:$H$451,$H107,Dati!$A$2:$A$451,$AF107)+SUMIFS(Dati!$C$2:$C$451,Dati!$A$2:$A$451,$H107,Dati!$H$2:$H$451,$AF107)+SUMIFS(Dati!$J$2:$J$451,Dati!$H$2:$H$451,$H107,Dati!$A$2:$A$451,$AF107),"-")</f>
        <v/>
      </c>
      <c r="BE107" s="22">
        <f>IF(AND($H107&lt;&gt;"",$AG107&lt;&gt;"",$H107&lt;&gt;$AG107,IFERROR(VLOOKUP($H107,areaCercaPuntiClassificaSquadra,3,FALSE),-1)=IFERROR(VLOOKUP($AG107,areaCercaPuntiClassificaSquadra,3,FALSE),-2)),SUMIFS(Dati!$D$2:$D$451,Dati!$A$2:$A$451,$H107,Dati!$H$2:$H$451,$AG107)+SUMIFS(Dati!$K$2:$K$451,Dati!$H$2:$H$451,$H107,Dati!$A$2:$A$451,$AG107)+SUMIFS(Dati!$C$2:$C$451,Dati!$A$2:$A$451,$H107,Dati!$H$2:$H$451,$AG107)+SUMIFS(Dati!$J$2:$J$451,Dati!$H$2:$H$451,$H107,Dati!$A$2:$A$451,$AG107),"-")</f>
        <v/>
      </c>
      <c r="BF107" s="22">
        <f>IF(AND($H107&lt;&gt;"",$AH107&lt;&gt;"",$H107&lt;&gt;$AH107,IFERROR(VLOOKUP($H107,areaCercaPuntiClassificaSquadra,3,FALSE),-1)=IFERROR(VLOOKUP($AH107,areaCercaPuntiClassificaSquadra,3,FALSE),-2)),SUMIFS(Dati!$D$2:$D$451,Dati!$A$2:$A$451,$H107,Dati!$H$2:$H$451,$AH107)+SUMIFS(Dati!$K$2:$K$451,Dati!$H$2:$H$451,$H107,Dati!$A$2:$A$451,$AH107)+SUMIFS(Dati!$C$2:$C$451,Dati!$A$2:$A$451,$H107,Dati!$H$2:$H$451,$AH107)+SUMIFS(Dati!$J$2:$J$451,Dati!$H$2:$H$451,$H107,Dati!$A$2:$A$451,$AH107),"-")</f>
        <v/>
      </c>
      <c r="BH107" s="21">
        <f>$C107</f>
        <v/>
      </c>
      <c r="BI107" s="22">
        <f>IF(AND($H107&lt;&gt;"",$Y107&lt;&gt;"",$H107&lt;&gt;$Y107,IFERROR(VLOOKUP($H107,areaCercaPuntiClassificaSquadra,3,FALSE),-1)=IFERROR(VLOOKUP($Y107,areaCercaPuntiClassificaSquadra,3,FALSE),-2)),SUMIFS(Dati!$E$2:$E$451,Dati!$A$2:$A$451,$H107,Dati!$H$2:$H$451,$Y107)+SUMIFS(Dati!$L$2:$L$451,Dati!$H$2:$H$451,$H107,Dati!$A$2:$A$451,$Y107),"-")</f>
        <v/>
      </c>
      <c r="BJ107" s="22">
        <f>IF(AND($H107&lt;&gt;"",$Z107&lt;&gt;"",$H107&lt;&gt;$Z107,IFERROR(VLOOKUP($H107,areaCercaPuntiClassificaSquadra,3,FALSE),-1)=IFERROR(VLOOKUP($Z107,areaCercaPuntiClassificaSquadra,3,FALSE),-2)),SUMIFS(Dati!$E$2:$E$451,Dati!$A$2:$A$451,$H107,Dati!$H$2:$H$451,$Z107)+SUMIFS(Dati!$L$2:$L$451,Dati!$H$2:$H$451,$H107,Dati!$A$2:$A$451,$Z107),"-")</f>
        <v/>
      </c>
      <c r="BK107" s="22">
        <f>IF(AND($H107&lt;&gt;"",$AA107&lt;&gt;"",$H107&lt;&gt;$AA107,IFERROR(VLOOKUP($H107,areaCercaPuntiClassificaSquadra,3,FALSE),-1)=IFERROR(VLOOKUP($AA107,areaCercaPuntiClassificaSquadra,3,FALSE),-2)),SUMIFS(Dati!$E$2:$E$451,Dati!$A$2:$A$451,$H107,Dati!$H$2:$H$451,$AA107)+SUMIFS(Dati!$L$2:$L$451,Dati!$H$2:$H$451,$H107,Dati!$A$2:$A$451,$AA107),"-")</f>
        <v/>
      </c>
      <c r="BL107" s="22">
        <f>IF(AND($H107&lt;&gt;"",$AB107&lt;&gt;"",$H107&lt;&gt;$AB107,IFERROR(VLOOKUP($H107,areaCercaPuntiClassificaSquadra,3,FALSE),-1)=IFERROR(VLOOKUP($AB107,areaCercaPuntiClassificaSquadra,3,FALSE),-2)),SUMIFS(Dati!$E$2:$E$451,Dati!$A$2:$A$451,$H107,Dati!$H$2:$H$451,$AB107)+SUMIFS(Dati!$L$2:$L$451,Dati!$H$2:$H$451,$H107,Dati!$A$2:$A$451,$AB107),"-")</f>
        <v/>
      </c>
      <c r="BM107" s="22">
        <f>IF(AND($H107&lt;&gt;"",$AC107&lt;&gt;"",$H107&lt;&gt;$AC107,IFERROR(VLOOKUP($H107,areaCercaPuntiClassificaSquadra,3,FALSE),-1)=IFERROR(VLOOKUP($AC107,areaCercaPuntiClassificaSquadra,3,FALSE),-2)),SUMIFS(Dati!$E$2:$E$451,Dati!$A$2:$A$451,$H107,Dati!$H$2:$H$451,$AC107)+SUMIFS(Dati!$L$2:$L$451,Dati!$H$2:$H$451,$H107,Dati!$A$2:$A$451,$AC107),"-")</f>
        <v/>
      </c>
      <c r="BN107" s="22">
        <f>IF(AND($H107&lt;&gt;"",$AD107&lt;&gt;"",$H107&lt;&gt;$AD107,IFERROR(VLOOKUP($H107,areaCercaPuntiClassificaSquadra,3,FALSE),-1)=IFERROR(VLOOKUP($AD107,areaCercaPuntiClassificaSquadra,3,FALSE),-2)),SUMIFS(Dati!$E$2:$E$451,Dati!$A$2:$A$451,$H107,Dati!$H$2:$H$451,$AD107)+SUMIFS(Dati!$L$2:$L$451,Dati!$H$2:$H$451,$H107,Dati!$A$2:$A$451,$AD107),"-")</f>
        <v/>
      </c>
      <c r="BO107" s="22">
        <f>IF(AND($H107&lt;&gt;"",$AE107&lt;&gt;"",$H107&lt;&gt;$AE107,IFERROR(VLOOKUP($H107,areaCercaPuntiClassificaSquadra,3,FALSE),-1)=IFERROR(VLOOKUP($AE107,areaCercaPuntiClassificaSquadra,3,FALSE),-2)),SUMIFS(Dati!$E$2:$E$451,Dati!$A$2:$A$451,$H107,Dati!$H$2:$H$451,$AE107)+SUMIFS(Dati!$L$2:$L$451,Dati!$H$2:$H$451,$H107,Dati!$A$2:$A$451,$AE107),"-")</f>
        <v/>
      </c>
      <c r="BP107" s="22">
        <f>IF(AND($H107&lt;&gt;"",$AF107&lt;&gt;"",$H107&lt;&gt;$AF107,IFERROR(VLOOKUP($H107,areaCercaPuntiClassificaSquadra,3,FALSE),-1)=IFERROR(VLOOKUP($AF107,areaCercaPuntiClassificaSquadra,3,FALSE),-2)),SUMIFS(Dati!$E$2:$E$451,Dati!$A$2:$A$451,$H107,Dati!$H$2:$H$451,$AF107)+SUMIFS(Dati!$L$2:$L$451,Dati!$H$2:$H$451,$H107,Dati!$A$2:$A$451,$AF107),"-")</f>
        <v/>
      </c>
      <c r="BQ107" s="22">
        <f>IF(AND($H107&lt;&gt;"",$AG107&lt;&gt;"",$H107&lt;&gt;$AG107,IFERROR(VLOOKUP($H107,areaCercaPuntiClassificaSquadra,3,FALSE),-1)=IFERROR(VLOOKUP($AG107,areaCercaPuntiClassificaSquadra,3,FALSE),-2)),SUMIFS(Dati!$E$2:$E$451,Dati!$A$2:$A$451,$H107,Dati!$H$2:$H$451,$AG107)+SUMIFS(Dati!$L$2:$L$451,Dati!$H$2:$H$451,$H107,Dati!$A$2:$A$451,$AG107),"-")</f>
        <v/>
      </c>
      <c r="BR107" s="22">
        <f>IF(AND($H107&lt;&gt;"",$AH107&lt;&gt;"",$H107&lt;&gt;$AH107,IFERROR(VLOOKUP($H107,areaCercaPuntiClassificaSquadra,3,FALSE),-1)=IFERROR(VLOOKUP($AH107,areaCercaPuntiClassificaSquadra,3,FALSE),-2)),SUMIFS(Dati!$E$2:$E$451,Dati!$A$2:$A$451,$H107,Dati!$H$2:$H$451,$AH107)+SUMIFS(Dati!$L$2:$L$451,Dati!$H$2:$H$451,$H107,Dati!$A$2:$A$451,$AH107),"-")</f>
        <v/>
      </c>
      <c r="BT107" s="21">
        <f>$C107</f>
        <v/>
      </c>
      <c r="BU107" s="22">
        <f>IF(AND($H107&lt;&gt;"",$Y107&lt;&gt;"",$H107&lt;&gt;$Y107,IFERROR(VLOOKUP($H107,areaCercaPuntiClassificaSquadra,3,FALSE),-1)=IFERROR(VLOOKUP($Y107,areaCercaPuntiClassificaSquadra,3,FALSE),-2)),SUMIFS(Dati!$F$2:$F$451,Dati!$A$2:$A$451,$H107,Dati!$H$2:$H$451,$Y107)+SUMIFS(Dati!$M$2:$M$451,Dati!$H$2:$H$451,$H107,Dati!$A$2:$A$451,$Y107),"-")</f>
        <v/>
      </c>
      <c r="BV107" s="22">
        <f>IF(AND($H107&lt;&gt;"",$Z107&lt;&gt;"",$H107&lt;&gt;$Z107,IFERROR(VLOOKUP($H107,areaCercaPuntiClassificaSquadra,3,FALSE),-1)=IFERROR(VLOOKUP($Z107,areaCercaPuntiClassificaSquadra,3,FALSE),-2)),SUMIFS(Dati!$F$2:$F$451,Dati!$A$2:$A$451,$H107,Dati!$H$2:$H$451,$Z107)+SUMIFS(Dati!$M$2:$M$451,Dati!$H$2:$H$451,$H107,Dati!$A$2:$A$451,$Z107),"-")</f>
        <v/>
      </c>
      <c r="BW107" s="22">
        <f>IF(AND($H107&lt;&gt;"",$AA107&lt;&gt;"",$H107&lt;&gt;$AA107,IFERROR(VLOOKUP($H107,areaCercaPuntiClassificaSquadra,3,FALSE),-1)=IFERROR(VLOOKUP($AA107,areaCercaPuntiClassificaSquadra,3,FALSE),-2)),SUMIFS(Dati!$F$2:$F$451,Dati!$A$2:$A$451,$H107,Dati!$H$2:$H$451,$AA107)+SUMIFS(Dati!$M$2:$M$451,Dati!$H$2:$H$451,$H107,Dati!$A$2:$A$451,$AA107),"-")</f>
        <v/>
      </c>
      <c r="BX107" s="22">
        <f>IF(AND($H107&lt;&gt;"",$AB107&lt;&gt;"",$H107&lt;&gt;$AB107,IFERROR(VLOOKUP($H107,areaCercaPuntiClassificaSquadra,3,FALSE),-1)=IFERROR(VLOOKUP($AB107,areaCercaPuntiClassificaSquadra,3,FALSE),-2)),SUMIFS(Dati!$F$2:$F$451,Dati!$A$2:$A$451,$H107,Dati!$H$2:$H$451,$AB107)+SUMIFS(Dati!$M$2:$M$451,Dati!$H$2:$H$451,$H107,Dati!$A$2:$A$451,$AB107),"-")</f>
        <v/>
      </c>
      <c r="BY107" s="22">
        <f>IF(AND($H107&lt;&gt;"",$AC107&lt;&gt;"",$H107&lt;&gt;$AC107,IFERROR(VLOOKUP($H107,areaCercaPuntiClassificaSquadra,3,FALSE),-1)=IFERROR(VLOOKUP($AC107,areaCercaPuntiClassificaSquadra,3,FALSE),-2)),SUMIFS(Dati!$F$2:$F$451,Dati!$A$2:$A$451,$H107,Dati!$H$2:$H$451,$AC107)+SUMIFS(Dati!$M$2:$M$451,Dati!$H$2:$H$451,$H107,Dati!$A$2:$A$451,$AC107),"-")</f>
        <v/>
      </c>
      <c r="BZ107" s="22">
        <f>IF(AND($H107&lt;&gt;"",$AD107&lt;&gt;"",$H107&lt;&gt;$AD107,IFERROR(VLOOKUP($H107,areaCercaPuntiClassificaSquadra,3,FALSE),-1)=IFERROR(VLOOKUP($AD107,areaCercaPuntiClassificaSquadra,3,FALSE),-2)),SUMIFS(Dati!$F$2:$F$451,Dati!$A$2:$A$451,$H107,Dati!$H$2:$H$451,$AD107)+SUMIFS(Dati!$M$2:$M$451,Dati!$H$2:$H$451,$H107,Dati!$A$2:$A$451,$AD107),"-")</f>
        <v/>
      </c>
      <c r="CA107" s="22">
        <f>IF(AND($H107&lt;&gt;"",$AE107&lt;&gt;"",$H107&lt;&gt;$AE107,IFERROR(VLOOKUP($H107,areaCercaPuntiClassificaSquadra,3,FALSE),-1)=IFERROR(VLOOKUP($AE107,areaCercaPuntiClassificaSquadra,3,FALSE),-2)),SUMIFS(Dati!$F$2:$F$451,Dati!$A$2:$A$451,$H107,Dati!$H$2:$H$451,$AE107)+SUMIFS(Dati!$M$2:$M$451,Dati!$H$2:$H$451,$H107,Dati!$A$2:$A$451,$AE107),"-")</f>
        <v/>
      </c>
      <c r="CB107" s="22">
        <f>IF(AND($H107&lt;&gt;"",$AF107&lt;&gt;"",$H107&lt;&gt;$AF107,IFERROR(VLOOKUP($H107,areaCercaPuntiClassificaSquadra,3,FALSE),-1)=IFERROR(VLOOKUP($AF107,areaCercaPuntiClassificaSquadra,3,FALSE),-2)),SUMIFS(Dati!$F$2:$F$451,Dati!$A$2:$A$451,$H107,Dati!$H$2:$H$451,$AF107)+SUMIFS(Dati!$M$2:$M$451,Dati!$H$2:$H$451,$H107,Dati!$A$2:$A$451,$AF107),"-")</f>
        <v/>
      </c>
      <c r="CC107" s="22">
        <f>IF(AND($H107&lt;&gt;"",$AG107&lt;&gt;"",$H107&lt;&gt;$AG107,IFERROR(VLOOKUP($H107,areaCercaPuntiClassificaSquadra,3,FALSE),-1)=IFERROR(VLOOKUP($AG107,areaCercaPuntiClassificaSquadra,3,FALSE),-2)),SUMIFS(Dati!$F$2:$F$451,Dati!$A$2:$A$451,$H107,Dati!$H$2:$H$451,$AG107)+SUMIFS(Dati!$M$2:$M$451,Dati!$H$2:$H$451,$H107,Dati!$A$2:$A$451,$AG107),"-")</f>
        <v/>
      </c>
      <c r="CD107" s="22">
        <f>IF(AND($H107&lt;&gt;"",$AH107&lt;&gt;"",$H107&lt;&gt;$AH107,IFERROR(VLOOKUP($H107,areaCercaPuntiClassificaSquadra,3,FALSE),-1)=IFERROR(VLOOKUP($AH107,areaCercaPuntiClassificaSquadra,3,FALSE),-2)),SUMIFS(Dati!$F$2:$F$451,Dati!$A$2:$A$451,$H107,Dati!$H$2:$H$451,$AH107)+SUMIFS(Dati!$M$2:$M$451,Dati!$H$2:$H$451,$H107,Dati!$A$2:$A$451,$AH107),"-")</f>
        <v/>
      </c>
      <c r="CF107" s="22">
        <f>IF($C107="","",SUM(AK107:AT107))</f>
        <v/>
      </c>
    </row>
    <row r="108">
      <c r="B108" s="12" t="inlineStr">
        <is>
          <t>J05</t>
        </is>
      </c>
      <c r="C108" s="13" t="n"/>
      <c r="D108" s="14" t="n"/>
      <c r="E108" s="39" t="inlineStr">
        <is>
          <t>J</t>
        </is>
      </c>
      <c r="G108" s="40">
        <f>IF($C108="","",$E108&amp;(COUNTIFS(I$14:I$113,"&gt;"&amp;I108,E$14:E$113,"="&amp;E108,C$14:C$113,"&lt;&gt;")+COUNTIFS(I$14:I$113,"="&amp;I108,H$14:H$113,"&lt;="&amp;H108,E$14:E$113,"="&amp;E108,C$14:C$113,"&lt;&gt;")))</f>
        <v/>
      </c>
      <c r="H108" s="17">
        <f>IF($C108="","",IFERROR(LEFT($C108,FIND("-",$C108)-1),$C108))</f>
        <v/>
      </c>
      <c r="I108" s="12">
        <f>TEXT(1000000000+J108,"|0000000000|")&amp;TEXT(SUM(AK108:AT108),"0000000000|")&amp;IF(SUM(BU108:CD108)=0,"0000000000|",TEXT(ROUND(SUM(BI108:BR108)/SUM(BU108:CD108),4)*100000,"0000000000|"))&amp;IF(P108=0,"0000000000|",TEXT(ROUND(O108/P108,4)*100000,"0000000000|"))</f>
        <v/>
      </c>
      <c r="J108" s="40">
        <f>L108*constPuntiVittoria+M108*constPuntiSconfitta+N108*constPuntiForfait+IF(D108="",0,D108)</f>
        <v/>
      </c>
      <c r="K108" s="12">
        <f>SUM(L108:N108)</f>
        <v/>
      </c>
      <c r="L108" s="12">
        <f>IF($H108="",0,SUMIF(Dati!$A$2:$A$451,$H108,Dati!$B$2:$B$451)+SUMIF(Dati!$H$2:$H$451,$H108,Dati!$I$2:$I$451))</f>
        <v/>
      </c>
      <c r="M108" s="12">
        <f>IF($H108="",0,SUMIF(Dati!$A$2:$A$451,$H108,Dati!$D$2:$D$451)+SUMIF(Dati!$H$2:$H$451,$H108,Dati!$K$2:$K$451))</f>
        <v/>
      </c>
      <c r="N108" s="12">
        <f>IF($H108="",0,SUMIF(Dati!$A$2:$A$451,$H108,Dati!$C$2:$C$451)+SUMIF(Dati!$H$2:$H$451,$H108,Dati!$J$2:$J$451))</f>
        <v/>
      </c>
      <c r="O108" s="12">
        <f>IF($H108="",0,SUMIF(Dati!$A$2:$A$451,$H108,Dati!$E$2:$E$451)+SUMIF(Dati!$H$2:$H$451,$H108,Dati!$L$2:$L$451))</f>
        <v/>
      </c>
      <c r="P108" s="12">
        <f>IF($H108="",0,SUMIF(Dati!$A$2:$A$451,$H108,Dati!$F$2:$F$451)+SUMIF(Dati!$H$2:$H$451,$H108,Dati!$M$2:$M$451))</f>
        <v/>
      </c>
      <c r="Q108" s="12">
        <f>IF($H108="",0,SUMIF(Dati!$A$2:$A$451,$H108,Dati!$G$2:$G$451)+SUMIF(Dati!$H$2:$H$451,$H108,Dati!$N$2:$N$451))</f>
        <v/>
      </c>
      <c r="R108" s="12">
        <f>IF(K108=0,0,ROUND(O108/K108,2))</f>
        <v/>
      </c>
      <c r="S108" s="12">
        <f>IF(K108=0,0,ROUND(P108/K108,2))</f>
        <v/>
      </c>
      <c r="T108" s="12">
        <f>IF(K108=0,0,ROUND(Q108/K108,2))</f>
        <v/>
      </c>
      <c r="U108" s="12">
        <f>IF(COUNTIFS($E$14:$E$113,$E108,$J$14:$J$113,$J108,$C$14:$C$113,"&lt;&gt;")&lt;=1,"-",SUM(AK108:AT108)&amp;"-"&amp;SUM(AW108:BF108))</f>
        <v/>
      </c>
      <c r="V108" s="18">
        <f>IF(COUNTIFS($E$14:$E$113,$E108,$J$14:$J$113,$J108,$C$14:$C$113,"&lt;&gt;",$CF$14:$CF$113,$CF108)&lt;=1,"-",IF(SUM(BU108:CD108)=0,0,ROUND(SUM(BI108:BR108)/SUM(BU108:CD108),3)))</f>
        <v/>
      </c>
      <c r="W108" s="18">
        <f>IF(COUNTIFS($E$14:$E$113,$E108,$J$14:$J$113,$J108,$C$14:$C$113,"&lt;&gt;",$CF$14:$CF$113,$CF108,$V$14:$V$113,$V108)&lt;=1,"-",IF(P108=0,0,ROUND(O108/P108,3)))</f>
        <v/>
      </c>
      <c r="X108" s="19">
        <f>IF($C108="","",$E108&amp;"#"&amp;COUNTIFS($E$14:$E108,$E108,$C$14:$C108,"&lt;&gt;"))</f>
        <v/>
      </c>
      <c r="Y108" s="20">
        <f>IFERROR(INDEX($H$14:$H$113,MATCH($E108&amp;"#1",$X$14:$X$113,0)),"")</f>
        <v/>
      </c>
      <c r="Z108" s="20">
        <f>IFERROR(INDEX($H$14:$H$113,MATCH($E108&amp;"#2",$X$14:$X$113,0)),"")</f>
        <v/>
      </c>
      <c r="AA108" s="20">
        <f>IFERROR(INDEX($H$14:$H$113,MATCH($E108&amp;"#3",$X$14:$X$113,0)),"")</f>
        <v/>
      </c>
      <c r="AB108" s="20">
        <f>IFERROR(INDEX($H$14:$H$113,MATCH($E108&amp;"#4",$X$14:$X$113,0)),"")</f>
        <v/>
      </c>
      <c r="AC108" s="20">
        <f>IFERROR(INDEX($H$14:$H$113,MATCH($E108&amp;"#5",$X$14:$X$113,0)),"")</f>
        <v/>
      </c>
      <c r="AD108" s="20">
        <f>IFERROR(INDEX($H$14:$H$113,MATCH($E108&amp;"#6",$X$14:$X$113,0)),"")</f>
        <v/>
      </c>
      <c r="AE108" s="20">
        <f>IFERROR(INDEX($H$14:$H$113,MATCH($E108&amp;"#7",$X$14:$X$113,0)),"")</f>
        <v/>
      </c>
      <c r="AF108" s="20">
        <f>IFERROR(INDEX($H$14:$H$113,MATCH($E108&amp;"#8",$X$14:$X$113,0)),"")</f>
        <v/>
      </c>
      <c r="AG108" s="20">
        <f>IFERROR(INDEX($H$14:$H$113,MATCH($E108&amp;"#9",$X$14:$X$113,0)),"")</f>
        <v/>
      </c>
      <c r="AH108" s="20">
        <f>IFERROR(INDEX($H$14:$H$113,MATCH($E108&amp;"#10",$X$14:$X$113,0)),"")</f>
        <v/>
      </c>
      <c r="AJ108" s="21">
        <f>$C108</f>
        <v/>
      </c>
      <c r="AK108" s="22">
        <f>IF(AND($H108&lt;&gt;"",$Y108&lt;&gt;"",$H108&lt;&gt;$Y108,IFERROR(VLOOKUP($H108,areaCercaPuntiClassificaSquadra,3,FALSE),-1)=IFERROR(VLOOKUP($Y108,areaCercaPuntiClassificaSquadra,3,FALSE),-2)),SUMIFS(Dati!$B$2:$B$451,Dati!$A$2:$A$451,$H108,Dati!$H$2:$H$451,$Y108)+SUMIFS(Dati!$I$2:$I$451,Dati!$H$2:$H$451,$H108,Dati!$A$2:$A$451,$Y108),"-")</f>
        <v/>
      </c>
      <c r="AL108" s="22">
        <f>IF(AND($H108&lt;&gt;"",$Z108&lt;&gt;"",$H108&lt;&gt;$Z108,IFERROR(VLOOKUP($H108,areaCercaPuntiClassificaSquadra,3,FALSE),-1)=IFERROR(VLOOKUP($Z108,areaCercaPuntiClassificaSquadra,3,FALSE),-2)),SUMIFS(Dati!$B$2:$B$451,Dati!$A$2:$A$451,$H108,Dati!$H$2:$H$451,$Z108)+SUMIFS(Dati!$I$2:$I$451,Dati!$H$2:$H$451,$H108,Dati!$A$2:$A$451,$Z108),"-")</f>
        <v/>
      </c>
      <c r="AM108" s="22">
        <f>IF(AND($H108&lt;&gt;"",$AA108&lt;&gt;"",$H108&lt;&gt;$AA108,IFERROR(VLOOKUP($H108,areaCercaPuntiClassificaSquadra,3,FALSE),-1)=IFERROR(VLOOKUP($AA108,areaCercaPuntiClassificaSquadra,3,FALSE),-2)),SUMIFS(Dati!$B$2:$B$451,Dati!$A$2:$A$451,$H108,Dati!$H$2:$H$451,$AA108)+SUMIFS(Dati!$I$2:$I$451,Dati!$H$2:$H$451,$H108,Dati!$A$2:$A$451,$AA108),"-")</f>
        <v/>
      </c>
      <c r="AN108" s="22">
        <f>IF(AND($H108&lt;&gt;"",$AB108&lt;&gt;"",$H108&lt;&gt;$AB108,IFERROR(VLOOKUP($H108,areaCercaPuntiClassificaSquadra,3,FALSE),-1)=IFERROR(VLOOKUP($AB108,areaCercaPuntiClassificaSquadra,3,FALSE),-2)),SUMIFS(Dati!$B$2:$B$451,Dati!$A$2:$A$451,$H108,Dati!$H$2:$H$451,$AB108)+SUMIFS(Dati!$I$2:$I$451,Dati!$H$2:$H$451,$H108,Dati!$A$2:$A$451,$AB108),"-")</f>
        <v/>
      </c>
      <c r="AO108" s="22">
        <f>IF(AND($H108&lt;&gt;"",$AC108&lt;&gt;"",$H108&lt;&gt;$AC108,IFERROR(VLOOKUP($H108,areaCercaPuntiClassificaSquadra,3,FALSE),-1)=IFERROR(VLOOKUP($AC108,areaCercaPuntiClassificaSquadra,3,FALSE),-2)),SUMIFS(Dati!$B$2:$B$451,Dati!$A$2:$A$451,$H108,Dati!$H$2:$H$451,$AC108)+SUMIFS(Dati!$I$2:$I$451,Dati!$H$2:$H$451,$H108,Dati!$A$2:$A$451,$AC108),"-")</f>
        <v/>
      </c>
      <c r="AP108" s="22">
        <f>IF(AND($H108&lt;&gt;"",$AD108&lt;&gt;"",$H108&lt;&gt;$AD108,IFERROR(VLOOKUP($H108,areaCercaPuntiClassificaSquadra,3,FALSE),-1)=IFERROR(VLOOKUP($AD108,areaCercaPuntiClassificaSquadra,3,FALSE),-2)),SUMIFS(Dati!$B$2:$B$451,Dati!$A$2:$A$451,$H108,Dati!$H$2:$H$451,$AD108)+SUMIFS(Dati!$I$2:$I$451,Dati!$H$2:$H$451,$H108,Dati!$A$2:$A$451,$AD108),"-")</f>
        <v/>
      </c>
      <c r="AQ108" s="22">
        <f>IF(AND($H108&lt;&gt;"",$AE108&lt;&gt;"",$H108&lt;&gt;$AE108,IFERROR(VLOOKUP($H108,areaCercaPuntiClassificaSquadra,3,FALSE),-1)=IFERROR(VLOOKUP($AE108,areaCercaPuntiClassificaSquadra,3,FALSE),-2)),SUMIFS(Dati!$B$2:$B$451,Dati!$A$2:$A$451,$H108,Dati!$H$2:$H$451,$AE108)+SUMIFS(Dati!$I$2:$I$451,Dati!$H$2:$H$451,$H108,Dati!$A$2:$A$451,$AE108),"-")</f>
        <v/>
      </c>
      <c r="AR108" s="22">
        <f>IF(AND($H108&lt;&gt;"",$AF108&lt;&gt;"",$H108&lt;&gt;$AF108,IFERROR(VLOOKUP($H108,areaCercaPuntiClassificaSquadra,3,FALSE),-1)=IFERROR(VLOOKUP($AF108,areaCercaPuntiClassificaSquadra,3,FALSE),-2)),SUMIFS(Dati!$B$2:$B$451,Dati!$A$2:$A$451,$H108,Dati!$H$2:$H$451,$AF108)+SUMIFS(Dati!$I$2:$I$451,Dati!$H$2:$H$451,$H108,Dati!$A$2:$A$451,$AF108),"-")</f>
        <v/>
      </c>
      <c r="AS108" s="22">
        <f>IF(AND($H108&lt;&gt;"",$AG108&lt;&gt;"",$H108&lt;&gt;$AG108,IFERROR(VLOOKUP($H108,areaCercaPuntiClassificaSquadra,3,FALSE),-1)=IFERROR(VLOOKUP($AG108,areaCercaPuntiClassificaSquadra,3,FALSE),-2)),SUMIFS(Dati!$B$2:$B$451,Dati!$A$2:$A$451,$H108,Dati!$H$2:$H$451,$AG108)+SUMIFS(Dati!$I$2:$I$451,Dati!$H$2:$H$451,$H108,Dati!$A$2:$A$451,$AG108),"-")</f>
        <v/>
      </c>
      <c r="AT108" s="22">
        <f>IF(AND($H108&lt;&gt;"",$AH108&lt;&gt;"",$H108&lt;&gt;$AH108,IFERROR(VLOOKUP($H108,areaCercaPuntiClassificaSquadra,3,FALSE),-1)=IFERROR(VLOOKUP($AH108,areaCercaPuntiClassificaSquadra,3,FALSE),-2)),SUMIFS(Dati!$B$2:$B$451,Dati!$A$2:$A$451,$H108,Dati!$H$2:$H$451,$AH108)+SUMIFS(Dati!$I$2:$I$451,Dati!$H$2:$H$451,$H108,Dati!$A$2:$A$451,$AH108),"-")</f>
        <v/>
      </c>
      <c r="AV108" s="21">
        <f>$C108</f>
        <v/>
      </c>
      <c r="AW108" s="22">
        <f>IF(AND($H108&lt;&gt;"",$Y108&lt;&gt;"",$H108&lt;&gt;$Y108,IFERROR(VLOOKUP($H108,areaCercaPuntiClassificaSquadra,3,FALSE),-1)=IFERROR(VLOOKUP($Y108,areaCercaPuntiClassificaSquadra,3,FALSE),-2)),SUMIFS(Dati!$D$2:$D$451,Dati!$A$2:$A$451,$H108,Dati!$H$2:$H$451,$Y108)+SUMIFS(Dati!$K$2:$K$451,Dati!$H$2:$H$451,$H108,Dati!$A$2:$A$451,$Y108)+SUMIFS(Dati!$C$2:$C$451,Dati!$A$2:$A$451,$H108,Dati!$H$2:$H$451,$Y108)+SUMIFS(Dati!$J$2:$J$451,Dati!$H$2:$H$451,$H108,Dati!$A$2:$A$451,$Y108),"-")</f>
        <v/>
      </c>
      <c r="AX108" s="22">
        <f>IF(AND($H108&lt;&gt;"",$Z108&lt;&gt;"",$H108&lt;&gt;$Z108,IFERROR(VLOOKUP($H108,areaCercaPuntiClassificaSquadra,3,FALSE),-1)=IFERROR(VLOOKUP($Z108,areaCercaPuntiClassificaSquadra,3,FALSE),-2)),SUMIFS(Dati!$D$2:$D$451,Dati!$A$2:$A$451,$H108,Dati!$H$2:$H$451,$Z108)+SUMIFS(Dati!$K$2:$K$451,Dati!$H$2:$H$451,$H108,Dati!$A$2:$A$451,$Z108)+SUMIFS(Dati!$C$2:$C$451,Dati!$A$2:$A$451,$H108,Dati!$H$2:$H$451,$Z108)+SUMIFS(Dati!$J$2:$J$451,Dati!$H$2:$H$451,$H108,Dati!$A$2:$A$451,$Z108),"-")</f>
        <v/>
      </c>
      <c r="AY108" s="22">
        <f>IF(AND($H108&lt;&gt;"",$AA108&lt;&gt;"",$H108&lt;&gt;$AA108,IFERROR(VLOOKUP($H108,areaCercaPuntiClassificaSquadra,3,FALSE),-1)=IFERROR(VLOOKUP($AA108,areaCercaPuntiClassificaSquadra,3,FALSE),-2)),SUMIFS(Dati!$D$2:$D$451,Dati!$A$2:$A$451,$H108,Dati!$H$2:$H$451,$AA108)+SUMIFS(Dati!$K$2:$K$451,Dati!$H$2:$H$451,$H108,Dati!$A$2:$A$451,$AA108)+SUMIFS(Dati!$C$2:$C$451,Dati!$A$2:$A$451,$H108,Dati!$H$2:$H$451,$AA108)+SUMIFS(Dati!$J$2:$J$451,Dati!$H$2:$H$451,$H108,Dati!$A$2:$A$451,$AA108),"-")</f>
        <v/>
      </c>
      <c r="AZ108" s="22">
        <f>IF(AND($H108&lt;&gt;"",$AB108&lt;&gt;"",$H108&lt;&gt;$AB108,IFERROR(VLOOKUP($H108,areaCercaPuntiClassificaSquadra,3,FALSE),-1)=IFERROR(VLOOKUP($AB108,areaCercaPuntiClassificaSquadra,3,FALSE),-2)),SUMIFS(Dati!$D$2:$D$451,Dati!$A$2:$A$451,$H108,Dati!$H$2:$H$451,$AB108)+SUMIFS(Dati!$K$2:$K$451,Dati!$H$2:$H$451,$H108,Dati!$A$2:$A$451,$AB108)+SUMIFS(Dati!$C$2:$C$451,Dati!$A$2:$A$451,$H108,Dati!$H$2:$H$451,$AB108)+SUMIFS(Dati!$J$2:$J$451,Dati!$H$2:$H$451,$H108,Dati!$A$2:$A$451,$AB108),"-")</f>
        <v/>
      </c>
      <c r="BA108" s="22">
        <f>IF(AND($H108&lt;&gt;"",$AC108&lt;&gt;"",$H108&lt;&gt;$AC108,IFERROR(VLOOKUP($H108,areaCercaPuntiClassificaSquadra,3,FALSE),-1)=IFERROR(VLOOKUP($AC108,areaCercaPuntiClassificaSquadra,3,FALSE),-2)),SUMIFS(Dati!$D$2:$D$451,Dati!$A$2:$A$451,$H108,Dati!$H$2:$H$451,$AC108)+SUMIFS(Dati!$K$2:$K$451,Dati!$H$2:$H$451,$H108,Dati!$A$2:$A$451,$AC108)+SUMIFS(Dati!$C$2:$C$451,Dati!$A$2:$A$451,$H108,Dati!$H$2:$H$451,$AC108)+SUMIFS(Dati!$J$2:$J$451,Dati!$H$2:$H$451,$H108,Dati!$A$2:$A$451,$AC108),"-")</f>
        <v/>
      </c>
      <c r="BB108" s="22">
        <f>IF(AND($H108&lt;&gt;"",$AD108&lt;&gt;"",$H108&lt;&gt;$AD108,IFERROR(VLOOKUP($H108,areaCercaPuntiClassificaSquadra,3,FALSE),-1)=IFERROR(VLOOKUP($AD108,areaCercaPuntiClassificaSquadra,3,FALSE),-2)),SUMIFS(Dati!$D$2:$D$451,Dati!$A$2:$A$451,$H108,Dati!$H$2:$H$451,$AD108)+SUMIFS(Dati!$K$2:$K$451,Dati!$H$2:$H$451,$H108,Dati!$A$2:$A$451,$AD108)+SUMIFS(Dati!$C$2:$C$451,Dati!$A$2:$A$451,$H108,Dati!$H$2:$H$451,$AD108)+SUMIFS(Dati!$J$2:$J$451,Dati!$H$2:$H$451,$H108,Dati!$A$2:$A$451,$AD108),"-")</f>
        <v/>
      </c>
      <c r="BC108" s="22">
        <f>IF(AND($H108&lt;&gt;"",$AE108&lt;&gt;"",$H108&lt;&gt;$AE108,IFERROR(VLOOKUP($H108,areaCercaPuntiClassificaSquadra,3,FALSE),-1)=IFERROR(VLOOKUP($AE108,areaCercaPuntiClassificaSquadra,3,FALSE),-2)),SUMIFS(Dati!$D$2:$D$451,Dati!$A$2:$A$451,$H108,Dati!$H$2:$H$451,$AE108)+SUMIFS(Dati!$K$2:$K$451,Dati!$H$2:$H$451,$H108,Dati!$A$2:$A$451,$AE108)+SUMIFS(Dati!$C$2:$C$451,Dati!$A$2:$A$451,$H108,Dati!$H$2:$H$451,$AE108)+SUMIFS(Dati!$J$2:$J$451,Dati!$H$2:$H$451,$H108,Dati!$A$2:$A$451,$AE108),"-")</f>
        <v/>
      </c>
      <c r="BD108" s="22">
        <f>IF(AND($H108&lt;&gt;"",$AF108&lt;&gt;"",$H108&lt;&gt;$AF108,IFERROR(VLOOKUP($H108,areaCercaPuntiClassificaSquadra,3,FALSE),-1)=IFERROR(VLOOKUP($AF108,areaCercaPuntiClassificaSquadra,3,FALSE),-2)),SUMIFS(Dati!$D$2:$D$451,Dati!$A$2:$A$451,$H108,Dati!$H$2:$H$451,$AF108)+SUMIFS(Dati!$K$2:$K$451,Dati!$H$2:$H$451,$H108,Dati!$A$2:$A$451,$AF108)+SUMIFS(Dati!$C$2:$C$451,Dati!$A$2:$A$451,$H108,Dati!$H$2:$H$451,$AF108)+SUMIFS(Dati!$J$2:$J$451,Dati!$H$2:$H$451,$H108,Dati!$A$2:$A$451,$AF108),"-")</f>
        <v/>
      </c>
      <c r="BE108" s="22">
        <f>IF(AND($H108&lt;&gt;"",$AG108&lt;&gt;"",$H108&lt;&gt;$AG108,IFERROR(VLOOKUP($H108,areaCercaPuntiClassificaSquadra,3,FALSE),-1)=IFERROR(VLOOKUP($AG108,areaCercaPuntiClassificaSquadra,3,FALSE),-2)),SUMIFS(Dati!$D$2:$D$451,Dati!$A$2:$A$451,$H108,Dati!$H$2:$H$451,$AG108)+SUMIFS(Dati!$K$2:$K$451,Dati!$H$2:$H$451,$H108,Dati!$A$2:$A$451,$AG108)+SUMIFS(Dati!$C$2:$C$451,Dati!$A$2:$A$451,$H108,Dati!$H$2:$H$451,$AG108)+SUMIFS(Dati!$J$2:$J$451,Dati!$H$2:$H$451,$H108,Dati!$A$2:$A$451,$AG108),"-")</f>
        <v/>
      </c>
      <c r="BF108" s="22">
        <f>IF(AND($H108&lt;&gt;"",$AH108&lt;&gt;"",$H108&lt;&gt;$AH108,IFERROR(VLOOKUP($H108,areaCercaPuntiClassificaSquadra,3,FALSE),-1)=IFERROR(VLOOKUP($AH108,areaCercaPuntiClassificaSquadra,3,FALSE),-2)),SUMIFS(Dati!$D$2:$D$451,Dati!$A$2:$A$451,$H108,Dati!$H$2:$H$451,$AH108)+SUMIFS(Dati!$K$2:$K$451,Dati!$H$2:$H$451,$H108,Dati!$A$2:$A$451,$AH108)+SUMIFS(Dati!$C$2:$C$451,Dati!$A$2:$A$451,$H108,Dati!$H$2:$H$451,$AH108)+SUMIFS(Dati!$J$2:$J$451,Dati!$H$2:$H$451,$H108,Dati!$A$2:$A$451,$AH108),"-")</f>
        <v/>
      </c>
      <c r="BH108" s="21">
        <f>$C108</f>
        <v/>
      </c>
      <c r="BI108" s="22">
        <f>IF(AND($H108&lt;&gt;"",$Y108&lt;&gt;"",$H108&lt;&gt;$Y108,IFERROR(VLOOKUP($H108,areaCercaPuntiClassificaSquadra,3,FALSE),-1)=IFERROR(VLOOKUP($Y108,areaCercaPuntiClassificaSquadra,3,FALSE),-2)),SUMIFS(Dati!$E$2:$E$451,Dati!$A$2:$A$451,$H108,Dati!$H$2:$H$451,$Y108)+SUMIFS(Dati!$L$2:$L$451,Dati!$H$2:$H$451,$H108,Dati!$A$2:$A$451,$Y108),"-")</f>
        <v/>
      </c>
      <c r="BJ108" s="22">
        <f>IF(AND($H108&lt;&gt;"",$Z108&lt;&gt;"",$H108&lt;&gt;$Z108,IFERROR(VLOOKUP($H108,areaCercaPuntiClassificaSquadra,3,FALSE),-1)=IFERROR(VLOOKUP($Z108,areaCercaPuntiClassificaSquadra,3,FALSE),-2)),SUMIFS(Dati!$E$2:$E$451,Dati!$A$2:$A$451,$H108,Dati!$H$2:$H$451,$Z108)+SUMIFS(Dati!$L$2:$L$451,Dati!$H$2:$H$451,$H108,Dati!$A$2:$A$451,$Z108),"-")</f>
        <v/>
      </c>
      <c r="BK108" s="22">
        <f>IF(AND($H108&lt;&gt;"",$AA108&lt;&gt;"",$H108&lt;&gt;$AA108,IFERROR(VLOOKUP($H108,areaCercaPuntiClassificaSquadra,3,FALSE),-1)=IFERROR(VLOOKUP($AA108,areaCercaPuntiClassificaSquadra,3,FALSE),-2)),SUMIFS(Dati!$E$2:$E$451,Dati!$A$2:$A$451,$H108,Dati!$H$2:$H$451,$AA108)+SUMIFS(Dati!$L$2:$L$451,Dati!$H$2:$H$451,$H108,Dati!$A$2:$A$451,$AA108),"-")</f>
        <v/>
      </c>
      <c r="BL108" s="22">
        <f>IF(AND($H108&lt;&gt;"",$AB108&lt;&gt;"",$H108&lt;&gt;$AB108,IFERROR(VLOOKUP($H108,areaCercaPuntiClassificaSquadra,3,FALSE),-1)=IFERROR(VLOOKUP($AB108,areaCercaPuntiClassificaSquadra,3,FALSE),-2)),SUMIFS(Dati!$E$2:$E$451,Dati!$A$2:$A$451,$H108,Dati!$H$2:$H$451,$AB108)+SUMIFS(Dati!$L$2:$L$451,Dati!$H$2:$H$451,$H108,Dati!$A$2:$A$451,$AB108),"-")</f>
        <v/>
      </c>
      <c r="BM108" s="22">
        <f>IF(AND($H108&lt;&gt;"",$AC108&lt;&gt;"",$H108&lt;&gt;$AC108,IFERROR(VLOOKUP($H108,areaCercaPuntiClassificaSquadra,3,FALSE),-1)=IFERROR(VLOOKUP($AC108,areaCercaPuntiClassificaSquadra,3,FALSE),-2)),SUMIFS(Dati!$E$2:$E$451,Dati!$A$2:$A$451,$H108,Dati!$H$2:$H$451,$AC108)+SUMIFS(Dati!$L$2:$L$451,Dati!$H$2:$H$451,$H108,Dati!$A$2:$A$451,$AC108),"-")</f>
        <v/>
      </c>
      <c r="BN108" s="22">
        <f>IF(AND($H108&lt;&gt;"",$AD108&lt;&gt;"",$H108&lt;&gt;$AD108,IFERROR(VLOOKUP($H108,areaCercaPuntiClassificaSquadra,3,FALSE),-1)=IFERROR(VLOOKUP($AD108,areaCercaPuntiClassificaSquadra,3,FALSE),-2)),SUMIFS(Dati!$E$2:$E$451,Dati!$A$2:$A$451,$H108,Dati!$H$2:$H$451,$AD108)+SUMIFS(Dati!$L$2:$L$451,Dati!$H$2:$H$451,$H108,Dati!$A$2:$A$451,$AD108),"-")</f>
        <v/>
      </c>
      <c r="BO108" s="22">
        <f>IF(AND($H108&lt;&gt;"",$AE108&lt;&gt;"",$H108&lt;&gt;$AE108,IFERROR(VLOOKUP($H108,areaCercaPuntiClassificaSquadra,3,FALSE),-1)=IFERROR(VLOOKUP($AE108,areaCercaPuntiClassificaSquadra,3,FALSE),-2)),SUMIFS(Dati!$E$2:$E$451,Dati!$A$2:$A$451,$H108,Dati!$H$2:$H$451,$AE108)+SUMIFS(Dati!$L$2:$L$451,Dati!$H$2:$H$451,$H108,Dati!$A$2:$A$451,$AE108),"-")</f>
        <v/>
      </c>
      <c r="BP108" s="22">
        <f>IF(AND($H108&lt;&gt;"",$AF108&lt;&gt;"",$H108&lt;&gt;$AF108,IFERROR(VLOOKUP($H108,areaCercaPuntiClassificaSquadra,3,FALSE),-1)=IFERROR(VLOOKUP($AF108,areaCercaPuntiClassificaSquadra,3,FALSE),-2)),SUMIFS(Dati!$E$2:$E$451,Dati!$A$2:$A$451,$H108,Dati!$H$2:$H$451,$AF108)+SUMIFS(Dati!$L$2:$L$451,Dati!$H$2:$H$451,$H108,Dati!$A$2:$A$451,$AF108),"-")</f>
        <v/>
      </c>
      <c r="BQ108" s="22">
        <f>IF(AND($H108&lt;&gt;"",$AG108&lt;&gt;"",$H108&lt;&gt;$AG108,IFERROR(VLOOKUP($H108,areaCercaPuntiClassificaSquadra,3,FALSE),-1)=IFERROR(VLOOKUP($AG108,areaCercaPuntiClassificaSquadra,3,FALSE),-2)),SUMIFS(Dati!$E$2:$E$451,Dati!$A$2:$A$451,$H108,Dati!$H$2:$H$451,$AG108)+SUMIFS(Dati!$L$2:$L$451,Dati!$H$2:$H$451,$H108,Dati!$A$2:$A$451,$AG108),"-")</f>
        <v/>
      </c>
      <c r="BR108" s="22">
        <f>IF(AND($H108&lt;&gt;"",$AH108&lt;&gt;"",$H108&lt;&gt;$AH108,IFERROR(VLOOKUP($H108,areaCercaPuntiClassificaSquadra,3,FALSE),-1)=IFERROR(VLOOKUP($AH108,areaCercaPuntiClassificaSquadra,3,FALSE),-2)),SUMIFS(Dati!$E$2:$E$451,Dati!$A$2:$A$451,$H108,Dati!$H$2:$H$451,$AH108)+SUMIFS(Dati!$L$2:$L$451,Dati!$H$2:$H$451,$H108,Dati!$A$2:$A$451,$AH108),"-")</f>
        <v/>
      </c>
      <c r="BT108" s="21">
        <f>$C108</f>
        <v/>
      </c>
      <c r="BU108" s="22">
        <f>IF(AND($H108&lt;&gt;"",$Y108&lt;&gt;"",$H108&lt;&gt;$Y108,IFERROR(VLOOKUP($H108,areaCercaPuntiClassificaSquadra,3,FALSE),-1)=IFERROR(VLOOKUP($Y108,areaCercaPuntiClassificaSquadra,3,FALSE),-2)),SUMIFS(Dati!$F$2:$F$451,Dati!$A$2:$A$451,$H108,Dati!$H$2:$H$451,$Y108)+SUMIFS(Dati!$M$2:$M$451,Dati!$H$2:$H$451,$H108,Dati!$A$2:$A$451,$Y108),"-")</f>
        <v/>
      </c>
      <c r="BV108" s="22">
        <f>IF(AND($H108&lt;&gt;"",$Z108&lt;&gt;"",$H108&lt;&gt;$Z108,IFERROR(VLOOKUP($H108,areaCercaPuntiClassificaSquadra,3,FALSE),-1)=IFERROR(VLOOKUP($Z108,areaCercaPuntiClassificaSquadra,3,FALSE),-2)),SUMIFS(Dati!$F$2:$F$451,Dati!$A$2:$A$451,$H108,Dati!$H$2:$H$451,$Z108)+SUMIFS(Dati!$M$2:$M$451,Dati!$H$2:$H$451,$H108,Dati!$A$2:$A$451,$Z108),"-")</f>
        <v/>
      </c>
      <c r="BW108" s="22">
        <f>IF(AND($H108&lt;&gt;"",$AA108&lt;&gt;"",$H108&lt;&gt;$AA108,IFERROR(VLOOKUP($H108,areaCercaPuntiClassificaSquadra,3,FALSE),-1)=IFERROR(VLOOKUP($AA108,areaCercaPuntiClassificaSquadra,3,FALSE),-2)),SUMIFS(Dati!$F$2:$F$451,Dati!$A$2:$A$451,$H108,Dati!$H$2:$H$451,$AA108)+SUMIFS(Dati!$M$2:$M$451,Dati!$H$2:$H$451,$H108,Dati!$A$2:$A$451,$AA108),"-")</f>
        <v/>
      </c>
      <c r="BX108" s="22">
        <f>IF(AND($H108&lt;&gt;"",$AB108&lt;&gt;"",$H108&lt;&gt;$AB108,IFERROR(VLOOKUP($H108,areaCercaPuntiClassificaSquadra,3,FALSE),-1)=IFERROR(VLOOKUP($AB108,areaCercaPuntiClassificaSquadra,3,FALSE),-2)),SUMIFS(Dati!$F$2:$F$451,Dati!$A$2:$A$451,$H108,Dati!$H$2:$H$451,$AB108)+SUMIFS(Dati!$M$2:$M$451,Dati!$H$2:$H$451,$H108,Dati!$A$2:$A$451,$AB108),"-")</f>
        <v/>
      </c>
      <c r="BY108" s="22">
        <f>IF(AND($H108&lt;&gt;"",$AC108&lt;&gt;"",$H108&lt;&gt;$AC108,IFERROR(VLOOKUP($H108,areaCercaPuntiClassificaSquadra,3,FALSE),-1)=IFERROR(VLOOKUP($AC108,areaCercaPuntiClassificaSquadra,3,FALSE),-2)),SUMIFS(Dati!$F$2:$F$451,Dati!$A$2:$A$451,$H108,Dati!$H$2:$H$451,$AC108)+SUMIFS(Dati!$M$2:$M$451,Dati!$H$2:$H$451,$H108,Dati!$A$2:$A$451,$AC108),"-")</f>
        <v/>
      </c>
      <c r="BZ108" s="22">
        <f>IF(AND($H108&lt;&gt;"",$AD108&lt;&gt;"",$H108&lt;&gt;$AD108,IFERROR(VLOOKUP($H108,areaCercaPuntiClassificaSquadra,3,FALSE),-1)=IFERROR(VLOOKUP($AD108,areaCercaPuntiClassificaSquadra,3,FALSE),-2)),SUMIFS(Dati!$F$2:$F$451,Dati!$A$2:$A$451,$H108,Dati!$H$2:$H$451,$AD108)+SUMIFS(Dati!$M$2:$M$451,Dati!$H$2:$H$451,$H108,Dati!$A$2:$A$451,$AD108),"-")</f>
        <v/>
      </c>
      <c r="CA108" s="22">
        <f>IF(AND($H108&lt;&gt;"",$AE108&lt;&gt;"",$H108&lt;&gt;$AE108,IFERROR(VLOOKUP($H108,areaCercaPuntiClassificaSquadra,3,FALSE),-1)=IFERROR(VLOOKUP($AE108,areaCercaPuntiClassificaSquadra,3,FALSE),-2)),SUMIFS(Dati!$F$2:$F$451,Dati!$A$2:$A$451,$H108,Dati!$H$2:$H$451,$AE108)+SUMIFS(Dati!$M$2:$M$451,Dati!$H$2:$H$451,$H108,Dati!$A$2:$A$451,$AE108),"-")</f>
        <v/>
      </c>
      <c r="CB108" s="22">
        <f>IF(AND($H108&lt;&gt;"",$AF108&lt;&gt;"",$H108&lt;&gt;$AF108,IFERROR(VLOOKUP($H108,areaCercaPuntiClassificaSquadra,3,FALSE),-1)=IFERROR(VLOOKUP($AF108,areaCercaPuntiClassificaSquadra,3,FALSE),-2)),SUMIFS(Dati!$F$2:$F$451,Dati!$A$2:$A$451,$H108,Dati!$H$2:$H$451,$AF108)+SUMIFS(Dati!$M$2:$M$451,Dati!$H$2:$H$451,$H108,Dati!$A$2:$A$451,$AF108),"-")</f>
        <v/>
      </c>
      <c r="CC108" s="22">
        <f>IF(AND($H108&lt;&gt;"",$AG108&lt;&gt;"",$H108&lt;&gt;$AG108,IFERROR(VLOOKUP($H108,areaCercaPuntiClassificaSquadra,3,FALSE),-1)=IFERROR(VLOOKUP($AG108,areaCercaPuntiClassificaSquadra,3,FALSE),-2)),SUMIFS(Dati!$F$2:$F$451,Dati!$A$2:$A$451,$H108,Dati!$H$2:$H$451,$AG108)+SUMIFS(Dati!$M$2:$M$451,Dati!$H$2:$H$451,$H108,Dati!$A$2:$A$451,$AG108),"-")</f>
        <v/>
      </c>
      <c r="CD108" s="22">
        <f>IF(AND($H108&lt;&gt;"",$AH108&lt;&gt;"",$H108&lt;&gt;$AH108,IFERROR(VLOOKUP($H108,areaCercaPuntiClassificaSquadra,3,FALSE),-1)=IFERROR(VLOOKUP($AH108,areaCercaPuntiClassificaSquadra,3,FALSE),-2)),SUMIFS(Dati!$F$2:$F$451,Dati!$A$2:$A$451,$H108,Dati!$H$2:$H$451,$AH108)+SUMIFS(Dati!$M$2:$M$451,Dati!$H$2:$H$451,$H108,Dati!$A$2:$A$451,$AH108),"-")</f>
        <v/>
      </c>
      <c r="CF108" s="22">
        <f>IF($C108="","",SUM(AK108:AT108))</f>
        <v/>
      </c>
    </row>
    <row r="109">
      <c r="B109" s="12" t="inlineStr">
        <is>
          <t>J06</t>
        </is>
      </c>
      <c r="C109" s="13" t="n"/>
      <c r="D109" s="14" t="n"/>
      <c r="E109" s="39" t="inlineStr">
        <is>
          <t>J</t>
        </is>
      </c>
      <c r="G109" s="40">
        <f>IF($C109="","",$E109&amp;(COUNTIFS(I$14:I$113,"&gt;"&amp;I109,E$14:E$113,"="&amp;E109,C$14:C$113,"&lt;&gt;")+COUNTIFS(I$14:I$113,"="&amp;I109,H$14:H$113,"&lt;="&amp;H109,E$14:E$113,"="&amp;E109,C$14:C$113,"&lt;&gt;")))</f>
        <v/>
      </c>
      <c r="H109" s="17">
        <f>IF($C109="","",IFERROR(LEFT($C109,FIND("-",$C109)-1),$C109))</f>
        <v/>
      </c>
      <c r="I109" s="12">
        <f>TEXT(1000000000+J109,"|0000000000|")&amp;TEXT(SUM(AK109:AT109),"0000000000|")&amp;IF(SUM(BU109:CD109)=0,"0000000000|",TEXT(ROUND(SUM(BI109:BR109)/SUM(BU109:CD109),4)*100000,"0000000000|"))&amp;IF(P109=0,"0000000000|",TEXT(ROUND(O109/P109,4)*100000,"0000000000|"))</f>
        <v/>
      </c>
      <c r="J109" s="40">
        <f>L109*constPuntiVittoria+M109*constPuntiSconfitta+N109*constPuntiForfait+IF(D109="",0,D109)</f>
        <v/>
      </c>
      <c r="K109" s="12">
        <f>SUM(L109:N109)</f>
        <v/>
      </c>
      <c r="L109" s="12">
        <f>IF($H109="",0,SUMIF(Dati!$A$2:$A$451,$H109,Dati!$B$2:$B$451)+SUMIF(Dati!$H$2:$H$451,$H109,Dati!$I$2:$I$451))</f>
        <v/>
      </c>
      <c r="M109" s="12">
        <f>IF($H109="",0,SUMIF(Dati!$A$2:$A$451,$H109,Dati!$D$2:$D$451)+SUMIF(Dati!$H$2:$H$451,$H109,Dati!$K$2:$K$451))</f>
        <v/>
      </c>
      <c r="N109" s="12">
        <f>IF($H109="",0,SUMIF(Dati!$A$2:$A$451,$H109,Dati!$C$2:$C$451)+SUMIF(Dati!$H$2:$H$451,$H109,Dati!$J$2:$J$451))</f>
        <v/>
      </c>
      <c r="O109" s="12">
        <f>IF($H109="",0,SUMIF(Dati!$A$2:$A$451,$H109,Dati!$E$2:$E$451)+SUMIF(Dati!$H$2:$H$451,$H109,Dati!$L$2:$L$451))</f>
        <v/>
      </c>
      <c r="P109" s="12">
        <f>IF($H109="",0,SUMIF(Dati!$A$2:$A$451,$H109,Dati!$F$2:$F$451)+SUMIF(Dati!$H$2:$H$451,$H109,Dati!$M$2:$M$451))</f>
        <v/>
      </c>
      <c r="Q109" s="12">
        <f>IF($H109="",0,SUMIF(Dati!$A$2:$A$451,$H109,Dati!$G$2:$G$451)+SUMIF(Dati!$H$2:$H$451,$H109,Dati!$N$2:$N$451))</f>
        <v/>
      </c>
      <c r="R109" s="12">
        <f>IF(K109=0,0,ROUND(O109/K109,2))</f>
        <v/>
      </c>
      <c r="S109" s="12">
        <f>IF(K109=0,0,ROUND(P109/K109,2))</f>
        <v/>
      </c>
      <c r="T109" s="12">
        <f>IF(K109=0,0,ROUND(Q109/K109,2))</f>
        <v/>
      </c>
      <c r="U109" s="12">
        <f>IF(COUNTIFS($E$14:$E$113,$E109,$J$14:$J$113,$J109,$C$14:$C$113,"&lt;&gt;")&lt;=1,"-",SUM(AK109:AT109)&amp;"-"&amp;SUM(AW109:BF109))</f>
        <v/>
      </c>
      <c r="V109" s="18">
        <f>IF(COUNTIFS($E$14:$E$113,$E109,$J$14:$J$113,$J109,$C$14:$C$113,"&lt;&gt;",$CF$14:$CF$113,$CF109)&lt;=1,"-",IF(SUM(BU109:CD109)=0,0,ROUND(SUM(BI109:BR109)/SUM(BU109:CD109),3)))</f>
        <v/>
      </c>
      <c r="W109" s="18">
        <f>IF(COUNTIFS($E$14:$E$113,$E109,$J$14:$J$113,$J109,$C$14:$C$113,"&lt;&gt;",$CF$14:$CF$113,$CF109,$V$14:$V$113,$V109)&lt;=1,"-",IF(P109=0,0,ROUND(O109/P109,3)))</f>
        <v/>
      </c>
      <c r="X109" s="19">
        <f>IF($C109="","",$E109&amp;"#"&amp;COUNTIFS($E$14:$E109,$E109,$C$14:$C109,"&lt;&gt;"))</f>
        <v/>
      </c>
      <c r="Y109" s="20">
        <f>IFERROR(INDEX($H$14:$H$113,MATCH($E109&amp;"#1",$X$14:$X$113,0)),"")</f>
        <v/>
      </c>
      <c r="Z109" s="20">
        <f>IFERROR(INDEX($H$14:$H$113,MATCH($E109&amp;"#2",$X$14:$X$113,0)),"")</f>
        <v/>
      </c>
      <c r="AA109" s="20">
        <f>IFERROR(INDEX($H$14:$H$113,MATCH($E109&amp;"#3",$X$14:$X$113,0)),"")</f>
        <v/>
      </c>
      <c r="AB109" s="20">
        <f>IFERROR(INDEX($H$14:$H$113,MATCH($E109&amp;"#4",$X$14:$X$113,0)),"")</f>
        <v/>
      </c>
      <c r="AC109" s="20">
        <f>IFERROR(INDEX($H$14:$H$113,MATCH($E109&amp;"#5",$X$14:$X$113,0)),"")</f>
        <v/>
      </c>
      <c r="AD109" s="20">
        <f>IFERROR(INDEX($H$14:$H$113,MATCH($E109&amp;"#6",$X$14:$X$113,0)),"")</f>
        <v/>
      </c>
      <c r="AE109" s="20">
        <f>IFERROR(INDEX($H$14:$H$113,MATCH($E109&amp;"#7",$X$14:$X$113,0)),"")</f>
        <v/>
      </c>
      <c r="AF109" s="20">
        <f>IFERROR(INDEX($H$14:$H$113,MATCH($E109&amp;"#8",$X$14:$X$113,0)),"")</f>
        <v/>
      </c>
      <c r="AG109" s="20">
        <f>IFERROR(INDEX($H$14:$H$113,MATCH($E109&amp;"#9",$X$14:$X$113,0)),"")</f>
        <v/>
      </c>
      <c r="AH109" s="20">
        <f>IFERROR(INDEX($H$14:$H$113,MATCH($E109&amp;"#10",$X$14:$X$113,0)),"")</f>
        <v/>
      </c>
      <c r="AJ109" s="21">
        <f>$C109</f>
        <v/>
      </c>
      <c r="AK109" s="22">
        <f>IF(AND($H109&lt;&gt;"",$Y109&lt;&gt;"",$H109&lt;&gt;$Y109,IFERROR(VLOOKUP($H109,areaCercaPuntiClassificaSquadra,3,FALSE),-1)=IFERROR(VLOOKUP($Y109,areaCercaPuntiClassificaSquadra,3,FALSE),-2)),SUMIFS(Dati!$B$2:$B$451,Dati!$A$2:$A$451,$H109,Dati!$H$2:$H$451,$Y109)+SUMIFS(Dati!$I$2:$I$451,Dati!$H$2:$H$451,$H109,Dati!$A$2:$A$451,$Y109),"-")</f>
        <v/>
      </c>
      <c r="AL109" s="22">
        <f>IF(AND($H109&lt;&gt;"",$Z109&lt;&gt;"",$H109&lt;&gt;$Z109,IFERROR(VLOOKUP($H109,areaCercaPuntiClassificaSquadra,3,FALSE),-1)=IFERROR(VLOOKUP($Z109,areaCercaPuntiClassificaSquadra,3,FALSE),-2)),SUMIFS(Dati!$B$2:$B$451,Dati!$A$2:$A$451,$H109,Dati!$H$2:$H$451,$Z109)+SUMIFS(Dati!$I$2:$I$451,Dati!$H$2:$H$451,$H109,Dati!$A$2:$A$451,$Z109),"-")</f>
        <v/>
      </c>
      <c r="AM109" s="22">
        <f>IF(AND($H109&lt;&gt;"",$AA109&lt;&gt;"",$H109&lt;&gt;$AA109,IFERROR(VLOOKUP($H109,areaCercaPuntiClassificaSquadra,3,FALSE),-1)=IFERROR(VLOOKUP($AA109,areaCercaPuntiClassificaSquadra,3,FALSE),-2)),SUMIFS(Dati!$B$2:$B$451,Dati!$A$2:$A$451,$H109,Dati!$H$2:$H$451,$AA109)+SUMIFS(Dati!$I$2:$I$451,Dati!$H$2:$H$451,$H109,Dati!$A$2:$A$451,$AA109),"-")</f>
        <v/>
      </c>
      <c r="AN109" s="22">
        <f>IF(AND($H109&lt;&gt;"",$AB109&lt;&gt;"",$H109&lt;&gt;$AB109,IFERROR(VLOOKUP($H109,areaCercaPuntiClassificaSquadra,3,FALSE),-1)=IFERROR(VLOOKUP($AB109,areaCercaPuntiClassificaSquadra,3,FALSE),-2)),SUMIFS(Dati!$B$2:$B$451,Dati!$A$2:$A$451,$H109,Dati!$H$2:$H$451,$AB109)+SUMIFS(Dati!$I$2:$I$451,Dati!$H$2:$H$451,$H109,Dati!$A$2:$A$451,$AB109),"-")</f>
        <v/>
      </c>
      <c r="AO109" s="22">
        <f>IF(AND($H109&lt;&gt;"",$AC109&lt;&gt;"",$H109&lt;&gt;$AC109,IFERROR(VLOOKUP($H109,areaCercaPuntiClassificaSquadra,3,FALSE),-1)=IFERROR(VLOOKUP($AC109,areaCercaPuntiClassificaSquadra,3,FALSE),-2)),SUMIFS(Dati!$B$2:$B$451,Dati!$A$2:$A$451,$H109,Dati!$H$2:$H$451,$AC109)+SUMIFS(Dati!$I$2:$I$451,Dati!$H$2:$H$451,$H109,Dati!$A$2:$A$451,$AC109),"-")</f>
        <v/>
      </c>
      <c r="AP109" s="22">
        <f>IF(AND($H109&lt;&gt;"",$AD109&lt;&gt;"",$H109&lt;&gt;$AD109,IFERROR(VLOOKUP($H109,areaCercaPuntiClassificaSquadra,3,FALSE),-1)=IFERROR(VLOOKUP($AD109,areaCercaPuntiClassificaSquadra,3,FALSE),-2)),SUMIFS(Dati!$B$2:$B$451,Dati!$A$2:$A$451,$H109,Dati!$H$2:$H$451,$AD109)+SUMIFS(Dati!$I$2:$I$451,Dati!$H$2:$H$451,$H109,Dati!$A$2:$A$451,$AD109),"-")</f>
        <v/>
      </c>
      <c r="AQ109" s="22">
        <f>IF(AND($H109&lt;&gt;"",$AE109&lt;&gt;"",$H109&lt;&gt;$AE109,IFERROR(VLOOKUP($H109,areaCercaPuntiClassificaSquadra,3,FALSE),-1)=IFERROR(VLOOKUP($AE109,areaCercaPuntiClassificaSquadra,3,FALSE),-2)),SUMIFS(Dati!$B$2:$B$451,Dati!$A$2:$A$451,$H109,Dati!$H$2:$H$451,$AE109)+SUMIFS(Dati!$I$2:$I$451,Dati!$H$2:$H$451,$H109,Dati!$A$2:$A$451,$AE109),"-")</f>
        <v/>
      </c>
      <c r="AR109" s="22">
        <f>IF(AND($H109&lt;&gt;"",$AF109&lt;&gt;"",$H109&lt;&gt;$AF109,IFERROR(VLOOKUP($H109,areaCercaPuntiClassificaSquadra,3,FALSE),-1)=IFERROR(VLOOKUP($AF109,areaCercaPuntiClassificaSquadra,3,FALSE),-2)),SUMIFS(Dati!$B$2:$B$451,Dati!$A$2:$A$451,$H109,Dati!$H$2:$H$451,$AF109)+SUMIFS(Dati!$I$2:$I$451,Dati!$H$2:$H$451,$H109,Dati!$A$2:$A$451,$AF109),"-")</f>
        <v/>
      </c>
      <c r="AS109" s="22">
        <f>IF(AND($H109&lt;&gt;"",$AG109&lt;&gt;"",$H109&lt;&gt;$AG109,IFERROR(VLOOKUP($H109,areaCercaPuntiClassificaSquadra,3,FALSE),-1)=IFERROR(VLOOKUP($AG109,areaCercaPuntiClassificaSquadra,3,FALSE),-2)),SUMIFS(Dati!$B$2:$B$451,Dati!$A$2:$A$451,$H109,Dati!$H$2:$H$451,$AG109)+SUMIFS(Dati!$I$2:$I$451,Dati!$H$2:$H$451,$H109,Dati!$A$2:$A$451,$AG109),"-")</f>
        <v/>
      </c>
      <c r="AT109" s="22">
        <f>IF(AND($H109&lt;&gt;"",$AH109&lt;&gt;"",$H109&lt;&gt;$AH109,IFERROR(VLOOKUP($H109,areaCercaPuntiClassificaSquadra,3,FALSE),-1)=IFERROR(VLOOKUP($AH109,areaCercaPuntiClassificaSquadra,3,FALSE),-2)),SUMIFS(Dati!$B$2:$B$451,Dati!$A$2:$A$451,$H109,Dati!$H$2:$H$451,$AH109)+SUMIFS(Dati!$I$2:$I$451,Dati!$H$2:$H$451,$H109,Dati!$A$2:$A$451,$AH109),"-")</f>
        <v/>
      </c>
      <c r="AV109" s="21">
        <f>$C109</f>
        <v/>
      </c>
      <c r="AW109" s="22">
        <f>IF(AND($H109&lt;&gt;"",$Y109&lt;&gt;"",$H109&lt;&gt;$Y109,IFERROR(VLOOKUP($H109,areaCercaPuntiClassificaSquadra,3,FALSE),-1)=IFERROR(VLOOKUP($Y109,areaCercaPuntiClassificaSquadra,3,FALSE),-2)),SUMIFS(Dati!$D$2:$D$451,Dati!$A$2:$A$451,$H109,Dati!$H$2:$H$451,$Y109)+SUMIFS(Dati!$K$2:$K$451,Dati!$H$2:$H$451,$H109,Dati!$A$2:$A$451,$Y109)+SUMIFS(Dati!$C$2:$C$451,Dati!$A$2:$A$451,$H109,Dati!$H$2:$H$451,$Y109)+SUMIFS(Dati!$J$2:$J$451,Dati!$H$2:$H$451,$H109,Dati!$A$2:$A$451,$Y109),"-")</f>
        <v/>
      </c>
      <c r="AX109" s="22">
        <f>IF(AND($H109&lt;&gt;"",$Z109&lt;&gt;"",$H109&lt;&gt;$Z109,IFERROR(VLOOKUP($H109,areaCercaPuntiClassificaSquadra,3,FALSE),-1)=IFERROR(VLOOKUP($Z109,areaCercaPuntiClassificaSquadra,3,FALSE),-2)),SUMIFS(Dati!$D$2:$D$451,Dati!$A$2:$A$451,$H109,Dati!$H$2:$H$451,$Z109)+SUMIFS(Dati!$K$2:$K$451,Dati!$H$2:$H$451,$H109,Dati!$A$2:$A$451,$Z109)+SUMIFS(Dati!$C$2:$C$451,Dati!$A$2:$A$451,$H109,Dati!$H$2:$H$451,$Z109)+SUMIFS(Dati!$J$2:$J$451,Dati!$H$2:$H$451,$H109,Dati!$A$2:$A$451,$Z109),"-")</f>
        <v/>
      </c>
      <c r="AY109" s="22">
        <f>IF(AND($H109&lt;&gt;"",$AA109&lt;&gt;"",$H109&lt;&gt;$AA109,IFERROR(VLOOKUP($H109,areaCercaPuntiClassificaSquadra,3,FALSE),-1)=IFERROR(VLOOKUP($AA109,areaCercaPuntiClassificaSquadra,3,FALSE),-2)),SUMIFS(Dati!$D$2:$D$451,Dati!$A$2:$A$451,$H109,Dati!$H$2:$H$451,$AA109)+SUMIFS(Dati!$K$2:$K$451,Dati!$H$2:$H$451,$H109,Dati!$A$2:$A$451,$AA109)+SUMIFS(Dati!$C$2:$C$451,Dati!$A$2:$A$451,$H109,Dati!$H$2:$H$451,$AA109)+SUMIFS(Dati!$J$2:$J$451,Dati!$H$2:$H$451,$H109,Dati!$A$2:$A$451,$AA109),"-")</f>
        <v/>
      </c>
      <c r="AZ109" s="22">
        <f>IF(AND($H109&lt;&gt;"",$AB109&lt;&gt;"",$H109&lt;&gt;$AB109,IFERROR(VLOOKUP($H109,areaCercaPuntiClassificaSquadra,3,FALSE),-1)=IFERROR(VLOOKUP($AB109,areaCercaPuntiClassificaSquadra,3,FALSE),-2)),SUMIFS(Dati!$D$2:$D$451,Dati!$A$2:$A$451,$H109,Dati!$H$2:$H$451,$AB109)+SUMIFS(Dati!$K$2:$K$451,Dati!$H$2:$H$451,$H109,Dati!$A$2:$A$451,$AB109)+SUMIFS(Dati!$C$2:$C$451,Dati!$A$2:$A$451,$H109,Dati!$H$2:$H$451,$AB109)+SUMIFS(Dati!$J$2:$J$451,Dati!$H$2:$H$451,$H109,Dati!$A$2:$A$451,$AB109),"-")</f>
        <v/>
      </c>
      <c r="BA109" s="22">
        <f>IF(AND($H109&lt;&gt;"",$AC109&lt;&gt;"",$H109&lt;&gt;$AC109,IFERROR(VLOOKUP($H109,areaCercaPuntiClassificaSquadra,3,FALSE),-1)=IFERROR(VLOOKUP($AC109,areaCercaPuntiClassificaSquadra,3,FALSE),-2)),SUMIFS(Dati!$D$2:$D$451,Dati!$A$2:$A$451,$H109,Dati!$H$2:$H$451,$AC109)+SUMIFS(Dati!$K$2:$K$451,Dati!$H$2:$H$451,$H109,Dati!$A$2:$A$451,$AC109)+SUMIFS(Dati!$C$2:$C$451,Dati!$A$2:$A$451,$H109,Dati!$H$2:$H$451,$AC109)+SUMIFS(Dati!$J$2:$J$451,Dati!$H$2:$H$451,$H109,Dati!$A$2:$A$451,$AC109),"-")</f>
        <v/>
      </c>
      <c r="BB109" s="22">
        <f>IF(AND($H109&lt;&gt;"",$AD109&lt;&gt;"",$H109&lt;&gt;$AD109,IFERROR(VLOOKUP($H109,areaCercaPuntiClassificaSquadra,3,FALSE),-1)=IFERROR(VLOOKUP($AD109,areaCercaPuntiClassificaSquadra,3,FALSE),-2)),SUMIFS(Dati!$D$2:$D$451,Dati!$A$2:$A$451,$H109,Dati!$H$2:$H$451,$AD109)+SUMIFS(Dati!$K$2:$K$451,Dati!$H$2:$H$451,$H109,Dati!$A$2:$A$451,$AD109)+SUMIFS(Dati!$C$2:$C$451,Dati!$A$2:$A$451,$H109,Dati!$H$2:$H$451,$AD109)+SUMIFS(Dati!$J$2:$J$451,Dati!$H$2:$H$451,$H109,Dati!$A$2:$A$451,$AD109),"-")</f>
        <v/>
      </c>
      <c r="BC109" s="22">
        <f>IF(AND($H109&lt;&gt;"",$AE109&lt;&gt;"",$H109&lt;&gt;$AE109,IFERROR(VLOOKUP($H109,areaCercaPuntiClassificaSquadra,3,FALSE),-1)=IFERROR(VLOOKUP($AE109,areaCercaPuntiClassificaSquadra,3,FALSE),-2)),SUMIFS(Dati!$D$2:$D$451,Dati!$A$2:$A$451,$H109,Dati!$H$2:$H$451,$AE109)+SUMIFS(Dati!$K$2:$K$451,Dati!$H$2:$H$451,$H109,Dati!$A$2:$A$451,$AE109)+SUMIFS(Dati!$C$2:$C$451,Dati!$A$2:$A$451,$H109,Dati!$H$2:$H$451,$AE109)+SUMIFS(Dati!$J$2:$J$451,Dati!$H$2:$H$451,$H109,Dati!$A$2:$A$451,$AE109),"-")</f>
        <v/>
      </c>
      <c r="BD109" s="22">
        <f>IF(AND($H109&lt;&gt;"",$AF109&lt;&gt;"",$H109&lt;&gt;$AF109,IFERROR(VLOOKUP($H109,areaCercaPuntiClassificaSquadra,3,FALSE),-1)=IFERROR(VLOOKUP($AF109,areaCercaPuntiClassificaSquadra,3,FALSE),-2)),SUMIFS(Dati!$D$2:$D$451,Dati!$A$2:$A$451,$H109,Dati!$H$2:$H$451,$AF109)+SUMIFS(Dati!$K$2:$K$451,Dati!$H$2:$H$451,$H109,Dati!$A$2:$A$451,$AF109)+SUMIFS(Dati!$C$2:$C$451,Dati!$A$2:$A$451,$H109,Dati!$H$2:$H$451,$AF109)+SUMIFS(Dati!$J$2:$J$451,Dati!$H$2:$H$451,$H109,Dati!$A$2:$A$451,$AF109),"-")</f>
        <v/>
      </c>
      <c r="BE109" s="22">
        <f>IF(AND($H109&lt;&gt;"",$AG109&lt;&gt;"",$H109&lt;&gt;$AG109,IFERROR(VLOOKUP($H109,areaCercaPuntiClassificaSquadra,3,FALSE),-1)=IFERROR(VLOOKUP($AG109,areaCercaPuntiClassificaSquadra,3,FALSE),-2)),SUMIFS(Dati!$D$2:$D$451,Dati!$A$2:$A$451,$H109,Dati!$H$2:$H$451,$AG109)+SUMIFS(Dati!$K$2:$K$451,Dati!$H$2:$H$451,$H109,Dati!$A$2:$A$451,$AG109)+SUMIFS(Dati!$C$2:$C$451,Dati!$A$2:$A$451,$H109,Dati!$H$2:$H$451,$AG109)+SUMIFS(Dati!$J$2:$J$451,Dati!$H$2:$H$451,$H109,Dati!$A$2:$A$451,$AG109),"-")</f>
        <v/>
      </c>
      <c r="BF109" s="22">
        <f>IF(AND($H109&lt;&gt;"",$AH109&lt;&gt;"",$H109&lt;&gt;$AH109,IFERROR(VLOOKUP($H109,areaCercaPuntiClassificaSquadra,3,FALSE),-1)=IFERROR(VLOOKUP($AH109,areaCercaPuntiClassificaSquadra,3,FALSE),-2)),SUMIFS(Dati!$D$2:$D$451,Dati!$A$2:$A$451,$H109,Dati!$H$2:$H$451,$AH109)+SUMIFS(Dati!$K$2:$K$451,Dati!$H$2:$H$451,$H109,Dati!$A$2:$A$451,$AH109)+SUMIFS(Dati!$C$2:$C$451,Dati!$A$2:$A$451,$H109,Dati!$H$2:$H$451,$AH109)+SUMIFS(Dati!$J$2:$J$451,Dati!$H$2:$H$451,$H109,Dati!$A$2:$A$451,$AH109),"-")</f>
        <v/>
      </c>
      <c r="BH109" s="21">
        <f>$C109</f>
        <v/>
      </c>
      <c r="BI109" s="22">
        <f>IF(AND($H109&lt;&gt;"",$Y109&lt;&gt;"",$H109&lt;&gt;$Y109,IFERROR(VLOOKUP($H109,areaCercaPuntiClassificaSquadra,3,FALSE),-1)=IFERROR(VLOOKUP($Y109,areaCercaPuntiClassificaSquadra,3,FALSE),-2)),SUMIFS(Dati!$E$2:$E$451,Dati!$A$2:$A$451,$H109,Dati!$H$2:$H$451,$Y109)+SUMIFS(Dati!$L$2:$L$451,Dati!$H$2:$H$451,$H109,Dati!$A$2:$A$451,$Y109),"-")</f>
        <v/>
      </c>
      <c r="BJ109" s="22">
        <f>IF(AND($H109&lt;&gt;"",$Z109&lt;&gt;"",$H109&lt;&gt;$Z109,IFERROR(VLOOKUP($H109,areaCercaPuntiClassificaSquadra,3,FALSE),-1)=IFERROR(VLOOKUP($Z109,areaCercaPuntiClassificaSquadra,3,FALSE),-2)),SUMIFS(Dati!$E$2:$E$451,Dati!$A$2:$A$451,$H109,Dati!$H$2:$H$451,$Z109)+SUMIFS(Dati!$L$2:$L$451,Dati!$H$2:$H$451,$H109,Dati!$A$2:$A$451,$Z109),"-")</f>
        <v/>
      </c>
      <c r="BK109" s="22">
        <f>IF(AND($H109&lt;&gt;"",$AA109&lt;&gt;"",$H109&lt;&gt;$AA109,IFERROR(VLOOKUP($H109,areaCercaPuntiClassificaSquadra,3,FALSE),-1)=IFERROR(VLOOKUP($AA109,areaCercaPuntiClassificaSquadra,3,FALSE),-2)),SUMIFS(Dati!$E$2:$E$451,Dati!$A$2:$A$451,$H109,Dati!$H$2:$H$451,$AA109)+SUMIFS(Dati!$L$2:$L$451,Dati!$H$2:$H$451,$H109,Dati!$A$2:$A$451,$AA109),"-")</f>
        <v/>
      </c>
      <c r="BL109" s="22">
        <f>IF(AND($H109&lt;&gt;"",$AB109&lt;&gt;"",$H109&lt;&gt;$AB109,IFERROR(VLOOKUP($H109,areaCercaPuntiClassificaSquadra,3,FALSE),-1)=IFERROR(VLOOKUP($AB109,areaCercaPuntiClassificaSquadra,3,FALSE),-2)),SUMIFS(Dati!$E$2:$E$451,Dati!$A$2:$A$451,$H109,Dati!$H$2:$H$451,$AB109)+SUMIFS(Dati!$L$2:$L$451,Dati!$H$2:$H$451,$H109,Dati!$A$2:$A$451,$AB109),"-")</f>
        <v/>
      </c>
      <c r="BM109" s="22">
        <f>IF(AND($H109&lt;&gt;"",$AC109&lt;&gt;"",$H109&lt;&gt;$AC109,IFERROR(VLOOKUP($H109,areaCercaPuntiClassificaSquadra,3,FALSE),-1)=IFERROR(VLOOKUP($AC109,areaCercaPuntiClassificaSquadra,3,FALSE),-2)),SUMIFS(Dati!$E$2:$E$451,Dati!$A$2:$A$451,$H109,Dati!$H$2:$H$451,$AC109)+SUMIFS(Dati!$L$2:$L$451,Dati!$H$2:$H$451,$H109,Dati!$A$2:$A$451,$AC109),"-")</f>
        <v/>
      </c>
      <c r="BN109" s="22">
        <f>IF(AND($H109&lt;&gt;"",$AD109&lt;&gt;"",$H109&lt;&gt;$AD109,IFERROR(VLOOKUP($H109,areaCercaPuntiClassificaSquadra,3,FALSE),-1)=IFERROR(VLOOKUP($AD109,areaCercaPuntiClassificaSquadra,3,FALSE),-2)),SUMIFS(Dati!$E$2:$E$451,Dati!$A$2:$A$451,$H109,Dati!$H$2:$H$451,$AD109)+SUMIFS(Dati!$L$2:$L$451,Dati!$H$2:$H$451,$H109,Dati!$A$2:$A$451,$AD109),"-")</f>
        <v/>
      </c>
      <c r="BO109" s="22">
        <f>IF(AND($H109&lt;&gt;"",$AE109&lt;&gt;"",$H109&lt;&gt;$AE109,IFERROR(VLOOKUP($H109,areaCercaPuntiClassificaSquadra,3,FALSE),-1)=IFERROR(VLOOKUP($AE109,areaCercaPuntiClassificaSquadra,3,FALSE),-2)),SUMIFS(Dati!$E$2:$E$451,Dati!$A$2:$A$451,$H109,Dati!$H$2:$H$451,$AE109)+SUMIFS(Dati!$L$2:$L$451,Dati!$H$2:$H$451,$H109,Dati!$A$2:$A$451,$AE109),"-")</f>
        <v/>
      </c>
      <c r="BP109" s="22">
        <f>IF(AND($H109&lt;&gt;"",$AF109&lt;&gt;"",$H109&lt;&gt;$AF109,IFERROR(VLOOKUP($H109,areaCercaPuntiClassificaSquadra,3,FALSE),-1)=IFERROR(VLOOKUP($AF109,areaCercaPuntiClassificaSquadra,3,FALSE),-2)),SUMIFS(Dati!$E$2:$E$451,Dati!$A$2:$A$451,$H109,Dati!$H$2:$H$451,$AF109)+SUMIFS(Dati!$L$2:$L$451,Dati!$H$2:$H$451,$H109,Dati!$A$2:$A$451,$AF109),"-")</f>
        <v/>
      </c>
      <c r="BQ109" s="22">
        <f>IF(AND($H109&lt;&gt;"",$AG109&lt;&gt;"",$H109&lt;&gt;$AG109,IFERROR(VLOOKUP($H109,areaCercaPuntiClassificaSquadra,3,FALSE),-1)=IFERROR(VLOOKUP($AG109,areaCercaPuntiClassificaSquadra,3,FALSE),-2)),SUMIFS(Dati!$E$2:$E$451,Dati!$A$2:$A$451,$H109,Dati!$H$2:$H$451,$AG109)+SUMIFS(Dati!$L$2:$L$451,Dati!$H$2:$H$451,$H109,Dati!$A$2:$A$451,$AG109),"-")</f>
        <v/>
      </c>
      <c r="BR109" s="22">
        <f>IF(AND($H109&lt;&gt;"",$AH109&lt;&gt;"",$H109&lt;&gt;$AH109,IFERROR(VLOOKUP($H109,areaCercaPuntiClassificaSquadra,3,FALSE),-1)=IFERROR(VLOOKUP($AH109,areaCercaPuntiClassificaSquadra,3,FALSE),-2)),SUMIFS(Dati!$E$2:$E$451,Dati!$A$2:$A$451,$H109,Dati!$H$2:$H$451,$AH109)+SUMIFS(Dati!$L$2:$L$451,Dati!$H$2:$H$451,$H109,Dati!$A$2:$A$451,$AH109),"-")</f>
        <v/>
      </c>
      <c r="BT109" s="21">
        <f>$C109</f>
        <v/>
      </c>
      <c r="BU109" s="22">
        <f>IF(AND($H109&lt;&gt;"",$Y109&lt;&gt;"",$H109&lt;&gt;$Y109,IFERROR(VLOOKUP($H109,areaCercaPuntiClassificaSquadra,3,FALSE),-1)=IFERROR(VLOOKUP($Y109,areaCercaPuntiClassificaSquadra,3,FALSE),-2)),SUMIFS(Dati!$F$2:$F$451,Dati!$A$2:$A$451,$H109,Dati!$H$2:$H$451,$Y109)+SUMIFS(Dati!$M$2:$M$451,Dati!$H$2:$H$451,$H109,Dati!$A$2:$A$451,$Y109),"-")</f>
        <v/>
      </c>
      <c r="BV109" s="22">
        <f>IF(AND($H109&lt;&gt;"",$Z109&lt;&gt;"",$H109&lt;&gt;$Z109,IFERROR(VLOOKUP($H109,areaCercaPuntiClassificaSquadra,3,FALSE),-1)=IFERROR(VLOOKUP($Z109,areaCercaPuntiClassificaSquadra,3,FALSE),-2)),SUMIFS(Dati!$F$2:$F$451,Dati!$A$2:$A$451,$H109,Dati!$H$2:$H$451,$Z109)+SUMIFS(Dati!$M$2:$M$451,Dati!$H$2:$H$451,$H109,Dati!$A$2:$A$451,$Z109),"-")</f>
        <v/>
      </c>
      <c r="BW109" s="22">
        <f>IF(AND($H109&lt;&gt;"",$AA109&lt;&gt;"",$H109&lt;&gt;$AA109,IFERROR(VLOOKUP($H109,areaCercaPuntiClassificaSquadra,3,FALSE),-1)=IFERROR(VLOOKUP($AA109,areaCercaPuntiClassificaSquadra,3,FALSE),-2)),SUMIFS(Dati!$F$2:$F$451,Dati!$A$2:$A$451,$H109,Dati!$H$2:$H$451,$AA109)+SUMIFS(Dati!$M$2:$M$451,Dati!$H$2:$H$451,$H109,Dati!$A$2:$A$451,$AA109),"-")</f>
        <v/>
      </c>
      <c r="BX109" s="22">
        <f>IF(AND($H109&lt;&gt;"",$AB109&lt;&gt;"",$H109&lt;&gt;$AB109,IFERROR(VLOOKUP($H109,areaCercaPuntiClassificaSquadra,3,FALSE),-1)=IFERROR(VLOOKUP($AB109,areaCercaPuntiClassificaSquadra,3,FALSE),-2)),SUMIFS(Dati!$F$2:$F$451,Dati!$A$2:$A$451,$H109,Dati!$H$2:$H$451,$AB109)+SUMIFS(Dati!$M$2:$M$451,Dati!$H$2:$H$451,$H109,Dati!$A$2:$A$451,$AB109),"-")</f>
        <v/>
      </c>
      <c r="BY109" s="22">
        <f>IF(AND($H109&lt;&gt;"",$AC109&lt;&gt;"",$H109&lt;&gt;$AC109,IFERROR(VLOOKUP($H109,areaCercaPuntiClassificaSquadra,3,FALSE),-1)=IFERROR(VLOOKUP($AC109,areaCercaPuntiClassificaSquadra,3,FALSE),-2)),SUMIFS(Dati!$F$2:$F$451,Dati!$A$2:$A$451,$H109,Dati!$H$2:$H$451,$AC109)+SUMIFS(Dati!$M$2:$M$451,Dati!$H$2:$H$451,$H109,Dati!$A$2:$A$451,$AC109),"-")</f>
        <v/>
      </c>
      <c r="BZ109" s="22">
        <f>IF(AND($H109&lt;&gt;"",$AD109&lt;&gt;"",$H109&lt;&gt;$AD109,IFERROR(VLOOKUP($H109,areaCercaPuntiClassificaSquadra,3,FALSE),-1)=IFERROR(VLOOKUP($AD109,areaCercaPuntiClassificaSquadra,3,FALSE),-2)),SUMIFS(Dati!$F$2:$F$451,Dati!$A$2:$A$451,$H109,Dati!$H$2:$H$451,$AD109)+SUMIFS(Dati!$M$2:$M$451,Dati!$H$2:$H$451,$H109,Dati!$A$2:$A$451,$AD109),"-")</f>
        <v/>
      </c>
      <c r="CA109" s="22">
        <f>IF(AND($H109&lt;&gt;"",$AE109&lt;&gt;"",$H109&lt;&gt;$AE109,IFERROR(VLOOKUP($H109,areaCercaPuntiClassificaSquadra,3,FALSE),-1)=IFERROR(VLOOKUP($AE109,areaCercaPuntiClassificaSquadra,3,FALSE),-2)),SUMIFS(Dati!$F$2:$F$451,Dati!$A$2:$A$451,$H109,Dati!$H$2:$H$451,$AE109)+SUMIFS(Dati!$M$2:$M$451,Dati!$H$2:$H$451,$H109,Dati!$A$2:$A$451,$AE109),"-")</f>
        <v/>
      </c>
      <c r="CB109" s="22">
        <f>IF(AND($H109&lt;&gt;"",$AF109&lt;&gt;"",$H109&lt;&gt;$AF109,IFERROR(VLOOKUP($H109,areaCercaPuntiClassificaSquadra,3,FALSE),-1)=IFERROR(VLOOKUP($AF109,areaCercaPuntiClassificaSquadra,3,FALSE),-2)),SUMIFS(Dati!$F$2:$F$451,Dati!$A$2:$A$451,$H109,Dati!$H$2:$H$451,$AF109)+SUMIFS(Dati!$M$2:$M$451,Dati!$H$2:$H$451,$H109,Dati!$A$2:$A$451,$AF109),"-")</f>
        <v/>
      </c>
      <c r="CC109" s="22">
        <f>IF(AND($H109&lt;&gt;"",$AG109&lt;&gt;"",$H109&lt;&gt;$AG109,IFERROR(VLOOKUP($H109,areaCercaPuntiClassificaSquadra,3,FALSE),-1)=IFERROR(VLOOKUP($AG109,areaCercaPuntiClassificaSquadra,3,FALSE),-2)),SUMIFS(Dati!$F$2:$F$451,Dati!$A$2:$A$451,$H109,Dati!$H$2:$H$451,$AG109)+SUMIFS(Dati!$M$2:$M$451,Dati!$H$2:$H$451,$H109,Dati!$A$2:$A$451,$AG109),"-")</f>
        <v/>
      </c>
      <c r="CD109" s="22">
        <f>IF(AND($H109&lt;&gt;"",$AH109&lt;&gt;"",$H109&lt;&gt;$AH109,IFERROR(VLOOKUP($H109,areaCercaPuntiClassificaSquadra,3,FALSE),-1)=IFERROR(VLOOKUP($AH109,areaCercaPuntiClassificaSquadra,3,FALSE),-2)),SUMIFS(Dati!$F$2:$F$451,Dati!$A$2:$A$451,$H109,Dati!$H$2:$H$451,$AH109)+SUMIFS(Dati!$M$2:$M$451,Dati!$H$2:$H$451,$H109,Dati!$A$2:$A$451,$AH109),"-")</f>
        <v/>
      </c>
      <c r="CF109" s="22">
        <f>IF($C109="","",SUM(AK109:AT109))</f>
        <v/>
      </c>
    </row>
    <row r="110">
      <c r="B110" s="12" t="inlineStr">
        <is>
          <t>J07</t>
        </is>
      </c>
      <c r="C110" s="13" t="n"/>
      <c r="D110" s="14" t="n"/>
      <c r="E110" s="39" t="inlineStr">
        <is>
          <t>J</t>
        </is>
      </c>
      <c r="G110" s="40">
        <f>IF($C110="","",$E110&amp;(COUNTIFS(I$14:I$113,"&gt;"&amp;I110,E$14:E$113,"="&amp;E110,C$14:C$113,"&lt;&gt;")+COUNTIFS(I$14:I$113,"="&amp;I110,H$14:H$113,"&lt;="&amp;H110,E$14:E$113,"="&amp;E110,C$14:C$113,"&lt;&gt;")))</f>
        <v/>
      </c>
      <c r="H110" s="17">
        <f>IF($C110="","",IFERROR(LEFT($C110,FIND("-",$C110)-1),$C110))</f>
        <v/>
      </c>
      <c r="I110" s="12">
        <f>TEXT(1000000000+J110,"|0000000000|")&amp;TEXT(SUM(AK110:AT110),"0000000000|")&amp;IF(SUM(BU110:CD110)=0,"0000000000|",TEXT(ROUND(SUM(BI110:BR110)/SUM(BU110:CD110),4)*100000,"0000000000|"))&amp;IF(P110=0,"0000000000|",TEXT(ROUND(O110/P110,4)*100000,"0000000000|"))</f>
        <v/>
      </c>
      <c r="J110" s="40">
        <f>L110*constPuntiVittoria+M110*constPuntiSconfitta+N110*constPuntiForfait+IF(D110="",0,D110)</f>
        <v/>
      </c>
      <c r="K110" s="12">
        <f>SUM(L110:N110)</f>
        <v/>
      </c>
      <c r="L110" s="12">
        <f>IF($H110="",0,SUMIF(Dati!$A$2:$A$451,$H110,Dati!$B$2:$B$451)+SUMIF(Dati!$H$2:$H$451,$H110,Dati!$I$2:$I$451))</f>
        <v/>
      </c>
      <c r="M110" s="12">
        <f>IF($H110="",0,SUMIF(Dati!$A$2:$A$451,$H110,Dati!$D$2:$D$451)+SUMIF(Dati!$H$2:$H$451,$H110,Dati!$K$2:$K$451))</f>
        <v/>
      </c>
      <c r="N110" s="12">
        <f>IF($H110="",0,SUMIF(Dati!$A$2:$A$451,$H110,Dati!$C$2:$C$451)+SUMIF(Dati!$H$2:$H$451,$H110,Dati!$J$2:$J$451))</f>
        <v/>
      </c>
      <c r="O110" s="12">
        <f>IF($H110="",0,SUMIF(Dati!$A$2:$A$451,$H110,Dati!$E$2:$E$451)+SUMIF(Dati!$H$2:$H$451,$H110,Dati!$L$2:$L$451))</f>
        <v/>
      </c>
      <c r="P110" s="12">
        <f>IF($H110="",0,SUMIF(Dati!$A$2:$A$451,$H110,Dati!$F$2:$F$451)+SUMIF(Dati!$H$2:$H$451,$H110,Dati!$M$2:$M$451))</f>
        <v/>
      </c>
      <c r="Q110" s="12">
        <f>IF($H110="",0,SUMIF(Dati!$A$2:$A$451,$H110,Dati!$G$2:$G$451)+SUMIF(Dati!$H$2:$H$451,$H110,Dati!$N$2:$N$451))</f>
        <v/>
      </c>
      <c r="R110" s="12">
        <f>IF(K110=0,0,ROUND(O110/K110,2))</f>
        <v/>
      </c>
      <c r="S110" s="12">
        <f>IF(K110=0,0,ROUND(P110/K110,2))</f>
        <v/>
      </c>
      <c r="T110" s="12">
        <f>IF(K110=0,0,ROUND(Q110/K110,2))</f>
        <v/>
      </c>
      <c r="U110" s="12">
        <f>IF(COUNTIFS($E$14:$E$113,$E110,$J$14:$J$113,$J110,$C$14:$C$113,"&lt;&gt;")&lt;=1,"-",SUM(AK110:AT110)&amp;"-"&amp;SUM(AW110:BF110))</f>
        <v/>
      </c>
      <c r="V110" s="18">
        <f>IF(COUNTIFS($E$14:$E$113,$E110,$J$14:$J$113,$J110,$C$14:$C$113,"&lt;&gt;",$CF$14:$CF$113,$CF110)&lt;=1,"-",IF(SUM(BU110:CD110)=0,0,ROUND(SUM(BI110:BR110)/SUM(BU110:CD110),3)))</f>
        <v/>
      </c>
      <c r="W110" s="18">
        <f>IF(COUNTIFS($E$14:$E$113,$E110,$J$14:$J$113,$J110,$C$14:$C$113,"&lt;&gt;",$CF$14:$CF$113,$CF110,$V$14:$V$113,$V110)&lt;=1,"-",IF(P110=0,0,ROUND(O110/P110,3)))</f>
        <v/>
      </c>
      <c r="X110" s="19">
        <f>IF($C110="","",$E110&amp;"#"&amp;COUNTIFS($E$14:$E110,$E110,$C$14:$C110,"&lt;&gt;"))</f>
        <v/>
      </c>
      <c r="Y110" s="20">
        <f>IFERROR(INDEX($H$14:$H$113,MATCH($E110&amp;"#1",$X$14:$X$113,0)),"")</f>
        <v/>
      </c>
      <c r="Z110" s="20">
        <f>IFERROR(INDEX($H$14:$H$113,MATCH($E110&amp;"#2",$X$14:$X$113,0)),"")</f>
        <v/>
      </c>
      <c r="AA110" s="20">
        <f>IFERROR(INDEX($H$14:$H$113,MATCH($E110&amp;"#3",$X$14:$X$113,0)),"")</f>
        <v/>
      </c>
      <c r="AB110" s="20">
        <f>IFERROR(INDEX($H$14:$H$113,MATCH($E110&amp;"#4",$X$14:$X$113,0)),"")</f>
        <v/>
      </c>
      <c r="AC110" s="20">
        <f>IFERROR(INDEX($H$14:$H$113,MATCH($E110&amp;"#5",$X$14:$X$113,0)),"")</f>
        <v/>
      </c>
      <c r="AD110" s="20">
        <f>IFERROR(INDEX($H$14:$H$113,MATCH($E110&amp;"#6",$X$14:$X$113,0)),"")</f>
        <v/>
      </c>
      <c r="AE110" s="20">
        <f>IFERROR(INDEX($H$14:$H$113,MATCH($E110&amp;"#7",$X$14:$X$113,0)),"")</f>
        <v/>
      </c>
      <c r="AF110" s="20">
        <f>IFERROR(INDEX($H$14:$H$113,MATCH($E110&amp;"#8",$X$14:$X$113,0)),"")</f>
        <v/>
      </c>
      <c r="AG110" s="20">
        <f>IFERROR(INDEX($H$14:$H$113,MATCH($E110&amp;"#9",$X$14:$X$113,0)),"")</f>
        <v/>
      </c>
      <c r="AH110" s="20">
        <f>IFERROR(INDEX($H$14:$H$113,MATCH($E110&amp;"#10",$X$14:$X$113,0)),"")</f>
        <v/>
      </c>
      <c r="AJ110" s="21">
        <f>$C110</f>
        <v/>
      </c>
      <c r="AK110" s="22">
        <f>IF(AND($H110&lt;&gt;"",$Y110&lt;&gt;"",$H110&lt;&gt;$Y110,IFERROR(VLOOKUP($H110,areaCercaPuntiClassificaSquadra,3,FALSE),-1)=IFERROR(VLOOKUP($Y110,areaCercaPuntiClassificaSquadra,3,FALSE),-2)),SUMIFS(Dati!$B$2:$B$451,Dati!$A$2:$A$451,$H110,Dati!$H$2:$H$451,$Y110)+SUMIFS(Dati!$I$2:$I$451,Dati!$H$2:$H$451,$H110,Dati!$A$2:$A$451,$Y110),"-")</f>
        <v/>
      </c>
      <c r="AL110" s="22">
        <f>IF(AND($H110&lt;&gt;"",$Z110&lt;&gt;"",$H110&lt;&gt;$Z110,IFERROR(VLOOKUP($H110,areaCercaPuntiClassificaSquadra,3,FALSE),-1)=IFERROR(VLOOKUP($Z110,areaCercaPuntiClassificaSquadra,3,FALSE),-2)),SUMIFS(Dati!$B$2:$B$451,Dati!$A$2:$A$451,$H110,Dati!$H$2:$H$451,$Z110)+SUMIFS(Dati!$I$2:$I$451,Dati!$H$2:$H$451,$H110,Dati!$A$2:$A$451,$Z110),"-")</f>
        <v/>
      </c>
      <c r="AM110" s="22">
        <f>IF(AND($H110&lt;&gt;"",$AA110&lt;&gt;"",$H110&lt;&gt;$AA110,IFERROR(VLOOKUP($H110,areaCercaPuntiClassificaSquadra,3,FALSE),-1)=IFERROR(VLOOKUP($AA110,areaCercaPuntiClassificaSquadra,3,FALSE),-2)),SUMIFS(Dati!$B$2:$B$451,Dati!$A$2:$A$451,$H110,Dati!$H$2:$H$451,$AA110)+SUMIFS(Dati!$I$2:$I$451,Dati!$H$2:$H$451,$H110,Dati!$A$2:$A$451,$AA110),"-")</f>
        <v/>
      </c>
      <c r="AN110" s="22">
        <f>IF(AND($H110&lt;&gt;"",$AB110&lt;&gt;"",$H110&lt;&gt;$AB110,IFERROR(VLOOKUP($H110,areaCercaPuntiClassificaSquadra,3,FALSE),-1)=IFERROR(VLOOKUP($AB110,areaCercaPuntiClassificaSquadra,3,FALSE),-2)),SUMIFS(Dati!$B$2:$B$451,Dati!$A$2:$A$451,$H110,Dati!$H$2:$H$451,$AB110)+SUMIFS(Dati!$I$2:$I$451,Dati!$H$2:$H$451,$H110,Dati!$A$2:$A$451,$AB110),"-")</f>
        <v/>
      </c>
      <c r="AO110" s="22">
        <f>IF(AND($H110&lt;&gt;"",$AC110&lt;&gt;"",$H110&lt;&gt;$AC110,IFERROR(VLOOKUP($H110,areaCercaPuntiClassificaSquadra,3,FALSE),-1)=IFERROR(VLOOKUP($AC110,areaCercaPuntiClassificaSquadra,3,FALSE),-2)),SUMIFS(Dati!$B$2:$B$451,Dati!$A$2:$A$451,$H110,Dati!$H$2:$H$451,$AC110)+SUMIFS(Dati!$I$2:$I$451,Dati!$H$2:$H$451,$H110,Dati!$A$2:$A$451,$AC110),"-")</f>
        <v/>
      </c>
      <c r="AP110" s="22">
        <f>IF(AND($H110&lt;&gt;"",$AD110&lt;&gt;"",$H110&lt;&gt;$AD110,IFERROR(VLOOKUP($H110,areaCercaPuntiClassificaSquadra,3,FALSE),-1)=IFERROR(VLOOKUP($AD110,areaCercaPuntiClassificaSquadra,3,FALSE),-2)),SUMIFS(Dati!$B$2:$B$451,Dati!$A$2:$A$451,$H110,Dati!$H$2:$H$451,$AD110)+SUMIFS(Dati!$I$2:$I$451,Dati!$H$2:$H$451,$H110,Dati!$A$2:$A$451,$AD110),"-")</f>
        <v/>
      </c>
      <c r="AQ110" s="22">
        <f>IF(AND($H110&lt;&gt;"",$AE110&lt;&gt;"",$H110&lt;&gt;$AE110,IFERROR(VLOOKUP($H110,areaCercaPuntiClassificaSquadra,3,FALSE),-1)=IFERROR(VLOOKUP($AE110,areaCercaPuntiClassificaSquadra,3,FALSE),-2)),SUMIFS(Dati!$B$2:$B$451,Dati!$A$2:$A$451,$H110,Dati!$H$2:$H$451,$AE110)+SUMIFS(Dati!$I$2:$I$451,Dati!$H$2:$H$451,$H110,Dati!$A$2:$A$451,$AE110),"-")</f>
        <v/>
      </c>
      <c r="AR110" s="22">
        <f>IF(AND($H110&lt;&gt;"",$AF110&lt;&gt;"",$H110&lt;&gt;$AF110,IFERROR(VLOOKUP($H110,areaCercaPuntiClassificaSquadra,3,FALSE),-1)=IFERROR(VLOOKUP($AF110,areaCercaPuntiClassificaSquadra,3,FALSE),-2)),SUMIFS(Dati!$B$2:$B$451,Dati!$A$2:$A$451,$H110,Dati!$H$2:$H$451,$AF110)+SUMIFS(Dati!$I$2:$I$451,Dati!$H$2:$H$451,$H110,Dati!$A$2:$A$451,$AF110),"-")</f>
        <v/>
      </c>
      <c r="AS110" s="22">
        <f>IF(AND($H110&lt;&gt;"",$AG110&lt;&gt;"",$H110&lt;&gt;$AG110,IFERROR(VLOOKUP($H110,areaCercaPuntiClassificaSquadra,3,FALSE),-1)=IFERROR(VLOOKUP($AG110,areaCercaPuntiClassificaSquadra,3,FALSE),-2)),SUMIFS(Dati!$B$2:$B$451,Dati!$A$2:$A$451,$H110,Dati!$H$2:$H$451,$AG110)+SUMIFS(Dati!$I$2:$I$451,Dati!$H$2:$H$451,$H110,Dati!$A$2:$A$451,$AG110),"-")</f>
        <v/>
      </c>
      <c r="AT110" s="22">
        <f>IF(AND($H110&lt;&gt;"",$AH110&lt;&gt;"",$H110&lt;&gt;$AH110,IFERROR(VLOOKUP($H110,areaCercaPuntiClassificaSquadra,3,FALSE),-1)=IFERROR(VLOOKUP($AH110,areaCercaPuntiClassificaSquadra,3,FALSE),-2)),SUMIFS(Dati!$B$2:$B$451,Dati!$A$2:$A$451,$H110,Dati!$H$2:$H$451,$AH110)+SUMIFS(Dati!$I$2:$I$451,Dati!$H$2:$H$451,$H110,Dati!$A$2:$A$451,$AH110),"-")</f>
        <v/>
      </c>
      <c r="AV110" s="21">
        <f>$C110</f>
        <v/>
      </c>
      <c r="AW110" s="22">
        <f>IF(AND($H110&lt;&gt;"",$Y110&lt;&gt;"",$H110&lt;&gt;$Y110,IFERROR(VLOOKUP($H110,areaCercaPuntiClassificaSquadra,3,FALSE),-1)=IFERROR(VLOOKUP($Y110,areaCercaPuntiClassificaSquadra,3,FALSE),-2)),SUMIFS(Dati!$D$2:$D$451,Dati!$A$2:$A$451,$H110,Dati!$H$2:$H$451,$Y110)+SUMIFS(Dati!$K$2:$K$451,Dati!$H$2:$H$451,$H110,Dati!$A$2:$A$451,$Y110)+SUMIFS(Dati!$C$2:$C$451,Dati!$A$2:$A$451,$H110,Dati!$H$2:$H$451,$Y110)+SUMIFS(Dati!$J$2:$J$451,Dati!$H$2:$H$451,$H110,Dati!$A$2:$A$451,$Y110),"-")</f>
        <v/>
      </c>
      <c r="AX110" s="22">
        <f>IF(AND($H110&lt;&gt;"",$Z110&lt;&gt;"",$H110&lt;&gt;$Z110,IFERROR(VLOOKUP($H110,areaCercaPuntiClassificaSquadra,3,FALSE),-1)=IFERROR(VLOOKUP($Z110,areaCercaPuntiClassificaSquadra,3,FALSE),-2)),SUMIFS(Dati!$D$2:$D$451,Dati!$A$2:$A$451,$H110,Dati!$H$2:$H$451,$Z110)+SUMIFS(Dati!$K$2:$K$451,Dati!$H$2:$H$451,$H110,Dati!$A$2:$A$451,$Z110)+SUMIFS(Dati!$C$2:$C$451,Dati!$A$2:$A$451,$H110,Dati!$H$2:$H$451,$Z110)+SUMIFS(Dati!$J$2:$J$451,Dati!$H$2:$H$451,$H110,Dati!$A$2:$A$451,$Z110),"-")</f>
        <v/>
      </c>
      <c r="AY110" s="22">
        <f>IF(AND($H110&lt;&gt;"",$AA110&lt;&gt;"",$H110&lt;&gt;$AA110,IFERROR(VLOOKUP($H110,areaCercaPuntiClassificaSquadra,3,FALSE),-1)=IFERROR(VLOOKUP($AA110,areaCercaPuntiClassificaSquadra,3,FALSE),-2)),SUMIFS(Dati!$D$2:$D$451,Dati!$A$2:$A$451,$H110,Dati!$H$2:$H$451,$AA110)+SUMIFS(Dati!$K$2:$K$451,Dati!$H$2:$H$451,$H110,Dati!$A$2:$A$451,$AA110)+SUMIFS(Dati!$C$2:$C$451,Dati!$A$2:$A$451,$H110,Dati!$H$2:$H$451,$AA110)+SUMIFS(Dati!$J$2:$J$451,Dati!$H$2:$H$451,$H110,Dati!$A$2:$A$451,$AA110),"-")</f>
        <v/>
      </c>
      <c r="AZ110" s="22">
        <f>IF(AND($H110&lt;&gt;"",$AB110&lt;&gt;"",$H110&lt;&gt;$AB110,IFERROR(VLOOKUP($H110,areaCercaPuntiClassificaSquadra,3,FALSE),-1)=IFERROR(VLOOKUP($AB110,areaCercaPuntiClassificaSquadra,3,FALSE),-2)),SUMIFS(Dati!$D$2:$D$451,Dati!$A$2:$A$451,$H110,Dati!$H$2:$H$451,$AB110)+SUMIFS(Dati!$K$2:$K$451,Dati!$H$2:$H$451,$H110,Dati!$A$2:$A$451,$AB110)+SUMIFS(Dati!$C$2:$C$451,Dati!$A$2:$A$451,$H110,Dati!$H$2:$H$451,$AB110)+SUMIFS(Dati!$J$2:$J$451,Dati!$H$2:$H$451,$H110,Dati!$A$2:$A$451,$AB110),"-")</f>
        <v/>
      </c>
      <c r="BA110" s="22">
        <f>IF(AND($H110&lt;&gt;"",$AC110&lt;&gt;"",$H110&lt;&gt;$AC110,IFERROR(VLOOKUP($H110,areaCercaPuntiClassificaSquadra,3,FALSE),-1)=IFERROR(VLOOKUP($AC110,areaCercaPuntiClassificaSquadra,3,FALSE),-2)),SUMIFS(Dati!$D$2:$D$451,Dati!$A$2:$A$451,$H110,Dati!$H$2:$H$451,$AC110)+SUMIFS(Dati!$K$2:$K$451,Dati!$H$2:$H$451,$H110,Dati!$A$2:$A$451,$AC110)+SUMIFS(Dati!$C$2:$C$451,Dati!$A$2:$A$451,$H110,Dati!$H$2:$H$451,$AC110)+SUMIFS(Dati!$J$2:$J$451,Dati!$H$2:$H$451,$H110,Dati!$A$2:$A$451,$AC110),"-")</f>
        <v/>
      </c>
      <c r="BB110" s="22">
        <f>IF(AND($H110&lt;&gt;"",$AD110&lt;&gt;"",$H110&lt;&gt;$AD110,IFERROR(VLOOKUP($H110,areaCercaPuntiClassificaSquadra,3,FALSE),-1)=IFERROR(VLOOKUP($AD110,areaCercaPuntiClassificaSquadra,3,FALSE),-2)),SUMIFS(Dati!$D$2:$D$451,Dati!$A$2:$A$451,$H110,Dati!$H$2:$H$451,$AD110)+SUMIFS(Dati!$K$2:$K$451,Dati!$H$2:$H$451,$H110,Dati!$A$2:$A$451,$AD110)+SUMIFS(Dati!$C$2:$C$451,Dati!$A$2:$A$451,$H110,Dati!$H$2:$H$451,$AD110)+SUMIFS(Dati!$J$2:$J$451,Dati!$H$2:$H$451,$H110,Dati!$A$2:$A$451,$AD110),"-")</f>
        <v/>
      </c>
      <c r="BC110" s="22">
        <f>IF(AND($H110&lt;&gt;"",$AE110&lt;&gt;"",$H110&lt;&gt;$AE110,IFERROR(VLOOKUP($H110,areaCercaPuntiClassificaSquadra,3,FALSE),-1)=IFERROR(VLOOKUP($AE110,areaCercaPuntiClassificaSquadra,3,FALSE),-2)),SUMIFS(Dati!$D$2:$D$451,Dati!$A$2:$A$451,$H110,Dati!$H$2:$H$451,$AE110)+SUMIFS(Dati!$K$2:$K$451,Dati!$H$2:$H$451,$H110,Dati!$A$2:$A$451,$AE110)+SUMIFS(Dati!$C$2:$C$451,Dati!$A$2:$A$451,$H110,Dati!$H$2:$H$451,$AE110)+SUMIFS(Dati!$J$2:$J$451,Dati!$H$2:$H$451,$H110,Dati!$A$2:$A$451,$AE110),"-")</f>
        <v/>
      </c>
      <c r="BD110" s="22">
        <f>IF(AND($H110&lt;&gt;"",$AF110&lt;&gt;"",$H110&lt;&gt;$AF110,IFERROR(VLOOKUP($H110,areaCercaPuntiClassificaSquadra,3,FALSE),-1)=IFERROR(VLOOKUP($AF110,areaCercaPuntiClassificaSquadra,3,FALSE),-2)),SUMIFS(Dati!$D$2:$D$451,Dati!$A$2:$A$451,$H110,Dati!$H$2:$H$451,$AF110)+SUMIFS(Dati!$K$2:$K$451,Dati!$H$2:$H$451,$H110,Dati!$A$2:$A$451,$AF110)+SUMIFS(Dati!$C$2:$C$451,Dati!$A$2:$A$451,$H110,Dati!$H$2:$H$451,$AF110)+SUMIFS(Dati!$J$2:$J$451,Dati!$H$2:$H$451,$H110,Dati!$A$2:$A$451,$AF110),"-")</f>
        <v/>
      </c>
      <c r="BE110" s="22">
        <f>IF(AND($H110&lt;&gt;"",$AG110&lt;&gt;"",$H110&lt;&gt;$AG110,IFERROR(VLOOKUP($H110,areaCercaPuntiClassificaSquadra,3,FALSE),-1)=IFERROR(VLOOKUP($AG110,areaCercaPuntiClassificaSquadra,3,FALSE),-2)),SUMIFS(Dati!$D$2:$D$451,Dati!$A$2:$A$451,$H110,Dati!$H$2:$H$451,$AG110)+SUMIFS(Dati!$K$2:$K$451,Dati!$H$2:$H$451,$H110,Dati!$A$2:$A$451,$AG110)+SUMIFS(Dati!$C$2:$C$451,Dati!$A$2:$A$451,$H110,Dati!$H$2:$H$451,$AG110)+SUMIFS(Dati!$J$2:$J$451,Dati!$H$2:$H$451,$H110,Dati!$A$2:$A$451,$AG110),"-")</f>
        <v/>
      </c>
      <c r="BF110" s="22">
        <f>IF(AND($H110&lt;&gt;"",$AH110&lt;&gt;"",$H110&lt;&gt;$AH110,IFERROR(VLOOKUP($H110,areaCercaPuntiClassificaSquadra,3,FALSE),-1)=IFERROR(VLOOKUP($AH110,areaCercaPuntiClassificaSquadra,3,FALSE),-2)),SUMIFS(Dati!$D$2:$D$451,Dati!$A$2:$A$451,$H110,Dati!$H$2:$H$451,$AH110)+SUMIFS(Dati!$K$2:$K$451,Dati!$H$2:$H$451,$H110,Dati!$A$2:$A$451,$AH110)+SUMIFS(Dati!$C$2:$C$451,Dati!$A$2:$A$451,$H110,Dati!$H$2:$H$451,$AH110)+SUMIFS(Dati!$J$2:$J$451,Dati!$H$2:$H$451,$H110,Dati!$A$2:$A$451,$AH110),"-")</f>
        <v/>
      </c>
      <c r="BH110" s="21">
        <f>$C110</f>
        <v/>
      </c>
      <c r="BI110" s="22">
        <f>IF(AND($H110&lt;&gt;"",$Y110&lt;&gt;"",$H110&lt;&gt;$Y110,IFERROR(VLOOKUP($H110,areaCercaPuntiClassificaSquadra,3,FALSE),-1)=IFERROR(VLOOKUP($Y110,areaCercaPuntiClassificaSquadra,3,FALSE),-2)),SUMIFS(Dati!$E$2:$E$451,Dati!$A$2:$A$451,$H110,Dati!$H$2:$H$451,$Y110)+SUMIFS(Dati!$L$2:$L$451,Dati!$H$2:$H$451,$H110,Dati!$A$2:$A$451,$Y110),"-")</f>
        <v/>
      </c>
      <c r="BJ110" s="22">
        <f>IF(AND($H110&lt;&gt;"",$Z110&lt;&gt;"",$H110&lt;&gt;$Z110,IFERROR(VLOOKUP($H110,areaCercaPuntiClassificaSquadra,3,FALSE),-1)=IFERROR(VLOOKUP($Z110,areaCercaPuntiClassificaSquadra,3,FALSE),-2)),SUMIFS(Dati!$E$2:$E$451,Dati!$A$2:$A$451,$H110,Dati!$H$2:$H$451,$Z110)+SUMIFS(Dati!$L$2:$L$451,Dati!$H$2:$H$451,$H110,Dati!$A$2:$A$451,$Z110),"-")</f>
        <v/>
      </c>
      <c r="BK110" s="22">
        <f>IF(AND($H110&lt;&gt;"",$AA110&lt;&gt;"",$H110&lt;&gt;$AA110,IFERROR(VLOOKUP($H110,areaCercaPuntiClassificaSquadra,3,FALSE),-1)=IFERROR(VLOOKUP($AA110,areaCercaPuntiClassificaSquadra,3,FALSE),-2)),SUMIFS(Dati!$E$2:$E$451,Dati!$A$2:$A$451,$H110,Dati!$H$2:$H$451,$AA110)+SUMIFS(Dati!$L$2:$L$451,Dati!$H$2:$H$451,$H110,Dati!$A$2:$A$451,$AA110),"-")</f>
        <v/>
      </c>
      <c r="BL110" s="22">
        <f>IF(AND($H110&lt;&gt;"",$AB110&lt;&gt;"",$H110&lt;&gt;$AB110,IFERROR(VLOOKUP($H110,areaCercaPuntiClassificaSquadra,3,FALSE),-1)=IFERROR(VLOOKUP($AB110,areaCercaPuntiClassificaSquadra,3,FALSE),-2)),SUMIFS(Dati!$E$2:$E$451,Dati!$A$2:$A$451,$H110,Dati!$H$2:$H$451,$AB110)+SUMIFS(Dati!$L$2:$L$451,Dati!$H$2:$H$451,$H110,Dati!$A$2:$A$451,$AB110),"-")</f>
        <v/>
      </c>
      <c r="BM110" s="22">
        <f>IF(AND($H110&lt;&gt;"",$AC110&lt;&gt;"",$H110&lt;&gt;$AC110,IFERROR(VLOOKUP($H110,areaCercaPuntiClassificaSquadra,3,FALSE),-1)=IFERROR(VLOOKUP($AC110,areaCercaPuntiClassificaSquadra,3,FALSE),-2)),SUMIFS(Dati!$E$2:$E$451,Dati!$A$2:$A$451,$H110,Dati!$H$2:$H$451,$AC110)+SUMIFS(Dati!$L$2:$L$451,Dati!$H$2:$H$451,$H110,Dati!$A$2:$A$451,$AC110),"-")</f>
        <v/>
      </c>
      <c r="BN110" s="22">
        <f>IF(AND($H110&lt;&gt;"",$AD110&lt;&gt;"",$H110&lt;&gt;$AD110,IFERROR(VLOOKUP($H110,areaCercaPuntiClassificaSquadra,3,FALSE),-1)=IFERROR(VLOOKUP($AD110,areaCercaPuntiClassificaSquadra,3,FALSE),-2)),SUMIFS(Dati!$E$2:$E$451,Dati!$A$2:$A$451,$H110,Dati!$H$2:$H$451,$AD110)+SUMIFS(Dati!$L$2:$L$451,Dati!$H$2:$H$451,$H110,Dati!$A$2:$A$451,$AD110),"-")</f>
        <v/>
      </c>
      <c r="BO110" s="22">
        <f>IF(AND($H110&lt;&gt;"",$AE110&lt;&gt;"",$H110&lt;&gt;$AE110,IFERROR(VLOOKUP($H110,areaCercaPuntiClassificaSquadra,3,FALSE),-1)=IFERROR(VLOOKUP($AE110,areaCercaPuntiClassificaSquadra,3,FALSE),-2)),SUMIFS(Dati!$E$2:$E$451,Dati!$A$2:$A$451,$H110,Dati!$H$2:$H$451,$AE110)+SUMIFS(Dati!$L$2:$L$451,Dati!$H$2:$H$451,$H110,Dati!$A$2:$A$451,$AE110),"-")</f>
        <v/>
      </c>
      <c r="BP110" s="22">
        <f>IF(AND($H110&lt;&gt;"",$AF110&lt;&gt;"",$H110&lt;&gt;$AF110,IFERROR(VLOOKUP($H110,areaCercaPuntiClassificaSquadra,3,FALSE),-1)=IFERROR(VLOOKUP($AF110,areaCercaPuntiClassificaSquadra,3,FALSE),-2)),SUMIFS(Dati!$E$2:$E$451,Dati!$A$2:$A$451,$H110,Dati!$H$2:$H$451,$AF110)+SUMIFS(Dati!$L$2:$L$451,Dati!$H$2:$H$451,$H110,Dati!$A$2:$A$451,$AF110),"-")</f>
        <v/>
      </c>
      <c r="BQ110" s="22">
        <f>IF(AND($H110&lt;&gt;"",$AG110&lt;&gt;"",$H110&lt;&gt;$AG110,IFERROR(VLOOKUP($H110,areaCercaPuntiClassificaSquadra,3,FALSE),-1)=IFERROR(VLOOKUP($AG110,areaCercaPuntiClassificaSquadra,3,FALSE),-2)),SUMIFS(Dati!$E$2:$E$451,Dati!$A$2:$A$451,$H110,Dati!$H$2:$H$451,$AG110)+SUMIFS(Dati!$L$2:$L$451,Dati!$H$2:$H$451,$H110,Dati!$A$2:$A$451,$AG110),"-")</f>
        <v/>
      </c>
      <c r="BR110" s="22">
        <f>IF(AND($H110&lt;&gt;"",$AH110&lt;&gt;"",$H110&lt;&gt;$AH110,IFERROR(VLOOKUP($H110,areaCercaPuntiClassificaSquadra,3,FALSE),-1)=IFERROR(VLOOKUP($AH110,areaCercaPuntiClassificaSquadra,3,FALSE),-2)),SUMIFS(Dati!$E$2:$E$451,Dati!$A$2:$A$451,$H110,Dati!$H$2:$H$451,$AH110)+SUMIFS(Dati!$L$2:$L$451,Dati!$H$2:$H$451,$H110,Dati!$A$2:$A$451,$AH110),"-")</f>
        <v/>
      </c>
      <c r="BT110" s="21">
        <f>$C110</f>
        <v/>
      </c>
      <c r="BU110" s="22">
        <f>IF(AND($H110&lt;&gt;"",$Y110&lt;&gt;"",$H110&lt;&gt;$Y110,IFERROR(VLOOKUP($H110,areaCercaPuntiClassificaSquadra,3,FALSE),-1)=IFERROR(VLOOKUP($Y110,areaCercaPuntiClassificaSquadra,3,FALSE),-2)),SUMIFS(Dati!$F$2:$F$451,Dati!$A$2:$A$451,$H110,Dati!$H$2:$H$451,$Y110)+SUMIFS(Dati!$M$2:$M$451,Dati!$H$2:$H$451,$H110,Dati!$A$2:$A$451,$Y110),"-")</f>
        <v/>
      </c>
      <c r="BV110" s="22">
        <f>IF(AND($H110&lt;&gt;"",$Z110&lt;&gt;"",$H110&lt;&gt;$Z110,IFERROR(VLOOKUP($H110,areaCercaPuntiClassificaSquadra,3,FALSE),-1)=IFERROR(VLOOKUP($Z110,areaCercaPuntiClassificaSquadra,3,FALSE),-2)),SUMIFS(Dati!$F$2:$F$451,Dati!$A$2:$A$451,$H110,Dati!$H$2:$H$451,$Z110)+SUMIFS(Dati!$M$2:$M$451,Dati!$H$2:$H$451,$H110,Dati!$A$2:$A$451,$Z110),"-")</f>
        <v/>
      </c>
      <c r="BW110" s="22">
        <f>IF(AND($H110&lt;&gt;"",$AA110&lt;&gt;"",$H110&lt;&gt;$AA110,IFERROR(VLOOKUP($H110,areaCercaPuntiClassificaSquadra,3,FALSE),-1)=IFERROR(VLOOKUP($AA110,areaCercaPuntiClassificaSquadra,3,FALSE),-2)),SUMIFS(Dati!$F$2:$F$451,Dati!$A$2:$A$451,$H110,Dati!$H$2:$H$451,$AA110)+SUMIFS(Dati!$M$2:$M$451,Dati!$H$2:$H$451,$H110,Dati!$A$2:$A$451,$AA110),"-")</f>
        <v/>
      </c>
      <c r="BX110" s="22">
        <f>IF(AND($H110&lt;&gt;"",$AB110&lt;&gt;"",$H110&lt;&gt;$AB110,IFERROR(VLOOKUP($H110,areaCercaPuntiClassificaSquadra,3,FALSE),-1)=IFERROR(VLOOKUP($AB110,areaCercaPuntiClassificaSquadra,3,FALSE),-2)),SUMIFS(Dati!$F$2:$F$451,Dati!$A$2:$A$451,$H110,Dati!$H$2:$H$451,$AB110)+SUMIFS(Dati!$M$2:$M$451,Dati!$H$2:$H$451,$H110,Dati!$A$2:$A$451,$AB110),"-")</f>
        <v/>
      </c>
      <c r="BY110" s="22">
        <f>IF(AND($H110&lt;&gt;"",$AC110&lt;&gt;"",$H110&lt;&gt;$AC110,IFERROR(VLOOKUP($H110,areaCercaPuntiClassificaSquadra,3,FALSE),-1)=IFERROR(VLOOKUP($AC110,areaCercaPuntiClassificaSquadra,3,FALSE),-2)),SUMIFS(Dati!$F$2:$F$451,Dati!$A$2:$A$451,$H110,Dati!$H$2:$H$451,$AC110)+SUMIFS(Dati!$M$2:$M$451,Dati!$H$2:$H$451,$H110,Dati!$A$2:$A$451,$AC110),"-")</f>
        <v/>
      </c>
      <c r="BZ110" s="22">
        <f>IF(AND($H110&lt;&gt;"",$AD110&lt;&gt;"",$H110&lt;&gt;$AD110,IFERROR(VLOOKUP($H110,areaCercaPuntiClassificaSquadra,3,FALSE),-1)=IFERROR(VLOOKUP($AD110,areaCercaPuntiClassificaSquadra,3,FALSE),-2)),SUMIFS(Dati!$F$2:$F$451,Dati!$A$2:$A$451,$H110,Dati!$H$2:$H$451,$AD110)+SUMIFS(Dati!$M$2:$M$451,Dati!$H$2:$H$451,$H110,Dati!$A$2:$A$451,$AD110),"-")</f>
        <v/>
      </c>
      <c r="CA110" s="22">
        <f>IF(AND($H110&lt;&gt;"",$AE110&lt;&gt;"",$H110&lt;&gt;$AE110,IFERROR(VLOOKUP($H110,areaCercaPuntiClassificaSquadra,3,FALSE),-1)=IFERROR(VLOOKUP($AE110,areaCercaPuntiClassificaSquadra,3,FALSE),-2)),SUMIFS(Dati!$F$2:$F$451,Dati!$A$2:$A$451,$H110,Dati!$H$2:$H$451,$AE110)+SUMIFS(Dati!$M$2:$M$451,Dati!$H$2:$H$451,$H110,Dati!$A$2:$A$451,$AE110),"-")</f>
        <v/>
      </c>
      <c r="CB110" s="22">
        <f>IF(AND($H110&lt;&gt;"",$AF110&lt;&gt;"",$H110&lt;&gt;$AF110,IFERROR(VLOOKUP($H110,areaCercaPuntiClassificaSquadra,3,FALSE),-1)=IFERROR(VLOOKUP($AF110,areaCercaPuntiClassificaSquadra,3,FALSE),-2)),SUMIFS(Dati!$F$2:$F$451,Dati!$A$2:$A$451,$H110,Dati!$H$2:$H$451,$AF110)+SUMIFS(Dati!$M$2:$M$451,Dati!$H$2:$H$451,$H110,Dati!$A$2:$A$451,$AF110),"-")</f>
        <v/>
      </c>
      <c r="CC110" s="22">
        <f>IF(AND($H110&lt;&gt;"",$AG110&lt;&gt;"",$H110&lt;&gt;$AG110,IFERROR(VLOOKUP($H110,areaCercaPuntiClassificaSquadra,3,FALSE),-1)=IFERROR(VLOOKUP($AG110,areaCercaPuntiClassificaSquadra,3,FALSE),-2)),SUMIFS(Dati!$F$2:$F$451,Dati!$A$2:$A$451,$H110,Dati!$H$2:$H$451,$AG110)+SUMIFS(Dati!$M$2:$M$451,Dati!$H$2:$H$451,$H110,Dati!$A$2:$A$451,$AG110),"-")</f>
        <v/>
      </c>
      <c r="CD110" s="22">
        <f>IF(AND($H110&lt;&gt;"",$AH110&lt;&gt;"",$H110&lt;&gt;$AH110,IFERROR(VLOOKUP($H110,areaCercaPuntiClassificaSquadra,3,FALSE),-1)=IFERROR(VLOOKUP($AH110,areaCercaPuntiClassificaSquadra,3,FALSE),-2)),SUMIFS(Dati!$F$2:$F$451,Dati!$A$2:$A$451,$H110,Dati!$H$2:$H$451,$AH110)+SUMIFS(Dati!$M$2:$M$451,Dati!$H$2:$H$451,$H110,Dati!$A$2:$A$451,$AH110),"-")</f>
        <v/>
      </c>
      <c r="CF110" s="22">
        <f>IF($C110="","",SUM(AK110:AT110))</f>
        <v/>
      </c>
    </row>
    <row r="111">
      <c r="B111" s="12" t="inlineStr">
        <is>
          <t>J08</t>
        </is>
      </c>
      <c r="C111" s="13" t="n"/>
      <c r="D111" s="14" t="n"/>
      <c r="E111" s="39" t="inlineStr">
        <is>
          <t>J</t>
        </is>
      </c>
      <c r="G111" s="40">
        <f>IF($C111="","",$E111&amp;(COUNTIFS(I$14:I$113,"&gt;"&amp;I111,E$14:E$113,"="&amp;E111,C$14:C$113,"&lt;&gt;")+COUNTIFS(I$14:I$113,"="&amp;I111,H$14:H$113,"&lt;="&amp;H111,E$14:E$113,"="&amp;E111,C$14:C$113,"&lt;&gt;")))</f>
        <v/>
      </c>
      <c r="H111" s="17">
        <f>IF($C111="","",IFERROR(LEFT($C111,FIND("-",$C111)-1),$C111))</f>
        <v/>
      </c>
      <c r="I111" s="12">
        <f>TEXT(1000000000+J111,"|0000000000|")&amp;TEXT(SUM(AK111:AT111),"0000000000|")&amp;IF(SUM(BU111:CD111)=0,"0000000000|",TEXT(ROUND(SUM(BI111:BR111)/SUM(BU111:CD111),4)*100000,"0000000000|"))&amp;IF(P111=0,"0000000000|",TEXT(ROUND(O111/P111,4)*100000,"0000000000|"))</f>
        <v/>
      </c>
      <c r="J111" s="40">
        <f>L111*constPuntiVittoria+M111*constPuntiSconfitta+N111*constPuntiForfait+IF(D111="",0,D111)</f>
        <v/>
      </c>
      <c r="K111" s="12">
        <f>SUM(L111:N111)</f>
        <v/>
      </c>
      <c r="L111" s="12">
        <f>IF($H111="",0,SUMIF(Dati!$A$2:$A$451,$H111,Dati!$B$2:$B$451)+SUMIF(Dati!$H$2:$H$451,$H111,Dati!$I$2:$I$451))</f>
        <v/>
      </c>
      <c r="M111" s="12">
        <f>IF($H111="",0,SUMIF(Dati!$A$2:$A$451,$H111,Dati!$D$2:$D$451)+SUMIF(Dati!$H$2:$H$451,$H111,Dati!$K$2:$K$451))</f>
        <v/>
      </c>
      <c r="N111" s="12">
        <f>IF($H111="",0,SUMIF(Dati!$A$2:$A$451,$H111,Dati!$C$2:$C$451)+SUMIF(Dati!$H$2:$H$451,$H111,Dati!$J$2:$J$451))</f>
        <v/>
      </c>
      <c r="O111" s="12">
        <f>IF($H111="",0,SUMIF(Dati!$A$2:$A$451,$H111,Dati!$E$2:$E$451)+SUMIF(Dati!$H$2:$H$451,$H111,Dati!$L$2:$L$451))</f>
        <v/>
      </c>
      <c r="P111" s="12">
        <f>IF($H111="",0,SUMIF(Dati!$A$2:$A$451,$H111,Dati!$F$2:$F$451)+SUMIF(Dati!$H$2:$H$451,$H111,Dati!$M$2:$M$451))</f>
        <v/>
      </c>
      <c r="Q111" s="12">
        <f>IF($H111="",0,SUMIF(Dati!$A$2:$A$451,$H111,Dati!$G$2:$G$451)+SUMIF(Dati!$H$2:$H$451,$H111,Dati!$N$2:$N$451))</f>
        <v/>
      </c>
      <c r="R111" s="12">
        <f>IF(K111=0,0,ROUND(O111/K111,2))</f>
        <v/>
      </c>
      <c r="S111" s="12">
        <f>IF(K111=0,0,ROUND(P111/K111,2))</f>
        <v/>
      </c>
      <c r="T111" s="12">
        <f>IF(K111=0,0,ROUND(Q111/K111,2))</f>
        <v/>
      </c>
      <c r="U111" s="12">
        <f>IF(COUNTIFS($E$14:$E$113,$E111,$J$14:$J$113,$J111,$C$14:$C$113,"&lt;&gt;")&lt;=1,"-",SUM(AK111:AT111)&amp;"-"&amp;SUM(AW111:BF111))</f>
        <v/>
      </c>
      <c r="V111" s="18">
        <f>IF(COUNTIFS($E$14:$E$113,$E111,$J$14:$J$113,$J111,$C$14:$C$113,"&lt;&gt;",$CF$14:$CF$113,$CF111)&lt;=1,"-",IF(SUM(BU111:CD111)=0,0,ROUND(SUM(BI111:BR111)/SUM(BU111:CD111),3)))</f>
        <v/>
      </c>
      <c r="W111" s="18">
        <f>IF(COUNTIFS($E$14:$E$113,$E111,$J$14:$J$113,$J111,$C$14:$C$113,"&lt;&gt;",$CF$14:$CF$113,$CF111,$V$14:$V$113,$V111)&lt;=1,"-",IF(P111=0,0,ROUND(O111/P111,3)))</f>
        <v/>
      </c>
      <c r="X111" s="19">
        <f>IF($C111="","",$E111&amp;"#"&amp;COUNTIFS($E$14:$E111,$E111,$C$14:$C111,"&lt;&gt;"))</f>
        <v/>
      </c>
      <c r="Y111" s="20">
        <f>IFERROR(INDEX($H$14:$H$113,MATCH($E111&amp;"#1",$X$14:$X$113,0)),"")</f>
        <v/>
      </c>
      <c r="Z111" s="20">
        <f>IFERROR(INDEX($H$14:$H$113,MATCH($E111&amp;"#2",$X$14:$X$113,0)),"")</f>
        <v/>
      </c>
      <c r="AA111" s="20">
        <f>IFERROR(INDEX($H$14:$H$113,MATCH($E111&amp;"#3",$X$14:$X$113,0)),"")</f>
        <v/>
      </c>
      <c r="AB111" s="20">
        <f>IFERROR(INDEX($H$14:$H$113,MATCH($E111&amp;"#4",$X$14:$X$113,0)),"")</f>
        <v/>
      </c>
      <c r="AC111" s="20">
        <f>IFERROR(INDEX($H$14:$H$113,MATCH($E111&amp;"#5",$X$14:$X$113,0)),"")</f>
        <v/>
      </c>
      <c r="AD111" s="20">
        <f>IFERROR(INDEX($H$14:$H$113,MATCH($E111&amp;"#6",$X$14:$X$113,0)),"")</f>
        <v/>
      </c>
      <c r="AE111" s="20">
        <f>IFERROR(INDEX($H$14:$H$113,MATCH($E111&amp;"#7",$X$14:$X$113,0)),"")</f>
        <v/>
      </c>
      <c r="AF111" s="20">
        <f>IFERROR(INDEX($H$14:$H$113,MATCH($E111&amp;"#8",$X$14:$X$113,0)),"")</f>
        <v/>
      </c>
      <c r="AG111" s="20">
        <f>IFERROR(INDEX($H$14:$H$113,MATCH($E111&amp;"#9",$X$14:$X$113,0)),"")</f>
        <v/>
      </c>
      <c r="AH111" s="20">
        <f>IFERROR(INDEX($H$14:$H$113,MATCH($E111&amp;"#10",$X$14:$X$113,0)),"")</f>
        <v/>
      </c>
      <c r="AJ111" s="21">
        <f>$C111</f>
        <v/>
      </c>
      <c r="AK111" s="22">
        <f>IF(AND($H111&lt;&gt;"",$Y111&lt;&gt;"",$H111&lt;&gt;$Y111,IFERROR(VLOOKUP($H111,areaCercaPuntiClassificaSquadra,3,FALSE),-1)=IFERROR(VLOOKUP($Y111,areaCercaPuntiClassificaSquadra,3,FALSE),-2)),SUMIFS(Dati!$B$2:$B$451,Dati!$A$2:$A$451,$H111,Dati!$H$2:$H$451,$Y111)+SUMIFS(Dati!$I$2:$I$451,Dati!$H$2:$H$451,$H111,Dati!$A$2:$A$451,$Y111),"-")</f>
        <v/>
      </c>
      <c r="AL111" s="22">
        <f>IF(AND($H111&lt;&gt;"",$Z111&lt;&gt;"",$H111&lt;&gt;$Z111,IFERROR(VLOOKUP($H111,areaCercaPuntiClassificaSquadra,3,FALSE),-1)=IFERROR(VLOOKUP($Z111,areaCercaPuntiClassificaSquadra,3,FALSE),-2)),SUMIFS(Dati!$B$2:$B$451,Dati!$A$2:$A$451,$H111,Dati!$H$2:$H$451,$Z111)+SUMIFS(Dati!$I$2:$I$451,Dati!$H$2:$H$451,$H111,Dati!$A$2:$A$451,$Z111),"-")</f>
        <v/>
      </c>
      <c r="AM111" s="22">
        <f>IF(AND($H111&lt;&gt;"",$AA111&lt;&gt;"",$H111&lt;&gt;$AA111,IFERROR(VLOOKUP($H111,areaCercaPuntiClassificaSquadra,3,FALSE),-1)=IFERROR(VLOOKUP($AA111,areaCercaPuntiClassificaSquadra,3,FALSE),-2)),SUMIFS(Dati!$B$2:$B$451,Dati!$A$2:$A$451,$H111,Dati!$H$2:$H$451,$AA111)+SUMIFS(Dati!$I$2:$I$451,Dati!$H$2:$H$451,$H111,Dati!$A$2:$A$451,$AA111),"-")</f>
        <v/>
      </c>
      <c r="AN111" s="22">
        <f>IF(AND($H111&lt;&gt;"",$AB111&lt;&gt;"",$H111&lt;&gt;$AB111,IFERROR(VLOOKUP($H111,areaCercaPuntiClassificaSquadra,3,FALSE),-1)=IFERROR(VLOOKUP($AB111,areaCercaPuntiClassificaSquadra,3,FALSE),-2)),SUMIFS(Dati!$B$2:$B$451,Dati!$A$2:$A$451,$H111,Dati!$H$2:$H$451,$AB111)+SUMIFS(Dati!$I$2:$I$451,Dati!$H$2:$H$451,$H111,Dati!$A$2:$A$451,$AB111),"-")</f>
        <v/>
      </c>
      <c r="AO111" s="22">
        <f>IF(AND($H111&lt;&gt;"",$AC111&lt;&gt;"",$H111&lt;&gt;$AC111,IFERROR(VLOOKUP($H111,areaCercaPuntiClassificaSquadra,3,FALSE),-1)=IFERROR(VLOOKUP($AC111,areaCercaPuntiClassificaSquadra,3,FALSE),-2)),SUMIFS(Dati!$B$2:$B$451,Dati!$A$2:$A$451,$H111,Dati!$H$2:$H$451,$AC111)+SUMIFS(Dati!$I$2:$I$451,Dati!$H$2:$H$451,$H111,Dati!$A$2:$A$451,$AC111),"-")</f>
        <v/>
      </c>
      <c r="AP111" s="22">
        <f>IF(AND($H111&lt;&gt;"",$AD111&lt;&gt;"",$H111&lt;&gt;$AD111,IFERROR(VLOOKUP($H111,areaCercaPuntiClassificaSquadra,3,FALSE),-1)=IFERROR(VLOOKUP($AD111,areaCercaPuntiClassificaSquadra,3,FALSE),-2)),SUMIFS(Dati!$B$2:$B$451,Dati!$A$2:$A$451,$H111,Dati!$H$2:$H$451,$AD111)+SUMIFS(Dati!$I$2:$I$451,Dati!$H$2:$H$451,$H111,Dati!$A$2:$A$451,$AD111),"-")</f>
        <v/>
      </c>
      <c r="AQ111" s="22">
        <f>IF(AND($H111&lt;&gt;"",$AE111&lt;&gt;"",$H111&lt;&gt;$AE111,IFERROR(VLOOKUP($H111,areaCercaPuntiClassificaSquadra,3,FALSE),-1)=IFERROR(VLOOKUP($AE111,areaCercaPuntiClassificaSquadra,3,FALSE),-2)),SUMIFS(Dati!$B$2:$B$451,Dati!$A$2:$A$451,$H111,Dati!$H$2:$H$451,$AE111)+SUMIFS(Dati!$I$2:$I$451,Dati!$H$2:$H$451,$H111,Dati!$A$2:$A$451,$AE111),"-")</f>
        <v/>
      </c>
      <c r="AR111" s="22">
        <f>IF(AND($H111&lt;&gt;"",$AF111&lt;&gt;"",$H111&lt;&gt;$AF111,IFERROR(VLOOKUP($H111,areaCercaPuntiClassificaSquadra,3,FALSE),-1)=IFERROR(VLOOKUP($AF111,areaCercaPuntiClassificaSquadra,3,FALSE),-2)),SUMIFS(Dati!$B$2:$B$451,Dati!$A$2:$A$451,$H111,Dati!$H$2:$H$451,$AF111)+SUMIFS(Dati!$I$2:$I$451,Dati!$H$2:$H$451,$H111,Dati!$A$2:$A$451,$AF111),"-")</f>
        <v/>
      </c>
      <c r="AS111" s="22">
        <f>IF(AND($H111&lt;&gt;"",$AG111&lt;&gt;"",$H111&lt;&gt;$AG111,IFERROR(VLOOKUP($H111,areaCercaPuntiClassificaSquadra,3,FALSE),-1)=IFERROR(VLOOKUP($AG111,areaCercaPuntiClassificaSquadra,3,FALSE),-2)),SUMIFS(Dati!$B$2:$B$451,Dati!$A$2:$A$451,$H111,Dati!$H$2:$H$451,$AG111)+SUMIFS(Dati!$I$2:$I$451,Dati!$H$2:$H$451,$H111,Dati!$A$2:$A$451,$AG111),"-")</f>
        <v/>
      </c>
      <c r="AT111" s="22">
        <f>IF(AND($H111&lt;&gt;"",$AH111&lt;&gt;"",$H111&lt;&gt;$AH111,IFERROR(VLOOKUP($H111,areaCercaPuntiClassificaSquadra,3,FALSE),-1)=IFERROR(VLOOKUP($AH111,areaCercaPuntiClassificaSquadra,3,FALSE),-2)),SUMIFS(Dati!$B$2:$B$451,Dati!$A$2:$A$451,$H111,Dati!$H$2:$H$451,$AH111)+SUMIFS(Dati!$I$2:$I$451,Dati!$H$2:$H$451,$H111,Dati!$A$2:$A$451,$AH111),"-")</f>
        <v/>
      </c>
      <c r="AV111" s="21">
        <f>$C111</f>
        <v/>
      </c>
      <c r="AW111" s="22">
        <f>IF(AND($H111&lt;&gt;"",$Y111&lt;&gt;"",$H111&lt;&gt;$Y111,IFERROR(VLOOKUP($H111,areaCercaPuntiClassificaSquadra,3,FALSE),-1)=IFERROR(VLOOKUP($Y111,areaCercaPuntiClassificaSquadra,3,FALSE),-2)),SUMIFS(Dati!$D$2:$D$451,Dati!$A$2:$A$451,$H111,Dati!$H$2:$H$451,$Y111)+SUMIFS(Dati!$K$2:$K$451,Dati!$H$2:$H$451,$H111,Dati!$A$2:$A$451,$Y111)+SUMIFS(Dati!$C$2:$C$451,Dati!$A$2:$A$451,$H111,Dati!$H$2:$H$451,$Y111)+SUMIFS(Dati!$J$2:$J$451,Dati!$H$2:$H$451,$H111,Dati!$A$2:$A$451,$Y111),"-")</f>
        <v/>
      </c>
      <c r="AX111" s="22">
        <f>IF(AND($H111&lt;&gt;"",$Z111&lt;&gt;"",$H111&lt;&gt;$Z111,IFERROR(VLOOKUP($H111,areaCercaPuntiClassificaSquadra,3,FALSE),-1)=IFERROR(VLOOKUP($Z111,areaCercaPuntiClassificaSquadra,3,FALSE),-2)),SUMIFS(Dati!$D$2:$D$451,Dati!$A$2:$A$451,$H111,Dati!$H$2:$H$451,$Z111)+SUMIFS(Dati!$K$2:$K$451,Dati!$H$2:$H$451,$H111,Dati!$A$2:$A$451,$Z111)+SUMIFS(Dati!$C$2:$C$451,Dati!$A$2:$A$451,$H111,Dati!$H$2:$H$451,$Z111)+SUMIFS(Dati!$J$2:$J$451,Dati!$H$2:$H$451,$H111,Dati!$A$2:$A$451,$Z111),"-")</f>
        <v/>
      </c>
      <c r="AY111" s="22">
        <f>IF(AND($H111&lt;&gt;"",$AA111&lt;&gt;"",$H111&lt;&gt;$AA111,IFERROR(VLOOKUP($H111,areaCercaPuntiClassificaSquadra,3,FALSE),-1)=IFERROR(VLOOKUP($AA111,areaCercaPuntiClassificaSquadra,3,FALSE),-2)),SUMIFS(Dati!$D$2:$D$451,Dati!$A$2:$A$451,$H111,Dati!$H$2:$H$451,$AA111)+SUMIFS(Dati!$K$2:$K$451,Dati!$H$2:$H$451,$H111,Dati!$A$2:$A$451,$AA111)+SUMIFS(Dati!$C$2:$C$451,Dati!$A$2:$A$451,$H111,Dati!$H$2:$H$451,$AA111)+SUMIFS(Dati!$J$2:$J$451,Dati!$H$2:$H$451,$H111,Dati!$A$2:$A$451,$AA111),"-")</f>
        <v/>
      </c>
      <c r="AZ111" s="22">
        <f>IF(AND($H111&lt;&gt;"",$AB111&lt;&gt;"",$H111&lt;&gt;$AB111,IFERROR(VLOOKUP($H111,areaCercaPuntiClassificaSquadra,3,FALSE),-1)=IFERROR(VLOOKUP($AB111,areaCercaPuntiClassificaSquadra,3,FALSE),-2)),SUMIFS(Dati!$D$2:$D$451,Dati!$A$2:$A$451,$H111,Dati!$H$2:$H$451,$AB111)+SUMIFS(Dati!$K$2:$K$451,Dati!$H$2:$H$451,$H111,Dati!$A$2:$A$451,$AB111)+SUMIFS(Dati!$C$2:$C$451,Dati!$A$2:$A$451,$H111,Dati!$H$2:$H$451,$AB111)+SUMIFS(Dati!$J$2:$J$451,Dati!$H$2:$H$451,$H111,Dati!$A$2:$A$451,$AB111),"-")</f>
        <v/>
      </c>
      <c r="BA111" s="22">
        <f>IF(AND($H111&lt;&gt;"",$AC111&lt;&gt;"",$H111&lt;&gt;$AC111,IFERROR(VLOOKUP($H111,areaCercaPuntiClassificaSquadra,3,FALSE),-1)=IFERROR(VLOOKUP($AC111,areaCercaPuntiClassificaSquadra,3,FALSE),-2)),SUMIFS(Dati!$D$2:$D$451,Dati!$A$2:$A$451,$H111,Dati!$H$2:$H$451,$AC111)+SUMIFS(Dati!$K$2:$K$451,Dati!$H$2:$H$451,$H111,Dati!$A$2:$A$451,$AC111)+SUMIFS(Dati!$C$2:$C$451,Dati!$A$2:$A$451,$H111,Dati!$H$2:$H$451,$AC111)+SUMIFS(Dati!$J$2:$J$451,Dati!$H$2:$H$451,$H111,Dati!$A$2:$A$451,$AC111),"-")</f>
        <v/>
      </c>
      <c r="BB111" s="22">
        <f>IF(AND($H111&lt;&gt;"",$AD111&lt;&gt;"",$H111&lt;&gt;$AD111,IFERROR(VLOOKUP($H111,areaCercaPuntiClassificaSquadra,3,FALSE),-1)=IFERROR(VLOOKUP($AD111,areaCercaPuntiClassificaSquadra,3,FALSE),-2)),SUMIFS(Dati!$D$2:$D$451,Dati!$A$2:$A$451,$H111,Dati!$H$2:$H$451,$AD111)+SUMIFS(Dati!$K$2:$K$451,Dati!$H$2:$H$451,$H111,Dati!$A$2:$A$451,$AD111)+SUMIFS(Dati!$C$2:$C$451,Dati!$A$2:$A$451,$H111,Dati!$H$2:$H$451,$AD111)+SUMIFS(Dati!$J$2:$J$451,Dati!$H$2:$H$451,$H111,Dati!$A$2:$A$451,$AD111),"-")</f>
        <v/>
      </c>
      <c r="BC111" s="22">
        <f>IF(AND($H111&lt;&gt;"",$AE111&lt;&gt;"",$H111&lt;&gt;$AE111,IFERROR(VLOOKUP($H111,areaCercaPuntiClassificaSquadra,3,FALSE),-1)=IFERROR(VLOOKUP($AE111,areaCercaPuntiClassificaSquadra,3,FALSE),-2)),SUMIFS(Dati!$D$2:$D$451,Dati!$A$2:$A$451,$H111,Dati!$H$2:$H$451,$AE111)+SUMIFS(Dati!$K$2:$K$451,Dati!$H$2:$H$451,$H111,Dati!$A$2:$A$451,$AE111)+SUMIFS(Dati!$C$2:$C$451,Dati!$A$2:$A$451,$H111,Dati!$H$2:$H$451,$AE111)+SUMIFS(Dati!$J$2:$J$451,Dati!$H$2:$H$451,$H111,Dati!$A$2:$A$451,$AE111),"-")</f>
        <v/>
      </c>
      <c r="BD111" s="22">
        <f>IF(AND($H111&lt;&gt;"",$AF111&lt;&gt;"",$H111&lt;&gt;$AF111,IFERROR(VLOOKUP($H111,areaCercaPuntiClassificaSquadra,3,FALSE),-1)=IFERROR(VLOOKUP($AF111,areaCercaPuntiClassificaSquadra,3,FALSE),-2)),SUMIFS(Dati!$D$2:$D$451,Dati!$A$2:$A$451,$H111,Dati!$H$2:$H$451,$AF111)+SUMIFS(Dati!$K$2:$K$451,Dati!$H$2:$H$451,$H111,Dati!$A$2:$A$451,$AF111)+SUMIFS(Dati!$C$2:$C$451,Dati!$A$2:$A$451,$H111,Dati!$H$2:$H$451,$AF111)+SUMIFS(Dati!$J$2:$J$451,Dati!$H$2:$H$451,$H111,Dati!$A$2:$A$451,$AF111),"-")</f>
        <v/>
      </c>
      <c r="BE111" s="22">
        <f>IF(AND($H111&lt;&gt;"",$AG111&lt;&gt;"",$H111&lt;&gt;$AG111,IFERROR(VLOOKUP($H111,areaCercaPuntiClassificaSquadra,3,FALSE),-1)=IFERROR(VLOOKUP($AG111,areaCercaPuntiClassificaSquadra,3,FALSE),-2)),SUMIFS(Dati!$D$2:$D$451,Dati!$A$2:$A$451,$H111,Dati!$H$2:$H$451,$AG111)+SUMIFS(Dati!$K$2:$K$451,Dati!$H$2:$H$451,$H111,Dati!$A$2:$A$451,$AG111)+SUMIFS(Dati!$C$2:$C$451,Dati!$A$2:$A$451,$H111,Dati!$H$2:$H$451,$AG111)+SUMIFS(Dati!$J$2:$J$451,Dati!$H$2:$H$451,$H111,Dati!$A$2:$A$451,$AG111),"-")</f>
        <v/>
      </c>
      <c r="BF111" s="22">
        <f>IF(AND($H111&lt;&gt;"",$AH111&lt;&gt;"",$H111&lt;&gt;$AH111,IFERROR(VLOOKUP($H111,areaCercaPuntiClassificaSquadra,3,FALSE),-1)=IFERROR(VLOOKUP($AH111,areaCercaPuntiClassificaSquadra,3,FALSE),-2)),SUMIFS(Dati!$D$2:$D$451,Dati!$A$2:$A$451,$H111,Dati!$H$2:$H$451,$AH111)+SUMIFS(Dati!$K$2:$K$451,Dati!$H$2:$H$451,$H111,Dati!$A$2:$A$451,$AH111)+SUMIFS(Dati!$C$2:$C$451,Dati!$A$2:$A$451,$H111,Dati!$H$2:$H$451,$AH111)+SUMIFS(Dati!$J$2:$J$451,Dati!$H$2:$H$451,$H111,Dati!$A$2:$A$451,$AH111),"-")</f>
        <v/>
      </c>
      <c r="BH111" s="21">
        <f>$C111</f>
        <v/>
      </c>
      <c r="BI111" s="22">
        <f>IF(AND($H111&lt;&gt;"",$Y111&lt;&gt;"",$H111&lt;&gt;$Y111,IFERROR(VLOOKUP($H111,areaCercaPuntiClassificaSquadra,3,FALSE),-1)=IFERROR(VLOOKUP($Y111,areaCercaPuntiClassificaSquadra,3,FALSE),-2)),SUMIFS(Dati!$E$2:$E$451,Dati!$A$2:$A$451,$H111,Dati!$H$2:$H$451,$Y111)+SUMIFS(Dati!$L$2:$L$451,Dati!$H$2:$H$451,$H111,Dati!$A$2:$A$451,$Y111),"-")</f>
        <v/>
      </c>
      <c r="BJ111" s="22">
        <f>IF(AND($H111&lt;&gt;"",$Z111&lt;&gt;"",$H111&lt;&gt;$Z111,IFERROR(VLOOKUP($H111,areaCercaPuntiClassificaSquadra,3,FALSE),-1)=IFERROR(VLOOKUP($Z111,areaCercaPuntiClassificaSquadra,3,FALSE),-2)),SUMIFS(Dati!$E$2:$E$451,Dati!$A$2:$A$451,$H111,Dati!$H$2:$H$451,$Z111)+SUMIFS(Dati!$L$2:$L$451,Dati!$H$2:$H$451,$H111,Dati!$A$2:$A$451,$Z111),"-")</f>
        <v/>
      </c>
      <c r="BK111" s="22">
        <f>IF(AND($H111&lt;&gt;"",$AA111&lt;&gt;"",$H111&lt;&gt;$AA111,IFERROR(VLOOKUP($H111,areaCercaPuntiClassificaSquadra,3,FALSE),-1)=IFERROR(VLOOKUP($AA111,areaCercaPuntiClassificaSquadra,3,FALSE),-2)),SUMIFS(Dati!$E$2:$E$451,Dati!$A$2:$A$451,$H111,Dati!$H$2:$H$451,$AA111)+SUMIFS(Dati!$L$2:$L$451,Dati!$H$2:$H$451,$H111,Dati!$A$2:$A$451,$AA111),"-")</f>
        <v/>
      </c>
      <c r="BL111" s="22">
        <f>IF(AND($H111&lt;&gt;"",$AB111&lt;&gt;"",$H111&lt;&gt;$AB111,IFERROR(VLOOKUP($H111,areaCercaPuntiClassificaSquadra,3,FALSE),-1)=IFERROR(VLOOKUP($AB111,areaCercaPuntiClassificaSquadra,3,FALSE),-2)),SUMIFS(Dati!$E$2:$E$451,Dati!$A$2:$A$451,$H111,Dati!$H$2:$H$451,$AB111)+SUMIFS(Dati!$L$2:$L$451,Dati!$H$2:$H$451,$H111,Dati!$A$2:$A$451,$AB111),"-")</f>
        <v/>
      </c>
      <c r="BM111" s="22">
        <f>IF(AND($H111&lt;&gt;"",$AC111&lt;&gt;"",$H111&lt;&gt;$AC111,IFERROR(VLOOKUP($H111,areaCercaPuntiClassificaSquadra,3,FALSE),-1)=IFERROR(VLOOKUP($AC111,areaCercaPuntiClassificaSquadra,3,FALSE),-2)),SUMIFS(Dati!$E$2:$E$451,Dati!$A$2:$A$451,$H111,Dati!$H$2:$H$451,$AC111)+SUMIFS(Dati!$L$2:$L$451,Dati!$H$2:$H$451,$H111,Dati!$A$2:$A$451,$AC111),"-")</f>
        <v/>
      </c>
      <c r="BN111" s="22">
        <f>IF(AND($H111&lt;&gt;"",$AD111&lt;&gt;"",$H111&lt;&gt;$AD111,IFERROR(VLOOKUP($H111,areaCercaPuntiClassificaSquadra,3,FALSE),-1)=IFERROR(VLOOKUP($AD111,areaCercaPuntiClassificaSquadra,3,FALSE),-2)),SUMIFS(Dati!$E$2:$E$451,Dati!$A$2:$A$451,$H111,Dati!$H$2:$H$451,$AD111)+SUMIFS(Dati!$L$2:$L$451,Dati!$H$2:$H$451,$H111,Dati!$A$2:$A$451,$AD111),"-")</f>
        <v/>
      </c>
      <c r="BO111" s="22">
        <f>IF(AND($H111&lt;&gt;"",$AE111&lt;&gt;"",$H111&lt;&gt;$AE111,IFERROR(VLOOKUP($H111,areaCercaPuntiClassificaSquadra,3,FALSE),-1)=IFERROR(VLOOKUP($AE111,areaCercaPuntiClassificaSquadra,3,FALSE),-2)),SUMIFS(Dati!$E$2:$E$451,Dati!$A$2:$A$451,$H111,Dati!$H$2:$H$451,$AE111)+SUMIFS(Dati!$L$2:$L$451,Dati!$H$2:$H$451,$H111,Dati!$A$2:$A$451,$AE111),"-")</f>
        <v/>
      </c>
      <c r="BP111" s="22">
        <f>IF(AND($H111&lt;&gt;"",$AF111&lt;&gt;"",$H111&lt;&gt;$AF111,IFERROR(VLOOKUP($H111,areaCercaPuntiClassificaSquadra,3,FALSE),-1)=IFERROR(VLOOKUP($AF111,areaCercaPuntiClassificaSquadra,3,FALSE),-2)),SUMIFS(Dati!$E$2:$E$451,Dati!$A$2:$A$451,$H111,Dati!$H$2:$H$451,$AF111)+SUMIFS(Dati!$L$2:$L$451,Dati!$H$2:$H$451,$H111,Dati!$A$2:$A$451,$AF111),"-")</f>
        <v/>
      </c>
      <c r="BQ111" s="22">
        <f>IF(AND($H111&lt;&gt;"",$AG111&lt;&gt;"",$H111&lt;&gt;$AG111,IFERROR(VLOOKUP($H111,areaCercaPuntiClassificaSquadra,3,FALSE),-1)=IFERROR(VLOOKUP($AG111,areaCercaPuntiClassificaSquadra,3,FALSE),-2)),SUMIFS(Dati!$E$2:$E$451,Dati!$A$2:$A$451,$H111,Dati!$H$2:$H$451,$AG111)+SUMIFS(Dati!$L$2:$L$451,Dati!$H$2:$H$451,$H111,Dati!$A$2:$A$451,$AG111),"-")</f>
        <v/>
      </c>
      <c r="BR111" s="22">
        <f>IF(AND($H111&lt;&gt;"",$AH111&lt;&gt;"",$H111&lt;&gt;$AH111,IFERROR(VLOOKUP($H111,areaCercaPuntiClassificaSquadra,3,FALSE),-1)=IFERROR(VLOOKUP($AH111,areaCercaPuntiClassificaSquadra,3,FALSE),-2)),SUMIFS(Dati!$E$2:$E$451,Dati!$A$2:$A$451,$H111,Dati!$H$2:$H$451,$AH111)+SUMIFS(Dati!$L$2:$L$451,Dati!$H$2:$H$451,$H111,Dati!$A$2:$A$451,$AH111),"-")</f>
        <v/>
      </c>
      <c r="BT111" s="21">
        <f>$C111</f>
        <v/>
      </c>
      <c r="BU111" s="22">
        <f>IF(AND($H111&lt;&gt;"",$Y111&lt;&gt;"",$H111&lt;&gt;$Y111,IFERROR(VLOOKUP($H111,areaCercaPuntiClassificaSquadra,3,FALSE),-1)=IFERROR(VLOOKUP($Y111,areaCercaPuntiClassificaSquadra,3,FALSE),-2)),SUMIFS(Dati!$F$2:$F$451,Dati!$A$2:$A$451,$H111,Dati!$H$2:$H$451,$Y111)+SUMIFS(Dati!$M$2:$M$451,Dati!$H$2:$H$451,$H111,Dati!$A$2:$A$451,$Y111),"-")</f>
        <v/>
      </c>
      <c r="BV111" s="22">
        <f>IF(AND($H111&lt;&gt;"",$Z111&lt;&gt;"",$H111&lt;&gt;$Z111,IFERROR(VLOOKUP($H111,areaCercaPuntiClassificaSquadra,3,FALSE),-1)=IFERROR(VLOOKUP($Z111,areaCercaPuntiClassificaSquadra,3,FALSE),-2)),SUMIFS(Dati!$F$2:$F$451,Dati!$A$2:$A$451,$H111,Dati!$H$2:$H$451,$Z111)+SUMIFS(Dati!$M$2:$M$451,Dati!$H$2:$H$451,$H111,Dati!$A$2:$A$451,$Z111),"-")</f>
        <v/>
      </c>
      <c r="BW111" s="22">
        <f>IF(AND($H111&lt;&gt;"",$AA111&lt;&gt;"",$H111&lt;&gt;$AA111,IFERROR(VLOOKUP($H111,areaCercaPuntiClassificaSquadra,3,FALSE),-1)=IFERROR(VLOOKUP($AA111,areaCercaPuntiClassificaSquadra,3,FALSE),-2)),SUMIFS(Dati!$F$2:$F$451,Dati!$A$2:$A$451,$H111,Dati!$H$2:$H$451,$AA111)+SUMIFS(Dati!$M$2:$M$451,Dati!$H$2:$H$451,$H111,Dati!$A$2:$A$451,$AA111),"-")</f>
        <v/>
      </c>
      <c r="BX111" s="22">
        <f>IF(AND($H111&lt;&gt;"",$AB111&lt;&gt;"",$H111&lt;&gt;$AB111,IFERROR(VLOOKUP($H111,areaCercaPuntiClassificaSquadra,3,FALSE),-1)=IFERROR(VLOOKUP($AB111,areaCercaPuntiClassificaSquadra,3,FALSE),-2)),SUMIFS(Dati!$F$2:$F$451,Dati!$A$2:$A$451,$H111,Dati!$H$2:$H$451,$AB111)+SUMIFS(Dati!$M$2:$M$451,Dati!$H$2:$H$451,$H111,Dati!$A$2:$A$451,$AB111),"-")</f>
        <v/>
      </c>
      <c r="BY111" s="22">
        <f>IF(AND($H111&lt;&gt;"",$AC111&lt;&gt;"",$H111&lt;&gt;$AC111,IFERROR(VLOOKUP($H111,areaCercaPuntiClassificaSquadra,3,FALSE),-1)=IFERROR(VLOOKUP($AC111,areaCercaPuntiClassificaSquadra,3,FALSE),-2)),SUMIFS(Dati!$F$2:$F$451,Dati!$A$2:$A$451,$H111,Dati!$H$2:$H$451,$AC111)+SUMIFS(Dati!$M$2:$M$451,Dati!$H$2:$H$451,$H111,Dati!$A$2:$A$451,$AC111),"-")</f>
        <v/>
      </c>
      <c r="BZ111" s="22">
        <f>IF(AND($H111&lt;&gt;"",$AD111&lt;&gt;"",$H111&lt;&gt;$AD111,IFERROR(VLOOKUP($H111,areaCercaPuntiClassificaSquadra,3,FALSE),-1)=IFERROR(VLOOKUP($AD111,areaCercaPuntiClassificaSquadra,3,FALSE),-2)),SUMIFS(Dati!$F$2:$F$451,Dati!$A$2:$A$451,$H111,Dati!$H$2:$H$451,$AD111)+SUMIFS(Dati!$M$2:$M$451,Dati!$H$2:$H$451,$H111,Dati!$A$2:$A$451,$AD111),"-")</f>
        <v/>
      </c>
      <c r="CA111" s="22">
        <f>IF(AND($H111&lt;&gt;"",$AE111&lt;&gt;"",$H111&lt;&gt;$AE111,IFERROR(VLOOKUP($H111,areaCercaPuntiClassificaSquadra,3,FALSE),-1)=IFERROR(VLOOKUP($AE111,areaCercaPuntiClassificaSquadra,3,FALSE),-2)),SUMIFS(Dati!$F$2:$F$451,Dati!$A$2:$A$451,$H111,Dati!$H$2:$H$451,$AE111)+SUMIFS(Dati!$M$2:$M$451,Dati!$H$2:$H$451,$H111,Dati!$A$2:$A$451,$AE111),"-")</f>
        <v/>
      </c>
      <c r="CB111" s="22">
        <f>IF(AND($H111&lt;&gt;"",$AF111&lt;&gt;"",$H111&lt;&gt;$AF111,IFERROR(VLOOKUP($H111,areaCercaPuntiClassificaSquadra,3,FALSE),-1)=IFERROR(VLOOKUP($AF111,areaCercaPuntiClassificaSquadra,3,FALSE),-2)),SUMIFS(Dati!$F$2:$F$451,Dati!$A$2:$A$451,$H111,Dati!$H$2:$H$451,$AF111)+SUMIFS(Dati!$M$2:$M$451,Dati!$H$2:$H$451,$H111,Dati!$A$2:$A$451,$AF111),"-")</f>
        <v/>
      </c>
      <c r="CC111" s="22">
        <f>IF(AND($H111&lt;&gt;"",$AG111&lt;&gt;"",$H111&lt;&gt;$AG111,IFERROR(VLOOKUP($H111,areaCercaPuntiClassificaSquadra,3,FALSE),-1)=IFERROR(VLOOKUP($AG111,areaCercaPuntiClassificaSquadra,3,FALSE),-2)),SUMIFS(Dati!$F$2:$F$451,Dati!$A$2:$A$451,$H111,Dati!$H$2:$H$451,$AG111)+SUMIFS(Dati!$M$2:$M$451,Dati!$H$2:$H$451,$H111,Dati!$A$2:$A$451,$AG111),"-")</f>
        <v/>
      </c>
      <c r="CD111" s="22">
        <f>IF(AND($H111&lt;&gt;"",$AH111&lt;&gt;"",$H111&lt;&gt;$AH111,IFERROR(VLOOKUP($H111,areaCercaPuntiClassificaSquadra,3,FALSE),-1)=IFERROR(VLOOKUP($AH111,areaCercaPuntiClassificaSquadra,3,FALSE),-2)),SUMIFS(Dati!$F$2:$F$451,Dati!$A$2:$A$451,$H111,Dati!$H$2:$H$451,$AH111)+SUMIFS(Dati!$M$2:$M$451,Dati!$H$2:$H$451,$H111,Dati!$A$2:$A$451,$AH111),"-")</f>
        <v/>
      </c>
      <c r="CF111" s="22">
        <f>IF($C111="","",SUM(AK111:AT111))</f>
        <v/>
      </c>
    </row>
    <row r="112">
      <c r="B112" s="12" t="inlineStr">
        <is>
          <t>J09</t>
        </is>
      </c>
      <c r="C112" s="13" t="n"/>
      <c r="D112" s="14" t="n"/>
      <c r="E112" s="39" t="inlineStr">
        <is>
          <t>J</t>
        </is>
      </c>
      <c r="G112" s="40">
        <f>IF($C112="","",$E112&amp;(COUNTIFS(I$14:I$113,"&gt;"&amp;I112,E$14:E$113,"="&amp;E112,C$14:C$113,"&lt;&gt;")+COUNTIFS(I$14:I$113,"="&amp;I112,H$14:H$113,"&lt;="&amp;H112,E$14:E$113,"="&amp;E112,C$14:C$113,"&lt;&gt;")))</f>
        <v/>
      </c>
      <c r="H112" s="17">
        <f>IF($C112="","",IFERROR(LEFT($C112,FIND("-",$C112)-1),$C112))</f>
        <v/>
      </c>
      <c r="I112" s="12">
        <f>TEXT(1000000000+J112,"|0000000000|")&amp;TEXT(SUM(AK112:AT112),"0000000000|")&amp;IF(SUM(BU112:CD112)=0,"0000000000|",TEXT(ROUND(SUM(BI112:BR112)/SUM(BU112:CD112),4)*100000,"0000000000|"))&amp;IF(P112=0,"0000000000|",TEXT(ROUND(O112/P112,4)*100000,"0000000000|"))</f>
        <v/>
      </c>
      <c r="J112" s="40">
        <f>L112*constPuntiVittoria+M112*constPuntiSconfitta+N112*constPuntiForfait+IF(D112="",0,D112)</f>
        <v/>
      </c>
      <c r="K112" s="12">
        <f>SUM(L112:N112)</f>
        <v/>
      </c>
      <c r="L112" s="12">
        <f>IF($H112="",0,SUMIF(Dati!$A$2:$A$451,$H112,Dati!$B$2:$B$451)+SUMIF(Dati!$H$2:$H$451,$H112,Dati!$I$2:$I$451))</f>
        <v/>
      </c>
      <c r="M112" s="12">
        <f>IF($H112="",0,SUMIF(Dati!$A$2:$A$451,$H112,Dati!$D$2:$D$451)+SUMIF(Dati!$H$2:$H$451,$H112,Dati!$K$2:$K$451))</f>
        <v/>
      </c>
      <c r="N112" s="12">
        <f>IF($H112="",0,SUMIF(Dati!$A$2:$A$451,$H112,Dati!$C$2:$C$451)+SUMIF(Dati!$H$2:$H$451,$H112,Dati!$J$2:$J$451))</f>
        <v/>
      </c>
      <c r="O112" s="12">
        <f>IF($H112="",0,SUMIF(Dati!$A$2:$A$451,$H112,Dati!$E$2:$E$451)+SUMIF(Dati!$H$2:$H$451,$H112,Dati!$L$2:$L$451))</f>
        <v/>
      </c>
      <c r="P112" s="12">
        <f>IF($H112="",0,SUMIF(Dati!$A$2:$A$451,$H112,Dati!$F$2:$F$451)+SUMIF(Dati!$H$2:$H$451,$H112,Dati!$M$2:$M$451))</f>
        <v/>
      </c>
      <c r="Q112" s="12">
        <f>IF($H112="",0,SUMIF(Dati!$A$2:$A$451,$H112,Dati!$G$2:$G$451)+SUMIF(Dati!$H$2:$H$451,$H112,Dati!$N$2:$N$451))</f>
        <v/>
      </c>
      <c r="R112" s="12">
        <f>IF(K112=0,0,ROUND(O112/K112,2))</f>
        <v/>
      </c>
      <c r="S112" s="12">
        <f>IF(K112=0,0,ROUND(P112/K112,2))</f>
        <v/>
      </c>
      <c r="T112" s="12">
        <f>IF(K112=0,0,ROUND(Q112/K112,2))</f>
        <v/>
      </c>
      <c r="U112" s="12">
        <f>IF(COUNTIFS($E$14:$E$113,$E112,$J$14:$J$113,$J112,$C$14:$C$113,"&lt;&gt;")&lt;=1,"-",SUM(AK112:AT112)&amp;"-"&amp;SUM(AW112:BF112))</f>
        <v/>
      </c>
      <c r="V112" s="18">
        <f>IF(COUNTIFS($E$14:$E$113,$E112,$J$14:$J$113,$J112,$C$14:$C$113,"&lt;&gt;",$CF$14:$CF$113,$CF112)&lt;=1,"-",IF(SUM(BU112:CD112)=0,0,ROUND(SUM(BI112:BR112)/SUM(BU112:CD112),3)))</f>
        <v/>
      </c>
      <c r="W112" s="18">
        <f>IF(COUNTIFS($E$14:$E$113,$E112,$J$14:$J$113,$J112,$C$14:$C$113,"&lt;&gt;",$CF$14:$CF$113,$CF112,$V$14:$V$113,$V112)&lt;=1,"-",IF(P112=0,0,ROUND(O112/P112,3)))</f>
        <v/>
      </c>
      <c r="X112" s="19">
        <f>IF($C112="","",$E112&amp;"#"&amp;COUNTIFS($E$14:$E112,$E112,$C$14:$C112,"&lt;&gt;"))</f>
        <v/>
      </c>
      <c r="Y112" s="20">
        <f>IFERROR(INDEX($H$14:$H$113,MATCH($E112&amp;"#1",$X$14:$X$113,0)),"")</f>
        <v/>
      </c>
      <c r="Z112" s="20">
        <f>IFERROR(INDEX($H$14:$H$113,MATCH($E112&amp;"#2",$X$14:$X$113,0)),"")</f>
        <v/>
      </c>
      <c r="AA112" s="20">
        <f>IFERROR(INDEX($H$14:$H$113,MATCH($E112&amp;"#3",$X$14:$X$113,0)),"")</f>
        <v/>
      </c>
      <c r="AB112" s="20">
        <f>IFERROR(INDEX($H$14:$H$113,MATCH($E112&amp;"#4",$X$14:$X$113,0)),"")</f>
        <v/>
      </c>
      <c r="AC112" s="20">
        <f>IFERROR(INDEX($H$14:$H$113,MATCH($E112&amp;"#5",$X$14:$X$113,0)),"")</f>
        <v/>
      </c>
      <c r="AD112" s="20">
        <f>IFERROR(INDEX($H$14:$H$113,MATCH($E112&amp;"#6",$X$14:$X$113,0)),"")</f>
        <v/>
      </c>
      <c r="AE112" s="20">
        <f>IFERROR(INDEX($H$14:$H$113,MATCH($E112&amp;"#7",$X$14:$X$113,0)),"")</f>
        <v/>
      </c>
      <c r="AF112" s="20">
        <f>IFERROR(INDEX($H$14:$H$113,MATCH($E112&amp;"#8",$X$14:$X$113,0)),"")</f>
        <v/>
      </c>
      <c r="AG112" s="20">
        <f>IFERROR(INDEX($H$14:$H$113,MATCH($E112&amp;"#9",$X$14:$X$113,0)),"")</f>
        <v/>
      </c>
      <c r="AH112" s="20">
        <f>IFERROR(INDEX($H$14:$H$113,MATCH($E112&amp;"#10",$X$14:$X$113,0)),"")</f>
        <v/>
      </c>
      <c r="AJ112" s="21">
        <f>$C112</f>
        <v/>
      </c>
      <c r="AK112" s="22">
        <f>IF(AND($H112&lt;&gt;"",$Y112&lt;&gt;"",$H112&lt;&gt;$Y112,IFERROR(VLOOKUP($H112,areaCercaPuntiClassificaSquadra,3,FALSE),-1)=IFERROR(VLOOKUP($Y112,areaCercaPuntiClassificaSquadra,3,FALSE),-2)),SUMIFS(Dati!$B$2:$B$451,Dati!$A$2:$A$451,$H112,Dati!$H$2:$H$451,$Y112)+SUMIFS(Dati!$I$2:$I$451,Dati!$H$2:$H$451,$H112,Dati!$A$2:$A$451,$Y112),"-")</f>
        <v/>
      </c>
      <c r="AL112" s="22">
        <f>IF(AND($H112&lt;&gt;"",$Z112&lt;&gt;"",$H112&lt;&gt;$Z112,IFERROR(VLOOKUP($H112,areaCercaPuntiClassificaSquadra,3,FALSE),-1)=IFERROR(VLOOKUP($Z112,areaCercaPuntiClassificaSquadra,3,FALSE),-2)),SUMIFS(Dati!$B$2:$B$451,Dati!$A$2:$A$451,$H112,Dati!$H$2:$H$451,$Z112)+SUMIFS(Dati!$I$2:$I$451,Dati!$H$2:$H$451,$H112,Dati!$A$2:$A$451,$Z112),"-")</f>
        <v/>
      </c>
      <c r="AM112" s="22">
        <f>IF(AND($H112&lt;&gt;"",$AA112&lt;&gt;"",$H112&lt;&gt;$AA112,IFERROR(VLOOKUP($H112,areaCercaPuntiClassificaSquadra,3,FALSE),-1)=IFERROR(VLOOKUP($AA112,areaCercaPuntiClassificaSquadra,3,FALSE),-2)),SUMIFS(Dati!$B$2:$B$451,Dati!$A$2:$A$451,$H112,Dati!$H$2:$H$451,$AA112)+SUMIFS(Dati!$I$2:$I$451,Dati!$H$2:$H$451,$H112,Dati!$A$2:$A$451,$AA112),"-")</f>
        <v/>
      </c>
      <c r="AN112" s="22">
        <f>IF(AND($H112&lt;&gt;"",$AB112&lt;&gt;"",$H112&lt;&gt;$AB112,IFERROR(VLOOKUP($H112,areaCercaPuntiClassificaSquadra,3,FALSE),-1)=IFERROR(VLOOKUP($AB112,areaCercaPuntiClassificaSquadra,3,FALSE),-2)),SUMIFS(Dati!$B$2:$B$451,Dati!$A$2:$A$451,$H112,Dati!$H$2:$H$451,$AB112)+SUMIFS(Dati!$I$2:$I$451,Dati!$H$2:$H$451,$H112,Dati!$A$2:$A$451,$AB112),"-")</f>
        <v/>
      </c>
      <c r="AO112" s="22">
        <f>IF(AND($H112&lt;&gt;"",$AC112&lt;&gt;"",$H112&lt;&gt;$AC112,IFERROR(VLOOKUP($H112,areaCercaPuntiClassificaSquadra,3,FALSE),-1)=IFERROR(VLOOKUP($AC112,areaCercaPuntiClassificaSquadra,3,FALSE),-2)),SUMIFS(Dati!$B$2:$B$451,Dati!$A$2:$A$451,$H112,Dati!$H$2:$H$451,$AC112)+SUMIFS(Dati!$I$2:$I$451,Dati!$H$2:$H$451,$H112,Dati!$A$2:$A$451,$AC112),"-")</f>
        <v/>
      </c>
      <c r="AP112" s="22">
        <f>IF(AND($H112&lt;&gt;"",$AD112&lt;&gt;"",$H112&lt;&gt;$AD112,IFERROR(VLOOKUP($H112,areaCercaPuntiClassificaSquadra,3,FALSE),-1)=IFERROR(VLOOKUP($AD112,areaCercaPuntiClassificaSquadra,3,FALSE),-2)),SUMIFS(Dati!$B$2:$B$451,Dati!$A$2:$A$451,$H112,Dati!$H$2:$H$451,$AD112)+SUMIFS(Dati!$I$2:$I$451,Dati!$H$2:$H$451,$H112,Dati!$A$2:$A$451,$AD112),"-")</f>
        <v/>
      </c>
      <c r="AQ112" s="22">
        <f>IF(AND($H112&lt;&gt;"",$AE112&lt;&gt;"",$H112&lt;&gt;$AE112,IFERROR(VLOOKUP($H112,areaCercaPuntiClassificaSquadra,3,FALSE),-1)=IFERROR(VLOOKUP($AE112,areaCercaPuntiClassificaSquadra,3,FALSE),-2)),SUMIFS(Dati!$B$2:$B$451,Dati!$A$2:$A$451,$H112,Dati!$H$2:$H$451,$AE112)+SUMIFS(Dati!$I$2:$I$451,Dati!$H$2:$H$451,$H112,Dati!$A$2:$A$451,$AE112),"-")</f>
        <v/>
      </c>
      <c r="AR112" s="22">
        <f>IF(AND($H112&lt;&gt;"",$AF112&lt;&gt;"",$H112&lt;&gt;$AF112,IFERROR(VLOOKUP($H112,areaCercaPuntiClassificaSquadra,3,FALSE),-1)=IFERROR(VLOOKUP($AF112,areaCercaPuntiClassificaSquadra,3,FALSE),-2)),SUMIFS(Dati!$B$2:$B$451,Dati!$A$2:$A$451,$H112,Dati!$H$2:$H$451,$AF112)+SUMIFS(Dati!$I$2:$I$451,Dati!$H$2:$H$451,$H112,Dati!$A$2:$A$451,$AF112),"-")</f>
        <v/>
      </c>
      <c r="AS112" s="22">
        <f>IF(AND($H112&lt;&gt;"",$AG112&lt;&gt;"",$H112&lt;&gt;$AG112,IFERROR(VLOOKUP($H112,areaCercaPuntiClassificaSquadra,3,FALSE),-1)=IFERROR(VLOOKUP($AG112,areaCercaPuntiClassificaSquadra,3,FALSE),-2)),SUMIFS(Dati!$B$2:$B$451,Dati!$A$2:$A$451,$H112,Dati!$H$2:$H$451,$AG112)+SUMIFS(Dati!$I$2:$I$451,Dati!$H$2:$H$451,$H112,Dati!$A$2:$A$451,$AG112),"-")</f>
        <v/>
      </c>
      <c r="AT112" s="22">
        <f>IF(AND($H112&lt;&gt;"",$AH112&lt;&gt;"",$H112&lt;&gt;$AH112,IFERROR(VLOOKUP($H112,areaCercaPuntiClassificaSquadra,3,FALSE),-1)=IFERROR(VLOOKUP($AH112,areaCercaPuntiClassificaSquadra,3,FALSE),-2)),SUMIFS(Dati!$B$2:$B$451,Dati!$A$2:$A$451,$H112,Dati!$H$2:$H$451,$AH112)+SUMIFS(Dati!$I$2:$I$451,Dati!$H$2:$H$451,$H112,Dati!$A$2:$A$451,$AH112),"-")</f>
        <v/>
      </c>
      <c r="AV112" s="21">
        <f>$C112</f>
        <v/>
      </c>
      <c r="AW112" s="22">
        <f>IF(AND($H112&lt;&gt;"",$Y112&lt;&gt;"",$H112&lt;&gt;$Y112,IFERROR(VLOOKUP($H112,areaCercaPuntiClassificaSquadra,3,FALSE),-1)=IFERROR(VLOOKUP($Y112,areaCercaPuntiClassificaSquadra,3,FALSE),-2)),SUMIFS(Dati!$D$2:$D$451,Dati!$A$2:$A$451,$H112,Dati!$H$2:$H$451,$Y112)+SUMIFS(Dati!$K$2:$K$451,Dati!$H$2:$H$451,$H112,Dati!$A$2:$A$451,$Y112)+SUMIFS(Dati!$C$2:$C$451,Dati!$A$2:$A$451,$H112,Dati!$H$2:$H$451,$Y112)+SUMIFS(Dati!$J$2:$J$451,Dati!$H$2:$H$451,$H112,Dati!$A$2:$A$451,$Y112),"-")</f>
        <v/>
      </c>
      <c r="AX112" s="22">
        <f>IF(AND($H112&lt;&gt;"",$Z112&lt;&gt;"",$H112&lt;&gt;$Z112,IFERROR(VLOOKUP($H112,areaCercaPuntiClassificaSquadra,3,FALSE),-1)=IFERROR(VLOOKUP($Z112,areaCercaPuntiClassificaSquadra,3,FALSE),-2)),SUMIFS(Dati!$D$2:$D$451,Dati!$A$2:$A$451,$H112,Dati!$H$2:$H$451,$Z112)+SUMIFS(Dati!$K$2:$K$451,Dati!$H$2:$H$451,$H112,Dati!$A$2:$A$451,$Z112)+SUMIFS(Dati!$C$2:$C$451,Dati!$A$2:$A$451,$H112,Dati!$H$2:$H$451,$Z112)+SUMIFS(Dati!$J$2:$J$451,Dati!$H$2:$H$451,$H112,Dati!$A$2:$A$451,$Z112),"-")</f>
        <v/>
      </c>
      <c r="AY112" s="22">
        <f>IF(AND($H112&lt;&gt;"",$AA112&lt;&gt;"",$H112&lt;&gt;$AA112,IFERROR(VLOOKUP($H112,areaCercaPuntiClassificaSquadra,3,FALSE),-1)=IFERROR(VLOOKUP($AA112,areaCercaPuntiClassificaSquadra,3,FALSE),-2)),SUMIFS(Dati!$D$2:$D$451,Dati!$A$2:$A$451,$H112,Dati!$H$2:$H$451,$AA112)+SUMIFS(Dati!$K$2:$K$451,Dati!$H$2:$H$451,$H112,Dati!$A$2:$A$451,$AA112)+SUMIFS(Dati!$C$2:$C$451,Dati!$A$2:$A$451,$H112,Dati!$H$2:$H$451,$AA112)+SUMIFS(Dati!$J$2:$J$451,Dati!$H$2:$H$451,$H112,Dati!$A$2:$A$451,$AA112),"-")</f>
        <v/>
      </c>
      <c r="AZ112" s="22">
        <f>IF(AND($H112&lt;&gt;"",$AB112&lt;&gt;"",$H112&lt;&gt;$AB112,IFERROR(VLOOKUP($H112,areaCercaPuntiClassificaSquadra,3,FALSE),-1)=IFERROR(VLOOKUP($AB112,areaCercaPuntiClassificaSquadra,3,FALSE),-2)),SUMIFS(Dati!$D$2:$D$451,Dati!$A$2:$A$451,$H112,Dati!$H$2:$H$451,$AB112)+SUMIFS(Dati!$K$2:$K$451,Dati!$H$2:$H$451,$H112,Dati!$A$2:$A$451,$AB112)+SUMIFS(Dati!$C$2:$C$451,Dati!$A$2:$A$451,$H112,Dati!$H$2:$H$451,$AB112)+SUMIFS(Dati!$J$2:$J$451,Dati!$H$2:$H$451,$H112,Dati!$A$2:$A$451,$AB112),"-")</f>
        <v/>
      </c>
      <c r="BA112" s="22">
        <f>IF(AND($H112&lt;&gt;"",$AC112&lt;&gt;"",$H112&lt;&gt;$AC112,IFERROR(VLOOKUP($H112,areaCercaPuntiClassificaSquadra,3,FALSE),-1)=IFERROR(VLOOKUP($AC112,areaCercaPuntiClassificaSquadra,3,FALSE),-2)),SUMIFS(Dati!$D$2:$D$451,Dati!$A$2:$A$451,$H112,Dati!$H$2:$H$451,$AC112)+SUMIFS(Dati!$K$2:$K$451,Dati!$H$2:$H$451,$H112,Dati!$A$2:$A$451,$AC112)+SUMIFS(Dati!$C$2:$C$451,Dati!$A$2:$A$451,$H112,Dati!$H$2:$H$451,$AC112)+SUMIFS(Dati!$J$2:$J$451,Dati!$H$2:$H$451,$H112,Dati!$A$2:$A$451,$AC112),"-")</f>
        <v/>
      </c>
      <c r="BB112" s="22">
        <f>IF(AND($H112&lt;&gt;"",$AD112&lt;&gt;"",$H112&lt;&gt;$AD112,IFERROR(VLOOKUP($H112,areaCercaPuntiClassificaSquadra,3,FALSE),-1)=IFERROR(VLOOKUP($AD112,areaCercaPuntiClassificaSquadra,3,FALSE),-2)),SUMIFS(Dati!$D$2:$D$451,Dati!$A$2:$A$451,$H112,Dati!$H$2:$H$451,$AD112)+SUMIFS(Dati!$K$2:$K$451,Dati!$H$2:$H$451,$H112,Dati!$A$2:$A$451,$AD112)+SUMIFS(Dati!$C$2:$C$451,Dati!$A$2:$A$451,$H112,Dati!$H$2:$H$451,$AD112)+SUMIFS(Dati!$J$2:$J$451,Dati!$H$2:$H$451,$H112,Dati!$A$2:$A$451,$AD112),"-")</f>
        <v/>
      </c>
      <c r="BC112" s="22">
        <f>IF(AND($H112&lt;&gt;"",$AE112&lt;&gt;"",$H112&lt;&gt;$AE112,IFERROR(VLOOKUP($H112,areaCercaPuntiClassificaSquadra,3,FALSE),-1)=IFERROR(VLOOKUP($AE112,areaCercaPuntiClassificaSquadra,3,FALSE),-2)),SUMIFS(Dati!$D$2:$D$451,Dati!$A$2:$A$451,$H112,Dati!$H$2:$H$451,$AE112)+SUMIFS(Dati!$K$2:$K$451,Dati!$H$2:$H$451,$H112,Dati!$A$2:$A$451,$AE112)+SUMIFS(Dati!$C$2:$C$451,Dati!$A$2:$A$451,$H112,Dati!$H$2:$H$451,$AE112)+SUMIFS(Dati!$J$2:$J$451,Dati!$H$2:$H$451,$H112,Dati!$A$2:$A$451,$AE112),"-")</f>
        <v/>
      </c>
      <c r="BD112" s="22">
        <f>IF(AND($H112&lt;&gt;"",$AF112&lt;&gt;"",$H112&lt;&gt;$AF112,IFERROR(VLOOKUP($H112,areaCercaPuntiClassificaSquadra,3,FALSE),-1)=IFERROR(VLOOKUP($AF112,areaCercaPuntiClassificaSquadra,3,FALSE),-2)),SUMIFS(Dati!$D$2:$D$451,Dati!$A$2:$A$451,$H112,Dati!$H$2:$H$451,$AF112)+SUMIFS(Dati!$K$2:$K$451,Dati!$H$2:$H$451,$H112,Dati!$A$2:$A$451,$AF112)+SUMIFS(Dati!$C$2:$C$451,Dati!$A$2:$A$451,$H112,Dati!$H$2:$H$451,$AF112)+SUMIFS(Dati!$J$2:$J$451,Dati!$H$2:$H$451,$H112,Dati!$A$2:$A$451,$AF112),"-")</f>
        <v/>
      </c>
      <c r="BE112" s="22">
        <f>IF(AND($H112&lt;&gt;"",$AG112&lt;&gt;"",$H112&lt;&gt;$AG112,IFERROR(VLOOKUP($H112,areaCercaPuntiClassificaSquadra,3,FALSE),-1)=IFERROR(VLOOKUP($AG112,areaCercaPuntiClassificaSquadra,3,FALSE),-2)),SUMIFS(Dati!$D$2:$D$451,Dati!$A$2:$A$451,$H112,Dati!$H$2:$H$451,$AG112)+SUMIFS(Dati!$K$2:$K$451,Dati!$H$2:$H$451,$H112,Dati!$A$2:$A$451,$AG112)+SUMIFS(Dati!$C$2:$C$451,Dati!$A$2:$A$451,$H112,Dati!$H$2:$H$451,$AG112)+SUMIFS(Dati!$J$2:$J$451,Dati!$H$2:$H$451,$H112,Dati!$A$2:$A$451,$AG112),"-")</f>
        <v/>
      </c>
      <c r="BF112" s="22">
        <f>IF(AND($H112&lt;&gt;"",$AH112&lt;&gt;"",$H112&lt;&gt;$AH112,IFERROR(VLOOKUP($H112,areaCercaPuntiClassificaSquadra,3,FALSE),-1)=IFERROR(VLOOKUP($AH112,areaCercaPuntiClassificaSquadra,3,FALSE),-2)),SUMIFS(Dati!$D$2:$D$451,Dati!$A$2:$A$451,$H112,Dati!$H$2:$H$451,$AH112)+SUMIFS(Dati!$K$2:$K$451,Dati!$H$2:$H$451,$H112,Dati!$A$2:$A$451,$AH112)+SUMIFS(Dati!$C$2:$C$451,Dati!$A$2:$A$451,$H112,Dati!$H$2:$H$451,$AH112)+SUMIFS(Dati!$J$2:$J$451,Dati!$H$2:$H$451,$H112,Dati!$A$2:$A$451,$AH112),"-")</f>
        <v/>
      </c>
      <c r="BH112" s="21">
        <f>$C112</f>
        <v/>
      </c>
      <c r="BI112" s="22">
        <f>IF(AND($H112&lt;&gt;"",$Y112&lt;&gt;"",$H112&lt;&gt;$Y112,IFERROR(VLOOKUP($H112,areaCercaPuntiClassificaSquadra,3,FALSE),-1)=IFERROR(VLOOKUP($Y112,areaCercaPuntiClassificaSquadra,3,FALSE),-2)),SUMIFS(Dati!$E$2:$E$451,Dati!$A$2:$A$451,$H112,Dati!$H$2:$H$451,$Y112)+SUMIFS(Dati!$L$2:$L$451,Dati!$H$2:$H$451,$H112,Dati!$A$2:$A$451,$Y112),"-")</f>
        <v/>
      </c>
      <c r="BJ112" s="22">
        <f>IF(AND($H112&lt;&gt;"",$Z112&lt;&gt;"",$H112&lt;&gt;$Z112,IFERROR(VLOOKUP($H112,areaCercaPuntiClassificaSquadra,3,FALSE),-1)=IFERROR(VLOOKUP($Z112,areaCercaPuntiClassificaSquadra,3,FALSE),-2)),SUMIFS(Dati!$E$2:$E$451,Dati!$A$2:$A$451,$H112,Dati!$H$2:$H$451,$Z112)+SUMIFS(Dati!$L$2:$L$451,Dati!$H$2:$H$451,$H112,Dati!$A$2:$A$451,$Z112),"-")</f>
        <v/>
      </c>
      <c r="BK112" s="22">
        <f>IF(AND($H112&lt;&gt;"",$AA112&lt;&gt;"",$H112&lt;&gt;$AA112,IFERROR(VLOOKUP($H112,areaCercaPuntiClassificaSquadra,3,FALSE),-1)=IFERROR(VLOOKUP($AA112,areaCercaPuntiClassificaSquadra,3,FALSE),-2)),SUMIFS(Dati!$E$2:$E$451,Dati!$A$2:$A$451,$H112,Dati!$H$2:$H$451,$AA112)+SUMIFS(Dati!$L$2:$L$451,Dati!$H$2:$H$451,$H112,Dati!$A$2:$A$451,$AA112),"-")</f>
        <v/>
      </c>
      <c r="BL112" s="22">
        <f>IF(AND($H112&lt;&gt;"",$AB112&lt;&gt;"",$H112&lt;&gt;$AB112,IFERROR(VLOOKUP($H112,areaCercaPuntiClassificaSquadra,3,FALSE),-1)=IFERROR(VLOOKUP($AB112,areaCercaPuntiClassificaSquadra,3,FALSE),-2)),SUMIFS(Dati!$E$2:$E$451,Dati!$A$2:$A$451,$H112,Dati!$H$2:$H$451,$AB112)+SUMIFS(Dati!$L$2:$L$451,Dati!$H$2:$H$451,$H112,Dati!$A$2:$A$451,$AB112),"-")</f>
        <v/>
      </c>
      <c r="BM112" s="22">
        <f>IF(AND($H112&lt;&gt;"",$AC112&lt;&gt;"",$H112&lt;&gt;$AC112,IFERROR(VLOOKUP($H112,areaCercaPuntiClassificaSquadra,3,FALSE),-1)=IFERROR(VLOOKUP($AC112,areaCercaPuntiClassificaSquadra,3,FALSE),-2)),SUMIFS(Dati!$E$2:$E$451,Dati!$A$2:$A$451,$H112,Dati!$H$2:$H$451,$AC112)+SUMIFS(Dati!$L$2:$L$451,Dati!$H$2:$H$451,$H112,Dati!$A$2:$A$451,$AC112),"-")</f>
        <v/>
      </c>
      <c r="BN112" s="22">
        <f>IF(AND($H112&lt;&gt;"",$AD112&lt;&gt;"",$H112&lt;&gt;$AD112,IFERROR(VLOOKUP($H112,areaCercaPuntiClassificaSquadra,3,FALSE),-1)=IFERROR(VLOOKUP($AD112,areaCercaPuntiClassificaSquadra,3,FALSE),-2)),SUMIFS(Dati!$E$2:$E$451,Dati!$A$2:$A$451,$H112,Dati!$H$2:$H$451,$AD112)+SUMIFS(Dati!$L$2:$L$451,Dati!$H$2:$H$451,$H112,Dati!$A$2:$A$451,$AD112),"-")</f>
        <v/>
      </c>
      <c r="BO112" s="22">
        <f>IF(AND($H112&lt;&gt;"",$AE112&lt;&gt;"",$H112&lt;&gt;$AE112,IFERROR(VLOOKUP($H112,areaCercaPuntiClassificaSquadra,3,FALSE),-1)=IFERROR(VLOOKUP($AE112,areaCercaPuntiClassificaSquadra,3,FALSE),-2)),SUMIFS(Dati!$E$2:$E$451,Dati!$A$2:$A$451,$H112,Dati!$H$2:$H$451,$AE112)+SUMIFS(Dati!$L$2:$L$451,Dati!$H$2:$H$451,$H112,Dati!$A$2:$A$451,$AE112),"-")</f>
        <v/>
      </c>
      <c r="BP112" s="22">
        <f>IF(AND($H112&lt;&gt;"",$AF112&lt;&gt;"",$H112&lt;&gt;$AF112,IFERROR(VLOOKUP($H112,areaCercaPuntiClassificaSquadra,3,FALSE),-1)=IFERROR(VLOOKUP($AF112,areaCercaPuntiClassificaSquadra,3,FALSE),-2)),SUMIFS(Dati!$E$2:$E$451,Dati!$A$2:$A$451,$H112,Dati!$H$2:$H$451,$AF112)+SUMIFS(Dati!$L$2:$L$451,Dati!$H$2:$H$451,$H112,Dati!$A$2:$A$451,$AF112),"-")</f>
        <v/>
      </c>
      <c r="BQ112" s="22">
        <f>IF(AND($H112&lt;&gt;"",$AG112&lt;&gt;"",$H112&lt;&gt;$AG112,IFERROR(VLOOKUP($H112,areaCercaPuntiClassificaSquadra,3,FALSE),-1)=IFERROR(VLOOKUP($AG112,areaCercaPuntiClassificaSquadra,3,FALSE),-2)),SUMIFS(Dati!$E$2:$E$451,Dati!$A$2:$A$451,$H112,Dati!$H$2:$H$451,$AG112)+SUMIFS(Dati!$L$2:$L$451,Dati!$H$2:$H$451,$H112,Dati!$A$2:$A$451,$AG112),"-")</f>
        <v/>
      </c>
      <c r="BR112" s="22">
        <f>IF(AND($H112&lt;&gt;"",$AH112&lt;&gt;"",$H112&lt;&gt;$AH112,IFERROR(VLOOKUP($H112,areaCercaPuntiClassificaSquadra,3,FALSE),-1)=IFERROR(VLOOKUP($AH112,areaCercaPuntiClassificaSquadra,3,FALSE),-2)),SUMIFS(Dati!$E$2:$E$451,Dati!$A$2:$A$451,$H112,Dati!$H$2:$H$451,$AH112)+SUMIFS(Dati!$L$2:$L$451,Dati!$H$2:$H$451,$H112,Dati!$A$2:$A$451,$AH112),"-")</f>
        <v/>
      </c>
      <c r="BT112" s="21">
        <f>$C112</f>
        <v/>
      </c>
      <c r="BU112" s="22">
        <f>IF(AND($H112&lt;&gt;"",$Y112&lt;&gt;"",$H112&lt;&gt;$Y112,IFERROR(VLOOKUP($H112,areaCercaPuntiClassificaSquadra,3,FALSE),-1)=IFERROR(VLOOKUP($Y112,areaCercaPuntiClassificaSquadra,3,FALSE),-2)),SUMIFS(Dati!$F$2:$F$451,Dati!$A$2:$A$451,$H112,Dati!$H$2:$H$451,$Y112)+SUMIFS(Dati!$M$2:$M$451,Dati!$H$2:$H$451,$H112,Dati!$A$2:$A$451,$Y112),"-")</f>
        <v/>
      </c>
      <c r="BV112" s="22">
        <f>IF(AND($H112&lt;&gt;"",$Z112&lt;&gt;"",$H112&lt;&gt;$Z112,IFERROR(VLOOKUP($H112,areaCercaPuntiClassificaSquadra,3,FALSE),-1)=IFERROR(VLOOKUP($Z112,areaCercaPuntiClassificaSquadra,3,FALSE),-2)),SUMIFS(Dati!$F$2:$F$451,Dati!$A$2:$A$451,$H112,Dati!$H$2:$H$451,$Z112)+SUMIFS(Dati!$M$2:$M$451,Dati!$H$2:$H$451,$H112,Dati!$A$2:$A$451,$Z112),"-")</f>
        <v/>
      </c>
      <c r="BW112" s="22">
        <f>IF(AND($H112&lt;&gt;"",$AA112&lt;&gt;"",$H112&lt;&gt;$AA112,IFERROR(VLOOKUP($H112,areaCercaPuntiClassificaSquadra,3,FALSE),-1)=IFERROR(VLOOKUP($AA112,areaCercaPuntiClassificaSquadra,3,FALSE),-2)),SUMIFS(Dati!$F$2:$F$451,Dati!$A$2:$A$451,$H112,Dati!$H$2:$H$451,$AA112)+SUMIFS(Dati!$M$2:$M$451,Dati!$H$2:$H$451,$H112,Dati!$A$2:$A$451,$AA112),"-")</f>
        <v/>
      </c>
      <c r="BX112" s="22">
        <f>IF(AND($H112&lt;&gt;"",$AB112&lt;&gt;"",$H112&lt;&gt;$AB112,IFERROR(VLOOKUP($H112,areaCercaPuntiClassificaSquadra,3,FALSE),-1)=IFERROR(VLOOKUP($AB112,areaCercaPuntiClassificaSquadra,3,FALSE),-2)),SUMIFS(Dati!$F$2:$F$451,Dati!$A$2:$A$451,$H112,Dati!$H$2:$H$451,$AB112)+SUMIFS(Dati!$M$2:$M$451,Dati!$H$2:$H$451,$H112,Dati!$A$2:$A$451,$AB112),"-")</f>
        <v/>
      </c>
      <c r="BY112" s="22">
        <f>IF(AND($H112&lt;&gt;"",$AC112&lt;&gt;"",$H112&lt;&gt;$AC112,IFERROR(VLOOKUP($H112,areaCercaPuntiClassificaSquadra,3,FALSE),-1)=IFERROR(VLOOKUP($AC112,areaCercaPuntiClassificaSquadra,3,FALSE),-2)),SUMIFS(Dati!$F$2:$F$451,Dati!$A$2:$A$451,$H112,Dati!$H$2:$H$451,$AC112)+SUMIFS(Dati!$M$2:$M$451,Dati!$H$2:$H$451,$H112,Dati!$A$2:$A$451,$AC112),"-")</f>
        <v/>
      </c>
      <c r="BZ112" s="22">
        <f>IF(AND($H112&lt;&gt;"",$AD112&lt;&gt;"",$H112&lt;&gt;$AD112,IFERROR(VLOOKUP($H112,areaCercaPuntiClassificaSquadra,3,FALSE),-1)=IFERROR(VLOOKUP($AD112,areaCercaPuntiClassificaSquadra,3,FALSE),-2)),SUMIFS(Dati!$F$2:$F$451,Dati!$A$2:$A$451,$H112,Dati!$H$2:$H$451,$AD112)+SUMIFS(Dati!$M$2:$M$451,Dati!$H$2:$H$451,$H112,Dati!$A$2:$A$451,$AD112),"-")</f>
        <v/>
      </c>
      <c r="CA112" s="22">
        <f>IF(AND($H112&lt;&gt;"",$AE112&lt;&gt;"",$H112&lt;&gt;$AE112,IFERROR(VLOOKUP($H112,areaCercaPuntiClassificaSquadra,3,FALSE),-1)=IFERROR(VLOOKUP($AE112,areaCercaPuntiClassificaSquadra,3,FALSE),-2)),SUMIFS(Dati!$F$2:$F$451,Dati!$A$2:$A$451,$H112,Dati!$H$2:$H$451,$AE112)+SUMIFS(Dati!$M$2:$M$451,Dati!$H$2:$H$451,$H112,Dati!$A$2:$A$451,$AE112),"-")</f>
        <v/>
      </c>
      <c r="CB112" s="22">
        <f>IF(AND($H112&lt;&gt;"",$AF112&lt;&gt;"",$H112&lt;&gt;$AF112,IFERROR(VLOOKUP($H112,areaCercaPuntiClassificaSquadra,3,FALSE),-1)=IFERROR(VLOOKUP($AF112,areaCercaPuntiClassificaSquadra,3,FALSE),-2)),SUMIFS(Dati!$F$2:$F$451,Dati!$A$2:$A$451,$H112,Dati!$H$2:$H$451,$AF112)+SUMIFS(Dati!$M$2:$M$451,Dati!$H$2:$H$451,$H112,Dati!$A$2:$A$451,$AF112),"-")</f>
        <v/>
      </c>
      <c r="CC112" s="22">
        <f>IF(AND($H112&lt;&gt;"",$AG112&lt;&gt;"",$H112&lt;&gt;$AG112,IFERROR(VLOOKUP($H112,areaCercaPuntiClassificaSquadra,3,FALSE),-1)=IFERROR(VLOOKUP($AG112,areaCercaPuntiClassificaSquadra,3,FALSE),-2)),SUMIFS(Dati!$F$2:$F$451,Dati!$A$2:$A$451,$H112,Dati!$H$2:$H$451,$AG112)+SUMIFS(Dati!$M$2:$M$451,Dati!$H$2:$H$451,$H112,Dati!$A$2:$A$451,$AG112),"-")</f>
        <v/>
      </c>
      <c r="CD112" s="22">
        <f>IF(AND($H112&lt;&gt;"",$AH112&lt;&gt;"",$H112&lt;&gt;$AH112,IFERROR(VLOOKUP($H112,areaCercaPuntiClassificaSquadra,3,FALSE),-1)=IFERROR(VLOOKUP($AH112,areaCercaPuntiClassificaSquadra,3,FALSE),-2)),SUMIFS(Dati!$F$2:$F$451,Dati!$A$2:$A$451,$H112,Dati!$H$2:$H$451,$AH112)+SUMIFS(Dati!$M$2:$M$451,Dati!$H$2:$H$451,$H112,Dati!$A$2:$A$451,$AH112),"-")</f>
        <v/>
      </c>
      <c r="CF112" s="22">
        <f>IF($C112="","",SUM(AK112:AT112))</f>
        <v/>
      </c>
    </row>
    <row r="113">
      <c r="B113" s="12" t="inlineStr">
        <is>
          <t>J10</t>
        </is>
      </c>
      <c r="C113" s="13" t="n"/>
      <c r="D113" s="14" t="n"/>
      <c r="E113" s="39" t="inlineStr">
        <is>
          <t>J</t>
        </is>
      </c>
      <c r="G113" s="40">
        <f>IF($C113="","",$E113&amp;(COUNTIFS(I$14:I$113,"&gt;"&amp;I113,E$14:E$113,"="&amp;E113,C$14:C$113,"&lt;&gt;")+COUNTIFS(I$14:I$113,"="&amp;I113,H$14:H$113,"&lt;="&amp;H113,E$14:E$113,"="&amp;E113,C$14:C$113,"&lt;&gt;")))</f>
        <v/>
      </c>
      <c r="H113" s="17">
        <f>IF($C113="","",IFERROR(LEFT($C113,FIND("-",$C113)-1),$C113))</f>
        <v/>
      </c>
      <c r="I113" s="12">
        <f>TEXT(1000000000+J113,"|0000000000|")&amp;TEXT(SUM(AK113:AT113),"0000000000|")&amp;IF(SUM(BU113:CD113)=0,"0000000000|",TEXT(ROUND(SUM(BI113:BR113)/SUM(BU113:CD113),4)*100000,"0000000000|"))&amp;IF(P113=0,"0000000000|",TEXT(ROUND(O113/P113,4)*100000,"0000000000|"))</f>
        <v/>
      </c>
      <c r="J113" s="40">
        <f>L113*constPuntiVittoria+M113*constPuntiSconfitta+N113*constPuntiForfait+IF(D113="",0,D113)</f>
        <v/>
      </c>
      <c r="K113" s="12">
        <f>SUM(L113:N113)</f>
        <v/>
      </c>
      <c r="L113" s="12">
        <f>IF($H113="",0,SUMIF(Dati!$A$2:$A$451,$H113,Dati!$B$2:$B$451)+SUMIF(Dati!$H$2:$H$451,$H113,Dati!$I$2:$I$451))</f>
        <v/>
      </c>
      <c r="M113" s="12">
        <f>IF($H113="",0,SUMIF(Dati!$A$2:$A$451,$H113,Dati!$D$2:$D$451)+SUMIF(Dati!$H$2:$H$451,$H113,Dati!$K$2:$K$451))</f>
        <v/>
      </c>
      <c r="N113" s="12">
        <f>IF($H113="",0,SUMIF(Dati!$A$2:$A$451,$H113,Dati!$C$2:$C$451)+SUMIF(Dati!$H$2:$H$451,$H113,Dati!$J$2:$J$451))</f>
        <v/>
      </c>
      <c r="O113" s="12">
        <f>IF($H113="",0,SUMIF(Dati!$A$2:$A$451,$H113,Dati!$E$2:$E$451)+SUMIF(Dati!$H$2:$H$451,$H113,Dati!$L$2:$L$451))</f>
        <v/>
      </c>
      <c r="P113" s="12">
        <f>IF($H113="",0,SUMIF(Dati!$A$2:$A$451,$H113,Dati!$F$2:$F$451)+SUMIF(Dati!$H$2:$H$451,$H113,Dati!$M$2:$M$451))</f>
        <v/>
      </c>
      <c r="Q113" s="12">
        <f>IF($H113="",0,SUMIF(Dati!$A$2:$A$451,$H113,Dati!$G$2:$G$451)+SUMIF(Dati!$H$2:$H$451,$H113,Dati!$N$2:$N$451))</f>
        <v/>
      </c>
      <c r="R113" s="12">
        <f>IF(K113=0,0,ROUND(O113/K113,2))</f>
        <v/>
      </c>
      <c r="S113" s="12">
        <f>IF(K113=0,0,ROUND(P113/K113,2))</f>
        <v/>
      </c>
      <c r="T113" s="12">
        <f>IF(K113=0,0,ROUND(Q113/K113,2))</f>
        <v/>
      </c>
      <c r="U113" s="12">
        <f>IF(COUNTIFS($E$14:$E$113,$E113,$J$14:$J$113,$J113,$C$14:$C$113,"&lt;&gt;")&lt;=1,"-",SUM(AK113:AT113)&amp;"-"&amp;SUM(AW113:BF113))</f>
        <v/>
      </c>
      <c r="V113" s="18">
        <f>IF(COUNTIFS($E$14:$E$113,$E113,$J$14:$J$113,$J113,$C$14:$C$113,"&lt;&gt;",$CF$14:$CF$113,$CF113)&lt;=1,"-",IF(SUM(BU113:CD113)=0,0,ROUND(SUM(BI113:BR113)/SUM(BU113:CD113),3)))</f>
        <v/>
      </c>
      <c r="W113" s="18">
        <f>IF(COUNTIFS($E$14:$E$113,$E113,$J$14:$J$113,$J113,$C$14:$C$113,"&lt;&gt;",$CF$14:$CF$113,$CF113,$V$14:$V$113,$V113)&lt;=1,"-",IF(P113=0,0,ROUND(O113/P113,3)))</f>
        <v/>
      </c>
      <c r="X113" s="19">
        <f>IF($C113="","",$E113&amp;"#"&amp;COUNTIFS($E$14:$E113,$E113,$C$14:$C113,"&lt;&gt;"))</f>
        <v/>
      </c>
      <c r="Y113" s="20">
        <f>IFERROR(INDEX($H$14:$H$113,MATCH($E113&amp;"#1",$X$14:$X$113,0)),"")</f>
        <v/>
      </c>
      <c r="Z113" s="20">
        <f>IFERROR(INDEX($H$14:$H$113,MATCH($E113&amp;"#2",$X$14:$X$113,0)),"")</f>
        <v/>
      </c>
      <c r="AA113" s="20">
        <f>IFERROR(INDEX($H$14:$H$113,MATCH($E113&amp;"#3",$X$14:$X$113,0)),"")</f>
        <v/>
      </c>
      <c r="AB113" s="20">
        <f>IFERROR(INDEX($H$14:$H$113,MATCH($E113&amp;"#4",$X$14:$X$113,0)),"")</f>
        <v/>
      </c>
      <c r="AC113" s="20">
        <f>IFERROR(INDEX($H$14:$H$113,MATCH($E113&amp;"#5",$X$14:$X$113,0)),"")</f>
        <v/>
      </c>
      <c r="AD113" s="20">
        <f>IFERROR(INDEX($H$14:$H$113,MATCH($E113&amp;"#6",$X$14:$X$113,0)),"")</f>
        <v/>
      </c>
      <c r="AE113" s="20">
        <f>IFERROR(INDEX($H$14:$H$113,MATCH($E113&amp;"#7",$X$14:$X$113,0)),"")</f>
        <v/>
      </c>
      <c r="AF113" s="20">
        <f>IFERROR(INDEX($H$14:$H$113,MATCH($E113&amp;"#8",$X$14:$X$113,0)),"")</f>
        <v/>
      </c>
      <c r="AG113" s="20">
        <f>IFERROR(INDEX($H$14:$H$113,MATCH($E113&amp;"#9",$X$14:$X$113,0)),"")</f>
        <v/>
      </c>
      <c r="AH113" s="20">
        <f>IFERROR(INDEX($H$14:$H$113,MATCH($E113&amp;"#10",$X$14:$X$113,0)),"")</f>
        <v/>
      </c>
      <c r="AJ113" s="21">
        <f>$C113</f>
        <v/>
      </c>
      <c r="AK113" s="22">
        <f>IF(AND($H113&lt;&gt;"",$Y113&lt;&gt;"",$H113&lt;&gt;$Y113,IFERROR(VLOOKUP($H113,areaCercaPuntiClassificaSquadra,3,FALSE),-1)=IFERROR(VLOOKUP($Y113,areaCercaPuntiClassificaSquadra,3,FALSE),-2)),SUMIFS(Dati!$B$2:$B$451,Dati!$A$2:$A$451,$H113,Dati!$H$2:$H$451,$Y113)+SUMIFS(Dati!$I$2:$I$451,Dati!$H$2:$H$451,$H113,Dati!$A$2:$A$451,$Y113),"-")</f>
        <v/>
      </c>
      <c r="AL113" s="22">
        <f>IF(AND($H113&lt;&gt;"",$Z113&lt;&gt;"",$H113&lt;&gt;$Z113,IFERROR(VLOOKUP($H113,areaCercaPuntiClassificaSquadra,3,FALSE),-1)=IFERROR(VLOOKUP($Z113,areaCercaPuntiClassificaSquadra,3,FALSE),-2)),SUMIFS(Dati!$B$2:$B$451,Dati!$A$2:$A$451,$H113,Dati!$H$2:$H$451,$Z113)+SUMIFS(Dati!$I$2:$I$451,Dati!$H$2:$H$451,$H113,Dati!$A$2:$A$451,$Z113),"-")</f>
        <v/>
      </c>
      <c r="AM113" s="22">
        <f>IF(AND($H113&lt;&gt;"",$AA113&lt;&gt;"",$H113&lt;&gt;$AA113,IFERROR(VLOOKUP($H113,areaCercaPuntiClassificaSquadra,3,FALSE),-1)=IFERROR(VLOOKUP($AA113,areaCercaPuntiClassificaSquadra,3,FALSE),-2)),SUMIFS(Dati!$B$2:$B$451,Dati!$A$2:$A$451,$H113,Dati!$H$2:$H$451,$AA113)+SUMIFS(Dati!$I$2:$I$451,Dati!$H$2:$H$451,$H113,Dati!$A$2:$A$451,$AA113),"-")</f>
        <v/>
      </c>
      <c r="AN113" s="22">
        <f>IF(AND($H113&lt;&gt;"",$AB113&lt;&gt;"",$H113&lt;&gt;$AB113,IFERROR(VLOOKUP($H113,areaCercaPuntiClassificaSquadra,3,FALSE),-1)=IFERROR(VLOOKUP($AB113,areaCercaPuntiClassificaSquadra,3,FALSE),-2)),SUMIFS(Dati!$B$2:$B$451,Dati!$A$2:$A$451,$H113,Dati!$H$2:$H$451,$AB113)+SUMIFS(Dati!$I$2:$I$451,Dati!$H$2:$H$451,$H113,Dati!$A$2:$A$451,$AB113),"-")</f>
        <v/>
      </c>
      <c r="AO113" s="22">
        <f>IF(AND($H113&lt;&gt;"",$AC113&lt;&gt;"",$H113&lt;&gt;$AC113,IFERROR(VLOOKUP($H113,areaCercaPuntiClassificaSquadra,3,FALSE),-1)=IFERROR(VLOOKUP($AC113,areaCercaPuntiClassificaSquadra,3,FALSE),-2)),SUMIFS(Dati!$B$2:$B$451,Dati!$A$2:$A$451,$H113,Dati!$H$2:$H$451,$AC113)+SUMIFS(Dati!$I$2:$I$451,Dati!$H$2:$H$451,$H113,Dati!$A$2:$A$451,$AC113),"-")</f>
        <v/>
      </c>
      <c r="AP113" s="22">
        <f>IF(AND($H113&lt;&gt;"",$AD113&lt;&gt;"",$H113&lt;&gt;$AD113,IFERROR(VLOOKUP($H113,areaCercaPuntiClassificaSquadra,3,FALSE),-1)=IFERROR(VLOOKUP($AD113,areaCercaPuntiClassificaSquadra,3,FALSE),-2)),SUMIFS(Dati!$B$2:$B$451,Dati!$A$2:$A$451,$H113,Dati!$H$2:$H$451,$AD113)+SUMIFS(Dati!$I$2:$I$451,Dati!$H$2:$H$451,$H113,Dati!$A$2:$A$451,$AD113),"-")</f>
        <v/>
      </c>
      <c r="AQ113" s="22">
        <f>IF(AND($H113&lt;&gt;"",$AE113&lt;&gt;"",$H113&lt;&gt;$AE113,IFERROR(VLOOKUP($H113,areaCercaPuntiClassificaSquadra,3,FALSE),-1)=IFERROR(VLOOKUP($AE113,areaCercaPuntiClassificaSquadra,3,FALSE),-2)),SUMIFS(Dati!$B$2:$B$451,Dati!$A$2:$A$451,$H113,Dati!$H$2:$H$451,$AE113)+SUMIFS(Dati!$I$2:$I$451,Dati!$H$2:$H$451,$H113,Dati!$A$2:$A$451,$AE113),"-")</f>
        <v/>
      </c>
      <c r="AR113" s="22">
        <f>IF(AND($H113&lt;&gt;"",$AF113&lt;&gt;"",$H113&lt;&gt;$AF113,IFERROR(VLOOKUP($H113,areaCercaPuntiClassificaSquadra,3,FALSE),-1)=IFERROR(VLOOKUP($AF113,areaCercaPuntiClassificaSquadra,3,FALSE),-2)),SUMIFS(Dati!$B$2:$B$451,Dati!$A$2:$A$451,$H113,Dati!$H$2:$H$451,$AF113)+SUMIFS(Dati!$I$2:$I$451,Dati!$H$2:$H$451,$H113,Dati!$A$2:$A$451,$AF113),"-")</f>
        <v/>
      </c>
      <c r="AS113" s="22">
        <f>IF(AND($H113&lt;&gt;"",$AG113&lt;&gt;"",$H113&lt;&gt;$AG113,IFERROR(VLOOKUP($H113,areaCercaPuntiClassificaSquadra,3,FALSE),-1)=IFERROR(VLOOKUP($AG113,areaCercaPuntiClassificaSquadra,3,FALSE),-2)),SUMIFS(Dati!$B$2:$B$451,Dati!$A$2:$A$451,$H113,Dati!$H$2:$H$451,$AG113)+SUMIFS(Dati!$I$2:$I$451,Dati!$H$2:$H$451,$H113,Dati!$A$2:$A$451,$AG113),"-")</f>
        <v/>
      </c>
      <c r="AT113" s="22">
        <f>IF(AND($H113&lt;&gt;"",$AH113&lt;&gt;"",$H113&lt;&gt;$AH113,IFERROR(VLOOKUP($H113,areaCercaPuntiClassificaSquadra,3,FALSE),-1)=IFERROR(VLOOKUP($AH113,areaCercaPuntiClassificaSquadra,3,FALSE),-2)),SUMIFS(Dati!$B$2:$B$451,Dati!$A$2:$A$451,$H113,Dati!$H$2:$H$451,$AH113)+SUMIFS(Dati!$I$2:$I$451,Dati!$H$2:$H$451,$H113,Dati!$A$2:$A$451,$AH113),"-")</f>
        <v/>
      </c>
      <c r="AV113" s="21">
        <f>$C113</f>
        <v/>
      </c>
      <c r="AW113" s="22">
        <f>IF(AND($H113&lt;&gt;"",$Y113&lt;&gt;"",$H113&lt;&gt;$Y113,IFERROR(VLOOKUP($H113,areaCercaPuntiClassificaSquadra,3,FALSE),-1)=IFERROR(VLOOKUP($Y113,areaCercaPuntiClassificaSquadra,3,FALSE),-2)),SUMIFS(Dati!$D$2:$D$451,Dati!$A$2:$A$451,$H113,Dati!$H$2:$H$451,$Y113)+SUMIFS(Dati!$K$2:$K$451,Dati!$H$2:$H$451,$H113,Dati!$A$2:$A$451,$Y113)+SUMIFS(Dati!$C$2:$C$451,Dati!$A$2:$A$451,$H113,Dati!$H$2:$H$451,$Y113)+SUMIFS(Dati!$J$2:$J$451,Dati!$H$2:$H$451,$H113,Dati!$A$2:$A$451,$Y113),"-")</f>
        <v/>
      </c>
      <c r="AX113" s="22">
        <f>IF(AND($H113&lt;&gt;"",$Z113&lt;&gt;"",$H113&lt;&gt;$Z113,IFERROR(VLOOKUP($H113,areaCercaPuntiClassificaSquadra,3,FALSE),-1)=IFERROR(VLOOKUP($Z113,areaCercaPuntiClassificaSquadra,3,FALSE),-2)),SUMIFS(Dati!$D$2:$D$451,Dati!$A$2:$A$451,$H113,Dati!$H$2:$H$451,$Z113)+SUMIFS(Dati!$K$2:$K$451,Dati!$H$2:$H$451,$H113,Dati!$A$2:$A$451,$Z113)+SUMIFS(Dati!$C$2:$C$451,Dati!$A$2:$A$451,$H113,Dati!$H$2:$H$451,$Z113)+SUMIFS(Dati!$J$2:$J$451,Dati!$H$2:$H$451,$H113,Dati!$A$2:$A$451,$Z113),"-")</f>
        <v/>
      </c>
      <c r="AY113" s="22">
        <f>IF(AND($H113&lt;&gt;"",$AA113&lt;&gt;"",$H113&lt;&gt;$AA113,IFERROR(VLOOKUP($H113,areaCercaPuntiClassificaSquadra,3,FALSE),-1)=IFERROR(VLOOKUP($AA113,areaCercaPuntiClassificaSquadra,3,FALSE),-2)),SUMIFS(Dati!$D$2:$D$451,Dati!$A$2:$A$451,$H113,Dati!$H$2:$H$451,$AA113)+SUMIFS(Dati!$K$2:$K$451,Dati!$H$2:$H$451,$H113,Dati!$A$2:$A$451,$AA113)+SUMIFS(Dati!$C$2:$C$451,Dati!$A$2:$A$451,$H113,Dati!$H$2:$H$451,$AA113)+SUMIFS(Dati!$J$2:$J$451,Dati!$H$2:$H$451,$H113,Dati!$A$2:$A$451,$AA113),"-")</f>
        <v/>
      </c>
      <c r="AZ113" s="22">
        <f>IF(AND($H113&lt;&gt;"",$AB113&lt;&gt;"",$H113&lt;&gt;$AB113,IFERROR(VLOOKUP($H113,areaCercaPuntiClassificaSquadra,3,FALSE),-1)=IFERROR(VLOOKUP($AB113,areaCercaPuntiClassificaSquadra,3,FALSE),-2)),SUMIFS(Dati!$D$2:$D$451,Dati!$A$2:$A$451,$H113,Dati!$H$2:$H$451,$AB113)+SUMIFS(Dati!$K$2:$K$451,Dati!$H$2:$H$451,$H113,Dati!$A$2:$A$451,$AB113)+SUMIFS(Dati!$C$2:$C$451,Dati!$A$2:$A$451,$H113,Dati!$H$2:$H$451,$AB113)+SUMIFS(Dati!$J$2:$J$451,Dati!$H$2:$H$451,$H113,Dati!$A$2:$A$451,$AB113),"-")</f>
        <v/>
      </c>
      <c r="BA113" s="22">
        <f>IF(AND($H113&lt;&gt;"",$AC113&lt;&gt;"",$H113&lt;&gt;$AC113,IFERROR(VLOOKUP($H113,areaCercaPuntiClassificaSquadra,3,FALSE),-1)=IFERROR(VLOOKUP($AC113,areaCercaPuntiClassificaSquadra,3,FALSE),-2)),SUMIFS(Dati!$D$2:$D$451,Dati!$A$2:$A$451,$H113,Dati!$H$2:$H$451,$AC113)+SUMIFS(Dati!$K$2:$K$451,Dati!$H$2:$H$451,$H113,Dati!$A$2:$A$451,$AC113)+SUMIFS(Dati!$C$2:$C$451,Dati!$A$2:$A$451,$H113,Dati!$H$2:$H$451,$AC113)+SUMIFS(Dati!$J$2:$J$451,Dati!$H$2:$H$451,$H113,Dati!$A$2:$A$451,$AC113),"-")</f>
        <v/>
      </c>
      <c r="BB113" s="22">
        <f>IF(AND($H113&lt;&gt;"",$AD113&lt;&gt;"",$H113&lt;&gt;$AD113,IFERROR(VLOOKUP($H113,areaCercaPuntiClassificaSquadra,3,FALSE),-1)=IFERROR(VLOOKUP($AD113,areaCercaPuntiClassificaSquadra,3,FALSE),-2)),SUMIFS(Dati!$D$2:$D$451,Dati!$A$2:$A$451,$H113,Dati!$H$2:$H$451,$AD113)+SUMIFS(Dati!$K$2:$K$451,Dati!$H$2:$H$451,$H113,Dati!$A$2:$A$451,$AD113)+SUMIFS(Dati!$C$2:$C$451,Dati!$A$2:$A$451,$H113,Dati!$H$2:$H$451,$AD113)+SUMIFS(Dati!$J$2:$J$451,Dati!$H$2:$H$451,$H113,Dati!$A$2:$A$451,$AD113),"-")</f>
        <v/>
      </c>
      <c r="BC113" s="22">
        <f>IF(AND($H113&lt;&gt;"",$AE113&lt;&gt;"",$H113&lt;&gt;$AE113,IFERROR(VLOOKUP($H113,areaCercaPuntiClassificaSquadra,3,FALSE),-1)=IFERROR(VLOOKUP($AE113,areaCercaPuntiClassificaSquadra,3,FALSE),-2)),SUMIFS(Dati!$D$2:$D$451,Dati!$A$2:$A$451,$H113,Dati!$H$2:$H$451,$AE113)+SUMIFS(Dati!$K$2:$K$451,Dati!$H$2:$H$451,$H113,Dati!$A$2:$A$451,$AE113)+SUMIFS(Dati!$C$2:$C$451,Dati!$A$2:$A$451,$H113,Dati!$H$2:$H$451,$AE113)+SUMIFS(Dati!$J$2:$J$451,Dati!$H$2:$H$451,$H113,Dati!$A$2:$A$451,$AE113),"-")</f>
        <v/>
      </c>
      <c r="BD113" s="22">
        <f>IF(AND($H113&lt;&gt;"",$AF113&lt;&gt;"",$H113&lt;&gt;$AF113,IFERROR(VLOOKUP($H113,areaCercaPuntiClassificaSquadra,3,FALSE),-1)=IFERROR(VLOOKUP($AF113,areaCercaPuntiClassificaSquadra,3,FALSE),-2)),SUMIFS(Dati!$D$2:$D$451,Dati!$A$2:$A$451,$H113,Dati!$H$2:$H$451,$AF113)+SUMIFS(Dati!$K$2:$K$451,Dati!$H$2:$H$451,$H113,Dati!$A$2:$A$451,$AF113)+SUMIFS(Dati!$C$2:$C$451,Dati!$A$2:$A$451,$H113,Dati!$H$2:$H$451,$AF113)+SUMIFS(Dati!$J$2:$J$451,Dati!$H$2:$H$451,$H113,Dati!$A$2:$A$451,$AF113),"-")</f>
        <v/>
      </c>
      <c r="BE113" s="22">
        <f>IF(AND($H113&lt;&gt;"",$AG113&lt;&gt;"",$H113&lt;&gt;$AG113,IFERROR(VLOOKUP($H113,areaCercaPuntiClassificaSquadra,3,FALSE),-1)=IFERROR(VLOOKUP($AG113,areaCercaPuntiClassificaSquadra,3,FALSE),-2)),SUMIFS(Dati!$D$2:$D$451,Dati!$A$2:$A$451,$H113,Dati!$H$2:$H$451,$AG113)+SUMIFS(Dati!$K$2:$K$451,Dati!$H$2:$H$451,$H113,Dati!$A$2:$A$451,$AG113)+SUMIFS(Dati!$C$2:$C$451,Dati!$A$2:$A$451,$H113,Dati!$H$2:$H$451,$AG113)+SUMIFS(Dati!$J$2:$J$451,Dati!$H$2:$H$451,$H113,Dati!$A$2:$A$451,$AG113),"-")</f>
        <v/>
      </c>
      <c r="BF113" s="22">
        <f>IF(AND($H113&lt;&gt;"",$AH113&lt;&gt;"",$H113&lt;&gt;$AH113,IFERROR(VLOOKUP($H113,areaCercaPuntiClassificaSquadra,3,FALSE),-1)=IFERROR(VLOOKUP($AH113,areaCercaPuntiClassificaSquadra,3,FALSE),-2)),SUMIFS(Dati!$D$2:$D$451,Dati!$A$2:$A$451,$H113,Dati!$H$2:$H$451,$AH113)+SUMIFS(Dati!$K$2:$K$451,Dati!$H$2:$H$451,$H113,Dati!$A$2:$A$451,$AH113)+SUMIFS(Dati!$C$2:$C$451,Dati!$A$2:$A$451,$H113,Dati!$H$2:$H$451,$AH113)+SUMIFS(Dati!$J$2:$J$451,Dati!$H$2:$H$451,$H113,Dati!$A$2:$A$451,$AH113),"-")</f>
        <v/>
      </c>
      <c r="BH113" s="21">
        <f>$C113</f>
        <v/>
      </c>
      <c r="BI113" s="22">
        <f>IF(AND($H113&lt;&gt;"",$Y113&lt;&gt;"",$H113&lt;&gt;$Y113,IFERROR(VLOOKUP($H113,areaCercaPuntiClassificaSquadra,3,FALSE),-1)=IFERROR(VLOOKUP($Y113,areaCercaPuntiClassificaSquadra,3,FALSE),-2)),SUMIFS(Dati!$E$2:$E$451,Dati!$A$2:$A$451,$H113,Dati!$H$2:$H$451,$Y113)+SUMIFS(Dati!$L$2:$L$451,Dati!$H$2:$H$451,$H113,Dati!$A$2:$A$451,$Y113),"-")</f>
        <v/>
      </c>
      <c r="BJ113" s="22">
        <f>IF(AND($H113&lt;&gt;"",$Z113&lt;&gt;"",$H113&lt;&gt;$Z113,IFERROR(VLOOKUP($H113,areaCercaPuntiClassificaSquadra,3,FALSE),-1)=IFERROR(VLOOKUP($Z113,areaCercaPuntiClassificaSquadra,3,FALSE),-2)),SUMIFS(Dati!$E$2:$E$451,Dati!$A$2:$A$451,$H113,Dati!$H$2:$H$451,$Z113)+SUMIFS(Dati!$L$2:$L$451,Dati!$H$2:$H$451,$H113,Dati!$A$2:$A$451,$Z113),"-")</f>
        <v/>
      </c>
      <c r="BK113" s="22">
        <f>IF(AND($H113&lt;&gt;"",$AA113&lt;&gt;"",$H113&lt;&gt;$AA113,IFERROR(VLOOKUP($H113,areaCercaPuntiClassificaSquadra,3,FALSE),-1)=IFERROR(VLOOKUP($AA113,areaCercaPuntiClassificaSquadra,3,FALSE),-2)),SUMIFS(Dati!$E$2:$E$451,Dati!$A$2:$A$451,$H113,Dati!$H$2:$H$451,$AA113)+SUMIFS(Dati!$L$2:$L$451,Dati!$H$2:$H$451,$H113,Dati!$A$2:$A$451,$AA113),"-")</f>
        <v/>
      </c>
      <c r="BL113" s="22">
        <f>IF(AND($H113&lt;&gt;"",$AB113&lt;&gt;"",$H113&lt;&gt;$AB113,IFERROR(VLOOKUP($H113,areaCercaPuntiClassificaSquadra,3,FALSE),-1)=IFERROR(VLOOKUP($AB113,areaCercaPuntiClassificaSquadra,3,FALSE),-2)),SUMIFS(Dati!$E$2:$E$451,Dati!$A$2:$A$451,$H113,Dati!$H$2:$H$451,$AB113)+SUMIFS(Dati!$L$2:$L$451,Dati!$H$2:$H$451,$H113,Dati!$A$2:$A$451,$AB113),"-")</f>
        <v/>
      </c>
      <c r="BM113" s="22">
        <f>IF(AND($H113&lt;&gt;"",$AC113&lt;&gt;"",$H113&lt;&gt;$AC113,IFERROR(VLOOKUP($H113,areaCercaPuntiClassificaSquadra,3,FALSE),-1)=IFERROR(VLOOKUP($AC113,areaCercaPuntiClassificaSquadra,3,FALSE),-2)),SUMIFS(Dati!$E$2:$E$451,Dati!$A$2:$A$451,$H113,Dati!$H$2:$H$451,$AC113)+SUMIFS(Dati!$L$2:$L$451,Dati!$H$2:$H$451,$H113,Dati!$A$2:$A$451,$AC113),"-")</f>
        <v/>
      </c>
      <c r="BN113" s="22">
        <f>IF(AND($H113&lt;&gt;"",$AD113&lt;&gt;"",$H113&lt;&gt;$AD113,IFERROR(VLOOKUP($H113,areaCercaPuntiClassificaSquadra,3,FALSE),-1)=IFERROR(VLOOKUP($AD113,areaCercaPuntiClassificaSquadra,3,FALSE),-2)),SUMIFS(Dati!$E$2:$E$451,Dati!$A$2:$A$451,$H113,Dati!$H$2:$H$451,$AD113)+SUMIFS(Dati!$L$2:$L$451,Dati!$H$2:$H$451,$H113,Dati!$A$2:$A$451,$AD113),"-")</f>
        <v/>
      </c>
      <c r="BO113" s="22">
        <f>IF(AND($H113&lt;&gt;"",$AE113&lt;&gt;"",$H113&lt;&gt;$AE113,IFERROR(VLOOKUP($H113,areaCercaPuntiClassificaSquadra,3,FALSE),-1)=IFERROR(VLOOKUP($AE113,areaCercaPuntiClassificaSquadra,3,FALSE),-2)),SUMIFS(Dati!$E$2:$E$451,Dati!$A$2:$A$451,$H113,Dati!$H$2:$H$451,$AE113)+SUMIFS(Dati!$L$2:$L$451,Dati!$H$2:$H$451,$H113,Dati!$A$2:$A$451,$AE113),"-")</f>
        <v/>
      </c>
      <c r="BP113" s="22">
        <f>IF(AND($H113&lt;&gt;"",$AF113&lt;&gt;"",$H113&lt;&gt;$AF113,IFERROR(VLOOKUP($H113,areaCercaPuntiClassificaSquadra,3,FALSE),-1)=IFERROR(VLOOKUP($AF113,areaCercaPuntiClassificaSquadra,3,FALSE),-2)),SUMIFS(Dati!$E$2:$E$451,Dati!$A$2:$A$451,$H113,Dati!$H$2:$H$451,$AF113)+SUMIFS(Dati!$L$2:$L$451,Dati!$H$2:$H$451,$H113,Dati!$A$2:$A$451,$AF113),"-")</f>
        <v/>
      </c>
      <c r="BQ113" s="22">
        <f>IF(AND($H113&lt;&gt;"",$AG113&lt;&gt;"",$H113&lt;&gt;$AG113,IFERROR(VLOOKUP($H113,areaCercaPuntiClassificaSquadra,3,FALSE),-1)=IFERROR(VLOOKUP($AG113,areaCercaPuntiClassificaSquadra,3,FALSE),-2)),SUMIFS(Dati!$E$2:$E$451,Dati!$A$2:$A$451,$H113,Dati!$H$2:$H$451,$AG113)+SUMIFS(Dati!$L$2:$L$451,Dati!$H$2:$H$451,$H113,Dati!$A$2:$A$451,$AG113),"-")</f>
        <v/>
      </c>
      <c r="BR113" s="22">
        <f>IF(AND($H113&lt;&gt;"",$AH113&lt;&gt;"",$H113&lt;&gt;$AH113,IFERROR(VLOOKUP($H113,areaCercaPuntiClassificaSquadra,3,FALSE),-1)=IFERROR(VLOOKUP($AH113,areaCercaPuntiClassificaSquadra,3,FALSE),-2)),SUMIFS(Dati!$E$2:$E$451,Dati!$A$2:$A$451,$H113,Dati!$H$2:$H$451,$AH113)+SUMIFS(Dati!$L$2:$L$451,Dati!$H$2:$H$451,$H113,Dati!$A$2:$A$451,$AH113),"-")</f>
        <v/>
      </c>
      <c r="BT113" s="21">
        <f>$C113</f>
        <v/>
      </c>
      <c r="BU113" s="22">
        <f>IF(AND($H113&lt;&gt;"",$Y113&lt;&gt;"",$H113&lt;&gt;$Y113,IFERROR(VLOOKUP($H113,areaCercaPuntiClassificaSquadra,3,FALSE),-1)=IFERROR(VLOOKUP($Y113,areaCercaPuntiClassificaSquadra,3,FALSE),-2)),SUMIFS(Dati!$F$2:$F$451,Dati!$A$2:$A$451,$H113,Dati!$H$2:$H$451,$Y113)+SUMIFS(Dati!$M$2:$M$451,Dati!$H$2:$H$451,$H113,Dati!$A$2:$A$451,$Y113),"-")</f>
        <v/>
      </c>
      <c r="BV113" s="22">
        <f>IF(AND($H113&lt;&gt;"",$Z113&lt;&gt;"",$H113&lt;&gt;$Z113,IFERROR(VLOOKUP($H113,areaCercaPuntiClassificaSquadra,3,FALSE),-1)=IFERROR(VLOOKUP($Z113,areaCercaPuntiClassificaSquadra,3,FALSE),-2)),SUMIFS(Dati!$F$2:$F$451,Dati!$A$2:$A$451,$H113,Dati!$H$2:$H$451,$Z113)+SUMIFS(Dati!$M$2:$M$451,Dati!$H$2:$H$451,$H113,Dati!$A$2:$A$451,$Z113),"-")</f>
        <v/>
      </c>
      <c r="BW113" s="22">
        <f>IF(AND($H113&lt;&gt;"",$AA113&lt;&gt;"",$H113&lt;&gt;$AA113,IFERROR(VLOOKUP($H113,areaCercaPuntiClassificaSquadra,3,FALSE),-1)=IFERROR(VLOOKUP($AA113,areaCercaPuntiClassificaSquadra,3,FALSE),-2)),SUMIFS(Dati!$F$2:$F$451,Dati!$A$2:$A$451,$H113,Dati!$H$2:$H$451,$AA113)+SUMIFS(Dati!$M$2:$M$451,Dati!$H$2:$H$451,$H113,Dati!$A$2:$A$451,$AA113),"-")</f>
        <v/>
      </c>
      <c r="BX113" s="22">
        <f>IF(AND($H113&lt;&gt;"",$AB113&lt;&gt;"",$H113&lt;&gt;$AB113,IFERROR(VLOOKUP($H113,areaCercaPuntiClassificaSquadra,3,FALSE),-1)=IFERROR(VLOOKUP($AB113,areaCercaPuntiClassificaSquadra,3,FALSE),-2)),SUMIFS(Dati!$F$2:$F$451,Dati!$A$2:$A$451,$H113,Dati!$H$2:$H$451,$AB113)+SUMIFS(Dati!$M$2:$M$451,Dati!$H$2:$H$451,$H113,Dati!$A$2:$A$451,$AB113),"-")</f>
        <v/>
      </c>
      <c r="BY113" s="22">
        <f>IF(AND($H113&lt;&gt;"",$AC113&lt;&gt;"",$H113&lt;&gt;$AC113,IFERROR(VLOOKUP($H113,areaCercaPuntiClassificaSquadra,3,FALSE),-1)=IFERROR(VLOOKUP($AC113,areaCercaPuntiClassificaSquadra,3,FALSE),-2)),SUMIFS(Dati!$F$2:$F$451,Dati!$A$2:$A$451,$H113,Dati!$H$2:$H$451,$AC113)+SUMIFS(Dati!$M$2:$M$451,Dati!$H$2:$H$451,$H113,Dati!$A$2:$A$451,$AC113),"-")</f>
        <v/>
      </c>
      <c r="BZ113" s="22">
        <f>IF(AND($H113&lt;&gt;"",$AD113&lt;&gt;"",$H113&lt;&gt;$AD113,IFERROR(VLOOKUP($H113,areaCercaPuntiClassificaSquadra,3,FALSE),-1)=IFERROR(VLOOKUP($AD113,areaCercaPuntiClassificaSquadra,3,FALSE),-2)),SUMIFS(Dati!$F$2:$F$451,Dati!$A$2:$A$451,$H113,Dati!$H$2:$H$451,$AD113)+SUMIFS(Dati!$M$2:$M$451,Dati!$H$2:$H$451,$H113,Dati!$A$2:$A$451,$AD113),"-")</f>
        <v/>
      </c>
      <c r="CA113" s="22">
        <f>IF(AND($H113&lt;&gt;"",$AE113&lt;&gt;"",$H113&lt;&gt;$AE113,IFERROR(VLOOKUP($H113,areaCercaPuntiClassificaSquadra,3,FALSE),-1)=IFERROR(VLOOKUP($AE113,areaCercaPuntiClassificaSquadra,3,FALSE),-2)),SUMIFS(Dati!$F$2:$F$451,Dati!$A$2:$A$451,$H113,Dati!$H$2:$H$451,$AE113)+SUMIFS(Dati!$M$2:$M$451,Dati!$H$2:$H$451,$H113,Dati!$A$2:$A$451,$AE113),"-")</f>
        <v/>
      </c>
      <c r="CB113" s="22">
        <f>IF(AND($H113&lt;&gt;"",$AF113&lt;&gt;"",$H113&lt;&gt;$AF113,IFERROR(VLOOKUP($H113,areaCercaPuntiClassificaSquadra,3,FALSE),-1)=IFERROR(VLOOKUP($AF113,areaCercaPuntiClassificaSquadra,3,FALSE),-2)),SUMIFS(Dati!$F$2:$F$451,Dati!$A$2:$A$451,$H113,Dati!$H$2:$H$451,$AF113)+SUMIFS(Dati!$M$2:$M$451,Dati!$H$2:$H$451,$H113,Dati!$A$2:$A$451,$AF113),"-")</f>
        <v/>
      </c>
      <c r="CC113" s="22">
        <f>IF(AND($H113&lt;&gt;"",$AG113&lt;&gt;"",$H113&lt;&gt;$AG113,IFERROR(VLOOKUP($H113,areaCercaPuntiClassificaSquadra,3,FALSE),-1)=IFERROR(VLOOKUP($AG113,areaCercaPuntiClassificaSquadra,3,FALSE),-2)),SUMIFS(Dati!$F$2:$F$451,Dati!$A$2:$A$451,$H113,Dati!$H$2:$H$451,$AG113)+SUMIFS(Dati!$M$2:$M$451,Dati!$H$2:$H$451,$H113,Dati!$A$2:$A$451,$AG113),"-")</f>
        <v/>
      </c>
      <c r="CD113" s="22">
        <f>IF(AND($H113&lt;&gt;"",$AH113&lt;&gt;"",$H113&lt;&gt;$AH113,IFERROR(VLOOKUP($H113,areaCercaPuntiClassificaSquadra,3,FALSE),-1)=IFERROR(VLOOKUP($AH113,areaCercaPuntiClassificaSquadra,3,FALSE),-2)),SUMIFS(Dati!$F$2:$F$451,Dati!$A$2:$A$451,$H113,Dati!$H$2:$H$451,$AH113)+SUMIFS(Dati!$M$2:$M$451,Dati!$H$2:$H$451,$H113,Dati!$A$2:$A$451,$AH113),"-")</f>
        <v/>
      </c>
      <c r="CF113" s="22">
        <f>IF($C113="","",SUM(AK113:AT113))</f>
        <v/>
      </c>
    </row>
    <row r="115" ht="20" customHeight="1">
      <c r="B115" s="41" t="inlineStr">
        <is>
          <t>CAMPI</t>
        </is>
      </c>
      <c r="C115" s="9" t="n"/>
      <c r="D115" s="10" t="n"/>
    </row>
    <row r="116">
      <c r="B116" s="43" t="inlineStr">
        <is>
          <t>#</t>
        </is>
      </c>
      <c r="C116" s="43" t="inlineStr">
        <is>
          <t>Nome Campo</t>
        </is>
      </c>
      <c r="D116" s="43" t="inlineStr">
        <is>
          <t>Link Mappa Campo</t>
        </is>
      </c>
    </row>
    <row r="117">
      <c r="B117" s="12" t="inlineStr">
        <is>
          <t>A01</t>
        </is>
      </c>
      <c r="C117" s="13" t="n"/>
      <c r="D117" s="44" t="n"/>
    </row>
    <row r="118">
      <c r="B118" s="12" t="inlineStr">
        <is>
          <t>A02</t>
        </is>
      </c>
      <c r="C118" s="13" t="n"/>
      <c r="D118" s="44" t="n"/>
    </row>
    <row r="119">
      <c r="B119" s="12" t="inlineStr">
        <is>
          <t>A03</t>
        </is>
      </c>
      <c r="C119" s="13" t="n"/>
      <c r="D119" s="44" t="n"/>
    </row>
    <row r="120">
      <c r="B120" s="12" t="inlineStr">
        <is>
          <t>A04</t>
        </is>
      </c>
      <c r="C120" s="13" t="n"/>
      <c r="D120" s="44" t="n"/>
    </row>
    <row r="121">
      <c r="B121" s="12" t="inlineStr">
        <is>
          <t>A05</t>
        </is>
      </c>
      <c r="C121" s="13" t="n"/>
      <c r="D121" s="44" t="n"/>
    </row>
    <row r="122">
      <c r="B122" s="12" t="inlineStr">
        <is>
          <t>A06</t>
        </is>
      </c>
      <c r="C122" s="13" t="n"/>
      <c r="D122" s="44" t="n"/>
    </row>
    <row r="123">
      <c r="B123" s="12" t="inlineStr">
        <is>
          <t>A07</t>
        </is>
      </c>
      <c r="C123" s="13" t="n"/>
      <c r="D123" s="44" t="n"/>
    </row>
    <row r="124">
      <c r="B124" s="12" t="inlineStr">
        <is>
          <t>A08</t>
        </is>
      </c>
      <c r="C124" s="13" t="n"/>
      <c r="D124" s="44" t="n"/>
    </row>
    <row r="125">
      <c r="B125" s="12" t="inlineStr">
        <is>
          <t>A09</t>
        </is>
      </c>
      <c r="C125" s="13" t="n"/>
      <c r="D125" s="44" t="n"/>
    </row>
    <row r="126">
      <c r="B126" s="12" t="inlineStr">
        <is>
          <t>A10</t>
        </is>
      </c>
      <c r="C126" s="13" t="n"/>
      <c r="D126" s="44" t="n"/>
    </row>
    <row r="127">
      <c r="B127" s="12" t="inlineStr">
        <is>
          <t>B01</t>
        </is>
      </c>
      <c r="C127" s="13" t="n"/>
      <c r="D127" s="44" t="n"/>
    </row>
    <row r="128">
      <c r="B128" s="12" t="inlineStr">
        <is>
          <t>B02</t>
        </is>
      </c>
      <c r="C128" s="13" t="n"/>
      <c r="D128" s="44" t="n"/>
    </row>
    <row r="129">
      <c r="B129" s="12" t="inlineStr">
        <is>
          <t>B03</t>
        </is>
      </c>
      <c r="C129" s="13" t="n"/>
      <c r="D129" s="44" t="n"/>
    </row>
    <row r="130">
      <c r="B130" s="12" t="inlineStr">
        <is>
          <t>B04</t>
        </is>
      </c>
      <c r="C130" s="13" t="n"/>
      <c r="D130" s="44" t="n"/>
    </row>
    <row r="131">
      <c r="B131" s="12" t="inlineStr">
        <is>
          <t>B05</t>
        </is>
      </c>
      <c r="C131" s="13" t="n"/>
      <c r="D131" s="44" t="n"/>
    </row>
    <row r="132">
      <c r="B132" s="12" t="inlineStr">
        <is>
          <t>B06</t>
        </is>
      </c>
      <c r="C132" s="13" t="n"/>
      <c r="D132" s="44" t="n"/>
    </row>
    <row r="133">
      <c r="B133" s="12" t="inlineStr">
        <is>
          <t>B07</t>
        </is>
      </c>
      <c r="C133" s="13" t="n"/>
      <c r="D133" s="44" t="n"/>
    </row>
    <row r="134">
      <c r="B134" s="12" t="inlineStr">
        <is>
          <t>B08</t>
        </is>
      </c>
      <c r="C134" s="13" t="n"/>
      <c r="D134" s="44" t="n"/>
    </row>
    <row r="135">
      <c r="B135" s="12" t="inlineStr">
        <is>
          <t>B09</t>
        </is>
      </c>
      <c r="C135" s="13" t="n"/>
      <c r="D135" s="44" t="n"/>
    </row>
    <row r="136">
      <c r="B136" s="12" t="inlineStr">
        <is>
          <t>B10</t>
        </is>
      </c>
      <c r="C136" s="13" t="n"/>
      <c r="D136" s="44" t="n"/>
    </row>
    <row r="137">
      <c r="B137" s="12" t="inlineStr">
        <is>
          <t>C01</t>
        </is>
      </c>
      <c r="C137" s="13" t="n"/>
      <c r="D137" s="44" t="n"/>
    </row>
    <row r="138">
      <c r="B138" s="12" t="inlineStr">
        <is>
          <t>C02</t>
        </is>
      </c>
      <c r="C138" s="13" t="n"/>
      <c r="D138" s="44" t="n"/>
    </row>
    <row r="139">
      <c r="B139" s="12" t="inlineStr">
        <is>
          <t>C03</t>
        </is>
      </c>
      <c r="C139" s="13" t="n"/>
      <c r="D139" s="44" t="n"/>
    </row>
    <row r="140">
      <c r="B140" s="12" t="inlineStr">
        <is>
          <t>C04</t>
        </is>
      </c>
      <c r="C140" s="13" t="n"/>
      <c r="D140" s="44" t="n"/>
    </row>
    <row r="141">
      <c r="B141" s="12" t="inlineStr">
        <is>
          <t>C05</t>
        </is>
      </c>
      <c r="C141" s="13" t="n"/>
      <c r="D141" s="44" t="n"/>
    </row>
    <row r="142">
      <c r="B142" s="12" t="inlineStr">
        <is>
          <t>C06</t>
        </is>
      </c>
      <c r="C142" s="13" t="n"/>
      <c r="D142" s="44" t="n"/>
    </row>
    <row r="143">
      <c r="B143" s="12" t="inlineStr">
        <is>
          <t>C07</t>
        </is>
      </c>
      <c r="C143" s="13" t="n"/>
      <c r="D143" s="44" t="n"/>
    </row>
    <row r="144">
      <c r="B144" s="12" t="inlineStr">
        <is>
          <t>C08</t>
        </is>
      </c>
      <c r="C144" s="13" t="n"/>
      <c r="D144" s="44" t="n"/>
    </row>
    <row r="145">
      <c r="B145" s="12" t="inlineStr">
        <is>
          <t>C09</t>
        </is>
      </c>
      <c r="C145" s="13" t="n"/>
      <c r="D145" s="44" t="n"/>
    </row>
    <row r="146">
      <c r="B146" s="12" t="inlineStr">
        <is>
          <t>C10</t>
        </is>
      </c>
      <c r="C146" s="13" t="n"/>
      <c r="D146" s="44" t="n"/>
    </row>
    <row r="147">
      <c r="B147" s="12" t="inlineStr">
        <is>
          <t>D01</t>
        </is>
      </c>
      <c r="C147" s="13" t="n"/>
      <c r="D147" s="44" t="n"/>
    </row>
    <row r="148">
      <c r="B148" s="12" t="inlineStr">
        <is>
          <t>D02</t>
        </is>
      </c>
      <c r="C148" s="13" t="n"/>
      <c r="D148" s="44" t="n"/>
    </row>
    <row r="149">
      <c r="B149" s="12" t="inlineStr">
        <is>
          <t>D03</t>
        </is>
      </c>
      <c r="C149" s="13" t="n"/>
      <c r="D149" s="44" t="n"/>
    </row>
    <row r="150">
      <c r="B150" s="12" t="inlineStr">
        <is>
          <t>D04</t>
        </is>
      </c>
      <c r="C150" s="13" t="n"/>
      <c r="D150" s="44" t="n"/>
    </row>
    <row r="151">
      <c r="B151" s="12" t="inlineStr">
        <is>
          <t>D05</t>
        </is>
      </c>
      <c r="C151" s="13" t="n"/>
      <c r="D151" s="44" t="n"/>
    </row>
    <row r="152">
      <c r="B152" s="12" t="inlineStr">
        <is>
          <t>D06</t>
        </is>
      </c>
      <c r="C152" s="13" t="n"/>
      <c r="D152" s="44" t="n"/>
    </row>
    <row r="153">
      <c r="B153" s="12" t="inlineStr">
        <is>
          <t>D07</t>
        </is>
      </c>
      <c r="C153" s="13" t="n"/>
      <c r="D153" s="44" t="n"/>
    </row>
    <row r="154">
      <c r="B154" s="12" t="inlineStr">
        <is>
          <t>D08</t>
        </is>
      </c>
      <c r="C154" s="13" t="n"/>
      <c r="D154" s="44" t="n"/>
    </row>
    <row r="155">
      <c r="B155" s="12" t="inlineStr">
        <is>
          <t>D09</t>
        </is>
      </c>
      <c r="C155" s="13" t="n"/>
      <c r="D155" s="44" t="n"/>
    </row>
    <row r="156">
      <c r="B156" s="12" t="inlineStr">
        <is>
          <t>D10</t>
        </is>
      </c>
      <c r="C156" s="13" t="n"/>
      <c r="D156" s="44" t="n"/>
    </row>
    <row r="157">
      <c r="B157" s="12" t="inlineStr">
        <is>
          <t>E01</t>
        </is>
      </c>
      <c r="C157" s="13" t="n"/>
      <c r="D157" s="44" t="n"/>
    </row>
    <row r="158">
      <c r="B158" s="12" t="inlineStr">
        <is>
          <t>E02</t>
        </is>
      </c>
      <c r="C158" s="13" t="n"/>
      <c r="D158" s="44" t="n"/>
    </row>
    <row r="159">
      <c r="B159" s="12" t="inlineStr">
        <is>
          <t>E03</t>
        </is>
      </c>
      <c r="C159" s="13" t="n"/>
      <c r="D159" s="44" t="n"/>
    </row>
    <row r="160">
      <c r="B160" s="12" t="inlineStr">
        <is>
          <t>E04</t>
        </is>
      </c>
      <c r="C160" s="13" t="n"/>
      <c r="D160" s="44" t="n"/>
    </row>
    <row r="161">
      <c r="B161" s="12" t="inlineStr">
        <is>
          <t>E05</t>
        </is>
      </c>
      <c r="C161" s="13" t="n"/>
      <c r="D161" s="44" t="n"/>
    </row>
    <row r="162">
      <c r="B162" s="12" t="inlineStr">
        <is>
          <t>E06</t>
        </is>
      </c>
      <c r="C162" s="13" t="n"/>
      <c r="D162" s="44" t="n"/>
    </row>
    <row r="163">
      <c r="B163" s="12" t="inlineStr">
        <is>
          <t>E07</t>
        </is>
      </c>
      <c r="C163" s="13" t="n"/>
      <c r="D163" s="44" t="n"/>
    </row>
    <row r="164">
      <c r="B164" s="12" t="inlineStr">
        <is>
          <t>E08</t>
        </is>
      </c>
      <c r="C164" s="13" t="n"/>
      <c r="D164" s="44" t="n"/>
    </row>
    <row r="165">
      <c r="B165" s="12" t="inlineStr">
        <is>
          <t>E09</t>
        </is>
      </c>
      <c r="C165" s="13" t="n"/>
      <c r="D165" s="44" t="n"/>
    </row>
    <row r="166">
      <c r="B166" s="12" t="inlineStr">
        <is>
          <t>E10</t>
        </is>
      </c>
      <c r="C166" s="13" t="n"/>
      <c r="D166" s="44" t="n"/>
    </row>
    <row r="167">
      <c r="B167" s="12" t="inlineStr">
        <is>
          <t>F01</t>
        </is>
      </c>
      <c r="C167" s="13" t="n"/>
      <c r="D167" s="44" t="n"/>
    </row>
    <row r="168">
      <c r="B168" s="12" t="inlineStr">
        <is>
          <t>F02</t>
        </is>
      </c>
      <c r="C168" s="13" t="n"/>
      <c r="D168" s="44" t="n"/>
    </row>
    <row r="169">
      <c r="B169" s="12" t="inlineStr">
        <is>
          <t>F03</t>
        </is>
      </c>
      <c r="C169" s="13" t="n"/>
      <c r="D169" s="44" t="n"/>
    </row>
    <row r="170">
      <c r="B170" s="12" t="inlineStr">
        <is>
          <t>F04</t>
        </is>
      </c>
      <c r="C170" s="13" t="n"/>
      <c r="D170" s="44" t="n"/>
    </row>
    <row r="171">
      <c r="B171" s="12" t="inlineStr">
        <is>
          <t>F05</t>
        </is>
      </c>
      <c r="C171" s="13" t="n"/>
      <c r="D171" s="44" t="n"/>
    </row>
    <row r="172">
      <c r="B172" s="12" t="inlineStr">
        <is>
          <t>F06</t>
        </is>
      </c>
      <c r="C172" s="13" t="n"/>
      <c r="D172" s="44" t="n"/>
    </row>
    <row r="173">
      <c r="B173" s="12" t="inlineStr">
        <is>
          <t>F07</t>
        </is>
      </c>
      <c r="C173" s="13" t="n"/>
      <c r="D173" s="44" t="n"/>
    </row>
    <row r="174">
      <c r="B174" s="12" t="inlineStr">
        <is>
          <t>F08</t>
        </is>
      </c>
      <c r="C174" s="13" t="n"/>
      <c r="D174" s="44" t="n"/>
    </row>
    <row r="175">
      <c r="B175" s="12" t="inlineStr">
        <is>
          <t>F09</t>
        </is>
      </c>
      <c r="C175" s="13" t="n"/>
      <c r="D175" s="44" t="n"/>
    </row>
    <row r="176">
      <c r="B176" s="12" t="inlineStr">
        <is>
          <t>F10</t>
        </is>
      </c>
      <c r="C176" s="13" t="n"/>
      <c r="D176" s="44" t="n"/>
    </row>
    <row r="177">
      <c r="B177" s="12" t="inlineStr">
        <is>
          <t>G01</t>
        </is>
      </c>
      <c r="C177" s="13" t="n"/>
      <c r="D177" s="44" t="n"/>
    </row>
    <row r="178">
      <c r="B178" s="12" t="inlineStr">
        <is>
          <t>G02</t>
        </is>
      </c>
      <c r="C178" s="13" t="n"/>
      <c r="D178" s="44" t="n"/>
    </row>
    <row r="179">
      <c r="B179" s="12" t="inlineStr">
        <is>
          <t>G03</t>
        </is>
      </c>
      <c r="C179" s="13" t="n"/>
      <c r="D179" s="44" t="n"/>
    </row>
    <row r="180">
      <c r="B180" s="12" t="inlineStr">
        <is>
          <t>G04</t>
        </is>
      </c>
      <c r="C180" s="13" t="n"/>
      <c r="D180" s="44" t="n"/>
    </row>
    <row r="181">
      <c r="B181" s="12" t="inlineStr">
        <is>
          <t>G05</t>
        </is>
      </c>
      <c r="C181" s="13" t="n"/>
      <c r="D181" s="44" t="n"/>
    </row>
    <row r="182">
      <c r="B182" s="12" t="inlineStr">
        <is>
          <t>G06</t>
        </is>
      </c>
      <c r="C182" s="13" t="n"/>
      <c r="D182" s="44" t="n"/>
    </row>
    <row r="183">
      <c r="B183" s="12" t="inlineStr">
        <is>
          <t>G07</t>
        </is>
      </c>
      <c r="C183" s="13" t="n"/>
      <c r="D183" s="44" t="n"/>
    </row>
    <row r="184">
      <c r="B184" s="12" t="inlineStr">
        <is>
          <t>G08</t>
        </is>
      </c>
      <c r="C184" s="13" t="n"/>
      <c r="D184" s="44" t="n"/>
    </row>
    <row r="185">
      <c r="B185" s="12" t="inlineStr">
        <is>
          <t>G09</t>
        </is>
      </c>
      <c r="C185" s="13" t="n"/>
      <c r="D185" s="44" t="n"/>
    </row>
    <row r="186">
      <c r="B186" s="12" t="inlineStr">
        <is>
          <t>G10</t>
        </is>
      </c>
      <c r="C186" s="13" t="n"/>
      <c r="D186" s="44" t="n"/>
    </row>
    <row r="187">
      <c r="B187" s="12" t="inlineStr">
        <is>
          <t>H01</t>
        </is>
      </c>
      <c r="C187" s="13" t="n"/>
      <c r="D187" s="44" t="n"/>
    </row>
    <row r="188">
      <c r="B188" s="12" t="inlineStr">
        <is>
          <t>H02</t>
        </is>
      </c>
      <c r="C188" s="13" t="n"/>
      <c r="D188" s="44" t="n"/>
    </row>
    <row r="189">
      <c r="B189" s="12" t="inlineStr">
        <is>
          <t>H03</t>
        </is>
      </c>
      <c r="C189" s="13" t="n"/>
      <c r="D189" s="44" t="n"/>
    </row>
    <row r="190">
      <c r="B190" s="12" t="inlineStr">
        <is>
          <t>H04</t>
        </is>
      </c>
      <c r="C190" s="13" t="n"/>
      <c r="D190" s="44" t="n"/>
    </row>
    <row r="191">
      <c r="B191" s="12" t="inlineStr">
        <is>
          <t>H05</t>
        </is>
      </c>
      <c r="C191" s="13" t="n"/>
      <c r="D191" s="44" t="n"/>
    </row>
    <row r="192">
      <c r="B192" s="12" t="inlineStr">
        <is>
          <t>H06</t>
        </is>
      </c>
      <c r="C192" s="13" t="n"/>
      <c r="D192" s="44" t="n"/>
    </row>
    <row r="193">
      <c r="B193" s="12" t="inlineStr">
        <is>
          <t>H07</t>
        </is>
      </c>
      <c r="C193" s="13" t="n"/>
      <c r="D193" s="44" t="n"/>
    </row>
    <row r="194">
      <c r="B194" s="12" t="inlineStr">
        <is>
          <t>H08</t>
        </is>
      </c>
      <c r="C194" s="13" t="n"/>
      <c r="D194" s="44" t="n"/>
    </row>
    <row r="195">
      <c r="B195" s="12" t="inlineStr">
        <is>
          <t>H09</t>
        </is>
      </c>
      <c r="C195" s="13" t="n"/>
      <c r="D195" s="44" t="n"/>
    </row>
    <row r="196">
      <c r="B196" s="12" t="inlineStr">
        <is>
          <t>H10</t>
        </is>
      </c>
      <c r="C196" s="13" t="n"/>
      <c r="D196" s="44" t="n"/>
    </row>
    <row r="197">
      <c r="B197" s="12" t="inlineStr">
        <is>
          <t>I01</t>
        </is>
      </c>
      <c r="C197" s="13" t="n"/>
      <c r="D197" s="44" t="n"/>
    </row>
    <row r="198">
      <c r="B198" s="12" t="inlineStr">
        <is>
          <t>I02</t>
        </is>
      </c>
      <c r="C198" s="13" t="n"/>
      <c r="D198" s="44" t="n"/>
    </row>
    <row r="199">
      <c r="B199" s="12" t="inlineStr">
        <is>
          <t>I03</t>
        </is>
      </c>
      <c r="C199" s="13" t="n"/>
      <c r="D199" s="44" t="n"/>
    </row>
    <row r="200">
      <c r="B200" s="12" t="inlineStr">
        <is>
          <t>I04</t>
        </is>
      </c>
      <c r="C200" s="13" t="n"/>
      <c r="D200" s="44" t="n"/>
    </row>
    <row r="201">
      <c r="B201" s="12" t="inlineStr">
        <is>
          <t>I05</t>
        </is>
      </c>
      <c r="C201" s="13" t="n"/>
      <c r="D201" s="44" t="n"/>
    </row>
    <row r="202">
      <c r="B202" s="12" t="inlineStr">
        <is>
          <t>I06</t>
        </is>
      </c>
      <c r="C202" s="13" t="n"/>
      <c r="D202" s="44" t="n"/>
    </row>
    <row r="203">
      <c r="B203" s="12" t="inlineStr">
        <is>
          <t>I07</t>
        </is>
      </c>
      <c r="C203" s="13" t="n"/>
      <c r="D203" s="44" t="n"/>
    </row>
    <row r="204">
      <c r="B204" s="12" t="inlineStr">
        <is>
          <t>I08</t>
        </is>
      </c>
      <c r="C204" s="13" t="n"/>
      <c r="D204" s="44" t="n"/>
    </row>
    <row r="205">
      <c r="B205" s="12" t="inlineStr">
        <is>
          <t>I09</t>
        </is>
      </c>
      <c r="C205" s="13" t="n"/>
      <c r="D205" s="44" t="n"/>
    </row>
    <row r="206">
      <c r="B206" s="12" t="inlineStr">
        <is>
          <t>I10</t>
        </is>
      </c>
      <c r="C206" s="13" t="n"/>
      <c r="D206" s="44" t="n"/>
    </row>
    <row r="207">
      <c r="B207" s="12" t="inlineStr">
        <is>
          <t>J01</t>
        </is>
      </c>
      <c r="C207" s="13" t="n"/>
      <c r="D207" s="44" t="n"/>
    </row>
    <row r="208">
      <c r="B208" s="12" t="inlineStr">
        <is>
          <t>J02</t>
        </is>
      </c>
      <c r="C208" s="13" t="n"/>
      <c r="D208" s="44" t="n"/>
    </row>
    <row r="209">
      <c r="B209" s="12" t="inlineStr">
        <is>
          <t>J03</t>
        </is>
      </c>
      <c r="C209" s="13" t="n"/>
      <c r="D209" s="44" t="n"/>
    </row>
    <row r="210">
      <c r="B210" s="12" t="inlineStr">
        <is>
          <t>J04</t>
        </is>
      </c>
      <c r="C210" s="13" t="n"/>
      <c r="D210" s="44" t="n"/>
    </row>
    <row r="211">
      <c r="B211" s="12" t="inlineStr">
        <is>
          <t>J05</t>
        </is>
      </c>
      <c r="C211" s="13" t="n"/>
      <c r="D211" s="44" t="n"/>
    </row>
    <row r="212">
      <c r="B212" s="12" t="inlineStr">
        <is>
          <t>J06</t>
        </is>
      </c>
      <c r="C212" s="13" t="n"/>
      <c r="D212" s="44" t="n"/>
    </row>
    <row r="213">
      <c r="B213" s="12" t="inlineStr">
        <is>
          <t>J07</t>
        </is>
      </c>
      <c r="C213" s="13" t="n"/>
      <c r="D213" s="44" t="n"/>
    </row>
    <row r="214">
      <c r="B214" s="12" t="inlineStr">
        <is>
          <t>J08</t>
        </is>
      </c>
      <c r="C214" s="13" t="n"/>
      <c r="D214" s="44" t="n"/>
    </row>
    <row r="215">
      <c r="B215" s="12" t="inlineStr">
        <is>
          <t>J09</t>
        </is>
      </c>
      <c r="C215" s="13" t="n"/>
      <c r="D215" s="44" t="n"/>
    </row>
    <row r="216">
      <c r="B216" s="12" t="inlineStr">
        <is>
          <t>J10</t>
        </is>
      </c>
      <c r="C216" s="13" t="n"/>
      <c r="D216" s="44" t="n"/>
    </row>
    <row r="217">
      <c r="B217" s="45" t="inlineStr">
        <is>
          <t>PO1</t>
        </is>
      </c>
      <c r="C217" s="46" t="n"/>
      <c r="D217" s="47" t="n"/>
    </row>
    <row r="218">
      <c r="B218" s="45" t="inlineStr">
        <is>
          <t>PO2</t>
        </is>
      </c>
      <c r="C218" s="46" t="n"/>
      <c r="D218" s="47" t="n"/>
    </row>
    <row r="219">
      <c r="B219" s="45" t="inlineStr">
        <is>
          <t>PO3</t>
        </is>
      </c>
      <c r="C219" s="46" t="n"/>
      <c r="D219" s="47" t="n"/>
    </row>
    <row r="220">
      <c r="B220" s="45" t="inlineStr">
        <is>
          <t>PO4</t>
        </is>
      </c>
      <c r="C220" s="46" t="n"/>
      <c r="D220" s="47" t="n"/>
    </row>
    <row r="221">
      <c r="B221" s="45" t="inlineStr">
        <is>
          <t>PO5</t>
        </is>
      </c>
      <c r="C221" s="46" t="n"/>
      <c r="D221" s="47" t="n"/>
    </row>
    <row r="222">
      <c r="B222" s="45" t="inlineStr">
        <is>
          <t>PO6</t>
        </is>
      </c>
      <c r="C222" s="46" t="n"/>
      <c r="D222" s="47" t="n"/>
    </row>
    <row r="223">
      <c r="B223" s="45" t="inlineStr">
        <is>
          <t>PO7</t>
        </is>
      </c>
      <c r="C223" s="46" t="n"/>
      <c r="D223" s="47" t="n"/>
    </row>
    <row r="224">
      <c r="B224" s="45" t="inlineStr">
        <is>
          <t>PO8</t>
        </is>
      </c>
      <c r="C224" s="46" t="n"/>
      <c r="D224" s="47" t="n"/>
    </row>
    <row r="225">
      <c r="B225" s="48" t="inlineStr">
        <is>
          <t>TBD</t>
        </is>
      </c>
      <c r="C225" s="49" t="inlineStr">
        <is>
          <t>DA DEFINIRE</t>
        </is>
      </c>
      <c r="D225" s="50" t="inlineStr"/>
    </row>
    <row r="227">
      <c r="C227" s="51" t="inlineStr">
        <is>
          <t>Sfondo azzurro: campi neutri (codici PO1-PO8), non appartenenti ad alcuna squadra, usati per la fase a eliminazione diretta.</t>
        </is>
      </c>
    </row>
    <row r="228">
      <c r="C228" s="51" t="inlineStr">
        <is>
          <t>Sfondo verde: campo ancora da definire (codice TBD).</t>
        </is>
      </c>
    </row>
  </sheetData>
  <mergeCells count="18">
    <mergeCell ref="B6:C6"/>
    <mergeCell ref="AW12:BF12"/>
    <mergeCell ref="B2:C2"/>
    <mergeCell ref="B7:C7"/>
    <mergeCell ref="B3:C3"/>
    <mergeCell ref="B5:C5"/>
    <mergeCell ref="B1:D1"/>
    <mergeCell ref="B115:D115"/>
    <mergeCell ref="B10:C10"/>
    <mergeCell ref="Y12:AH12"/>
    <mergeCell ref="AK12:AT12"/>
    <mergeCell ref="B9:C9"/>
    <mergeCell ref="B8:C8"/>
    <mergeCell ref="B12:W12"/>
    <mergeCell ref="B4:C4"/>
    <mergeCell ref="BI12:BR12"/>
    <mergeCell ref="BU12:CD12"/>
    <mergeCell ref="B11:C11"/>
  </mergeCells>
  <dataValidations count="1">
    <dataValidation sqref="E14:E113" showDropDown="0" showInputMessage="0" showErrorMessage="0" allowBlank="1" errorTitle="Girone non valido" error="Usare una delle lettere elencate nel parametro Gironi." type="list">
      <formula1>"A,B,C,D,E,F,G,H,I,J"</formula1>
    </dataValidation>
  </dataValidation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B8860B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 t="str">
        <f>IFERROR(IMAGE(constLogo1),"")</f>
        <v/>
      </c>
      <c r="I1" t="str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53">
        <f>"GIRONE "&amp;UPPER($O$3)&amp;" - Stagione "&amp;constStagionaCampionato</f>
        <v/>
      </c>
      <c r="M3" t="str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55" t="inlineStr">
        <is>
          <t>1A</t>
        </is>
      </c>
      <c r="B8" s="5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</row>
    <row r="10" ht="24" customHeight="1">
      <c r="A10" s="60" t="n">
        <v>1</v>
      </c>
      <c r="B10" s="61">
        <f>IF(C10="","",IFERROR(VLOOKUP(C10,areaNomiBreviSquadre,7,FALSE),""))</f>
        <v/>
      </c>
      <c r="C10" s="62" t="n"/>
      <c r="D10" s="61">
        <f>IF(E10="","",IFERROR(VLOOKUP(E10,areaNomiBreviSquadre,7,FALSE),""))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</row>
    <row r="13" ht="24" customHeight="1">
      <c r="A13" s="60">
        <f>MAX(A$10:A12)+1</f>
        <v/>
      </c>
      <c r="B13" s="61">
        <f>IF(C13="","",IFERROR(VLOOKUP(C13,areaNomiBreviSquadre,7,FALSE),""))</f>
        <v/>
      </c>
      <c r="C13" s="62" t="n"/>
      <c r="D13" s="61">
        <f>IF(E13="","",IFERROR(VLOOKUP(E13,areaNomiBreviSquadre,7,FALSE),""))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</row>
    <row r="16" ht="24" customHeight="1">
      <c r="A16" s="60">
        <f>MAX(A$10:A15)+1</f>
        <v/>
      </c>
      <c r="B16" s="61">
        <f>IF(C16="","",IFERROR(VLOOKUP(C16,areaNomiBreviSquadre,7,FALSE),""))</f>
        <v/>
      </c>
      <c r="C16" s="62" t="n"/>
      <c r="D16" s="61">
        <f>IF(E16="","",IFERROR(VLOOKUP(E16,areaNomiBreviSquadre,7,FALSE),""))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</row>
    <row r="19" ht="24" customHeight="1">
      <c r="A19" s="60">
        <f>MAX(A$10:A18)+1</f>
        <v/>
      </c>
      <c r="B19" s="61">
        <f>IF(C19="","",IFERROR(VLOOKUP(C19,areaNomiBreviSquadre,7,FALSE),""))</f>
        <v/>
      </c>
      <c r="C19" s="62" t="n"/>
      <c r="D19" s="61">
        <f>IF(E19="","",IFERROR(VLOOKUP(E19,areaNomiBreviSquadre,7,FALSE),""))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</row>
    <row r="22" ht="24" customHeight="1">
      <c r="A22" s="60">
        <f>MAX(A$10:A21)+1</f>
        <v/>
      </c>
      <c r="B22" s="61">
        <f>IF(C22="","",IFERROR(VLOOKUP(C22,areaNomiBreviSquadre,7,FALSE),""))</f>
        <v/>
      </c>
      <c r="C22" s="62" t="n"/>
      <c r="D22" s="61">
        <f>IF(E22="","",IFERROR(VLOOKUP(E22,areaNomiBreviSquadre,7,FALSE),""))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55" t="inlineStr">
        <is>
          <t>2A</t>
        </is>
      </c>
      <c r="B25" s="56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58" t="inlineStr">
        <is>
          <t>Gara N.</t>
        </is>
      </c>
      <c r="B26" s="58" t="inlineStr">
        <is>
          <t>Squadra A</t>
        </is>
      </c>
      <c r="C26" s="10" t="n"/>
      <c r="D26" s="58" t="inlineStr">
        <is>
          <t>Squadra B</t>
        </is>
      </c>
      <c r="E26" s="10" t="n"/>
      <c r="F26" s="58" t="inlineStr">
        <is>
          <t>Giorno</t>
        </is>
      </c>
      <c r="G26" s="58" t="inlineStr">
        <is>
          <t>Data</t>
        </is>
      </c>
      <c r="H26" s="58" t="inlineStr">
        <is>
          <t>Ora</t>
        </is>
      </c>
      <c r="I26" s="10" t="n"/>
      <c r="J26" s="58" t="inlineStr">
        <is>
          <t>Risultato</t>
        </is>
      </c>
      <c r="K26" s="9" t="n"/>
      <c r="L26" s="10" t="n"/>
    </row>
    <row r="27" ht="24" customHeight="1">
      <c r="A27" s="60">
        <f>MAX(A$10:A26)+1</f>
        <v/>
      </c>
      <c r="B27" s="61">
        <f>IF(C27="","",IFERROR(VLOOKUP(C27,areaNomiBreviSquadre,7,FALSE),""))</f>
        <v/>
      </c>
      <c r="C27" s="62" t="n"/>
      <c r="D27" s="61">
        <f>IF(E27="","",IFERROR(VLOOKUP(E27,areaNomiBreviSquadre,7,FALSE),""))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IF($J27+$L27=0,,IF($J27&lt;$L27,IF($J27&amp;"-"&amp;$L27=MID(constPunteggioForfait,FIND("-",constPunteggioForfait)+1,LEN(constPunteggioForfait))&amp;"-"&amp;LEFT(constPunteggioForfait,FIND("-",constPunteggioForfait)-1),1,0),0))</f>
        <v/>
      </c>
      <c r="P27" s="67">
        <f>IF($J27+$L27=0,,IF($J27&lt;$L27,IF($J27&amp;"-"&amp;$L27&lt;&gt;MID(constPunteggioForfait,FIND("-",constPunteggioForfait)+1,LEN(constPunteggioForfait))&amp;"-"&amp;LEFT(constPunteggioForfait,FIND("-",constPunteggioForfait)-1),1,0),0))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IF($J27+$L27=0,,IF($L27&lt;$J27,IF($J27&amp;"-"&amp;$L27=constPunteggioForfait,1,0),0))</f>
        <v/>
      </c>
      <c r="W27" s="67">
        <f>IF($J27+$L27=0,,IF($L27&lt;$J27,IF($J27&amp;"-"&amp;$L27&lt;&gt;constPunteggioForfait,1,0),0))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IF(I28="","",HYPERLINK(VLOOKUP(I28,areaCampiSquadre,3,FALSE),VLOOKUP(I28,areaCampiSquadre,2,FALSE)))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58" t="inlineStr">
        <is>
          <t>Gara N.</t>
        </is>
      </c>
      <c r="B29" s="58" t="inlineStr">
        <is>
          <t>Squadra A</t>
        </is>
      </c>
      <c r="C29" s="10" t="n"/>
      <c r="D29" s="58" t="inlineStr">
        <is>
          <t>Squadra B</t>
        </is>
      </c>
      <c r="E29" s="10" t="n"/>
      <c r="F29" s="58" t="inlineStr">
        <is>
          <t>Giorno</t>
        </is>
      </c>
      <c r="G29" s="58" t="inlineStr">
        <is>
          <t>Data</t>
        </is>
      </c>
      <c r="H29" s="58" t="inlineStr">
        <is>
          <t>Ora</t>
        </is>
      </c>
      <c r="I29" s="10" t="n"/>
      <c r="J29" s="58" t="inlineStr">
        <is>
          <t>Risultato</t>
        </is>
      </c>
      <c r="K29" s="9" t="n"/>
      <c r="L29" s="10" t="n"/>
    </row>
    <row r="30" ht="24" customHeight="1">
      <c r="A30" s="60">
        <f>MAX(A$10:A29)+1</f>
        <v/>
      </c>
      <c r="B30" s="61">
        <f>IF(C30="","",IFERROR(VLOOKUP(C30,areaNomiBreviSquadre,7,FALSE),""))</f>
        <v/>
      </c>
      <c r="C30" s="62" t="n"/>
      <c r="D30" s="61">
        <f>IF(E30="","",IFERROR(VLOOKUP(E30,areaNomiBreviSquadre,7,FALSE),""))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IF($J30+$L30=0,,IF($J30&lt;$L30,IF($J30&amp;"-"&amp;$L30=MID(constPunteggioForfait,FIND("-",constPunteggioForfait)+1,LEN(constPunteggioForfait))&amp;"-"&amp;LEFT(constPunteggioForfait,FIND("-",constPunteggioForfait)-1),1,0),0))</f>
        <v/>
      </c>
      <c r="P30" s="67">
        <f>IF($J30+$L30=0,,IF($J30&lt;$L30,IF($J30&amp;"-"&amp;$L30&lt;&gt;MID(constPunteggioForfait,FIND("-",constPunteggioForfait)+1,LEN(constPunteggioForfait))&amp;"-"&amp;LEFT(constPunteggioForfait,FIND("-",constPunteggioForfait)-1),1,0),0))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IF($J30+$L30=0,,IF($L30&lt;$J30,IF($J30&amp;"-"&amp;$L30=constPunteggioForfait,1,0),0))</f>
        <v/>
      </c>
      <c r="W30" s="67">
        <f>IF($J30+$L30=0,,IF($L30&lt;$J30,IF($J30&amp;"-"&amp;$L30&lt;&gt;constPunteggioForfait,1,0),0))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IF(I31="","",HYPERLINK(VLOOKUP(I31,areaCampiSquadre,3,FALSE),VLOOKUP(I31,areaCampiSquadre,2,FALSE)))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58" t="inlineStr">
        <is>
          <t>Gara N.</t>
        </is>
      </c>
      <c r="B32" s="58" t="inlineStr">
        <is>
          <t>Squadra A</t>
        </is>
      </c>
      <c r="C32" s="10" t="n"/>
      <c r="D32" s="58" t="inlineStr">
        <is>
          <t>Squadra B</t>
        </is>
      </c>
      <c r="E32" s="10" t="n"/>
      <c r="F32" s="58" t="inlineStr">
        <is>
          <t>Giorno</t>
        </is>
      </c>
      <c r="G32" s="58" t="inlineStr">
        <is>
          <t>Data</t>
        </is>
      </c>
      <c r="H32" s="58" t="inlineStr">
        <is>
          <t>Ora</t>
        </is>
      </c>
      <c r="I32" s="10" t="n"/>
      <c r="J32" s="58" t="inlineStr">
        <is>
          <t>Risultato</t>
        </is>
      </c>
      <c r="K32" s="9" t="n"/>
      <c r="L32" s="10" t="n"/>
    </row>
    <row r="33" ht="24" customHeight="1">
      <c r="A33" s="60">
        <f>MAX(A$10:A32)+1</f>
        <v/>
      </c>
      <c r="B33" s="61">
        <f>IF(C33="","",IFERROR(VLOOKUP(C33,areaNomiBreviSquadre,7,FALSE),""))</f>
        <v/>
      </c>
      <c r="C33" s="62" t="n"/>
      <c r="D33" s="61">
        <f>IF(E33="","",IFERROR(VLOOKUP(E33,areaNomiBreviSquadre,7,FALSE),""))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IF($J33+$L33=0,,IF($J33&lt;$L33,IF($J33&amp;"-"&amp;$L33=MID(constPunteggioForfait,FIND("-",constPunteggioForfait)+1,LEN(constPunteggioForfait))&amp;"-"&amp;LEFT(constPunteggioForfait,FIND("-",constPunteggioForfait)-1),1,0),0))</f>
        <v/>
      </c>
      <c r="P33" s="67">
        <f>IF($J33+$L33=0,,IF($J33&lt;$L33,IF($J33&amp;"-"&amp;$L33&lt;&gt;MID(constPunteggioForfait,FIND("-",constPunteggioForfait)+1,LEN(constPunteggioForfait))&amp;"-"&amp;LEFT(constPunteggioForfait,FIND("-",constPunteggioForfait)-1),1,0),0))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IF($J33+$L33=0,,IF($L33&lt;$J33,IF($J33&amp;"-"&amp;$L33=constPunteggioForfait,1,0),0))</f>
        <v/>
      </c>
      <c r="W33" s="67">
        <f>IF($J33+$L33=0,,IF($L33&lt;$J33,IF($J33&amp;"-"&amp;$L33&lt;&gt;constPunteggioForfait,1,0),0))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IF(I34="","",HYPERLINK(VLOOKUP(I34,areaCampiSquadre,3,FALSE),VLOOKUP(I34,areaCampiSquadre,2,FALSE)))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58" t="inlineStr">
        <is>
          <t>Gara N.</t>
        </is>
      </c>
      <c r="B35" s="58" t="inlineStr">
        <is>
          <t>Squadra A</t>
        </is>
      </c>
      <c r="C35" s="10" t="n"/>
      <c r="D35" s="58" t="inlineStr">
        <is>
          <t>Squadra B</t>
        </is>
      </c>
      <c r="E35" s="10" t="n"/>
      <c r="F35" s="58" t="inlineStr">
        <is>
          <t>Giorno</t>
        </is>
      </c>
      <c r="G35" s="58" t="inlineStr">
        <is>
          <t>Data</t>
        </is>
      </c>
      <c r="H35" s="58" t="inlineStr">
        <is>
          <t>Ora</t>
        </is>
      </c>
      <c r="I35" s="10" t="n"/>
      <c r="J35" s="58" t="inlineStr">
        <is>
          <t>Risultato</t>
        </is>
      </c>
      <c r="K35" s="9" t="n"/>
      <c r="L35" s="10" t="n"/>
    </row>
    <row r="36" ht="24" customHeight="1">
      <c r="A36" s="60">
        <f>MAX(A$10:A35)+1</f>
        <v/>
      </c>
      <c r="B36" s="61">
        <f>IF(C36="","",IFERROR(VLOOKUP(C36,areaNomiBreviSquadre,7,FALSE),""))</f>
        <v/>
      </c>
      <c r="C36" s="62" t="n"/>
      <c r="D36" s="61">
        <f>IF(E36="","",IFERROR(VLOOKUP(E36,areaNomiBreviSquadre,7,FALSE),""))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IF($J36+$L36=0,,IF($J36&lt;$L36,IF($J36&amp;"-"&amp;$L36=MID(constPunteggioForfait,FIND("-",constPunteggioForfait)+1,LEN(constPunteggioForfait))&amp;"-"&amp;LEFT(constPunteggioForfait,FIND("-",constPunteggioForfait)-1),1,0),0))</f>
        <v/>
      </c>
      <c r="P36" s="67">
        <f>IF($J36+$L36=0,,IF($J36&lt;$L36,IF($J36&amp;"-"&amp;$L36&lt;&gt;MID(constPunteggioForfait,FIND("-",constPunteggioForfait)+1,LEN(constPunteggioForfait))&amp;"-"&amp;LEFT(constPunteggioForfait,FIND("-",constPunteggioForfait)-1),1,0),0))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IF($J36+$L36=0,,IF($L36&lt;$J36,IF($J36&amp;"-"&amp;$L36=constPunteggioForfait,1,0),0))</f>
        <v/>
      </c>
      <c r="W36" s="67">
        <f>IF($J36+$L36=0,,IF($L36&lt;$J36,IF($J36&amp;"-"&amp;$L36&lt;&gt;constPunteggioForfait,1,0),0))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IF(I37="","",HYPERLINK(VLOOKUP(I37,areaCampiSquadre,3,FALSE),VLOOKUP(I37,areaCampiSquadre,2,FALSE)))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58" t="inlineStr">
        <is>
          <t>Gara N.</t>
        </is>
      </c>
      <c r="B38" s="58" t="inlineStr">
        <is>
          <t>Squadra A</t>
        </is>
      </c>
      <c r="C38" s="10" t="n"/>
      <c r="D38" s="58" t="inlineStr">
        <is>
          <t>Squadra B</t>
        </is>
      </c>
      <c r="E38" s="10" t="n"/>
      <c r="F38" s="58" t="inlineStr">
        <is>
          <t>Giorno</t>
        </is>
      </c>
      <c r="G38" s="58" t="inlineStr">
        <is>
          <t>Data</t>
        </is>
      </c>
      <c r="H38" s="58" t="inlineStr">
        <is>
          <t>Ora</t>
        </is>
      </c>
      <c r="I38" s="10" t="n"/>
      <c r="J38" s="58" t="inlineStr">
        <is>
          <t>Risultato</t>
        </is>
      </c>
      <c r="K38" s="9" t="n"/>
      <c r="L38" s="10" t="n"/>
    </row>
    <row r="39" ht="24" customHeight="1">
      <c r="A39" s="60">
        <f>MAX(A$10:A38)+1</f>
        <v/>
      </c>
      <c r="B39" s="61">
        <f>IF(C39="","",IFERROR(VLOOKUP(C39,areaNomiBreviSquadre,7,FALSE),""))</f>
        <v/>
      </c>
      <c r="C39" s="62" t="n"/>
      <c r="D39" s="61">
        <f>IF(E39="","",IFERROR(VLOOKUP(E39,areaNomiBreviSquadre,7,FALSE),""))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IF($J39+$L39=0,,IF($J39&lt;$L39,IF($J39&amp;"-"&amp;$L39=MID(constPunteggioForfait,FIND("-",constPunteggioForfait)+1,LEN(constPunteggioForfait))&amp;"-"&amp;LEFT(constPunteggioForfait,FIND("-",constPunteggioForfait)-1),1,0),0))</f>
        <v/>
      </c>
      <c r="P39" s="67">
        <f>IF($J39+$L39=0,,IF($J39&lt;$L39,IF($J39&amp;"-"&amp;$L39&lt;&gt;MID(constPunteggioForfait,FIND("-",constPunteggioForfait)+1,LEN(constPunteggioForfait))&amp;"-"&amp;LEFT(constPunteggioForfait,FIND("-",constPunteggioForfait)-1),1,0),0))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IF($J39+$L39=0,,IF($L39&lt;$J39,IF($J39&amp;"-"&amp;$L39=constPunteggioForfait,1,0),0))</f>
        <v/>
      </c>
      <c r="W39" s="67">
        <f>IF($J39+$L39=0,,IF($L39&lt;$J39,IF($J39&amp;"-"&amp;$L39&lt;&gt;constPunteggioForfait,1,0),0))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IF(I40="","",HYPERLINK(VLOOKUP(I40,areaCampiSquadre,3,FALSE),VLOOKUP(I40,areaCampiSquadre,2,FALSE)))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55" t="inlineStr">
        <is>
          <t>3A</t>
        </is>
      </c>
      <c r="B42" s="56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58" t="inlineStr">
        <is>
          <t>Gara N.</t>
        </is>
      </c>
      <c r="B43" s="58" t="inlineStr">
        <is>
          <t>Squadra A</t>
        </is>
      </c>
      <c r="C43" s="10" t="n"/>
      <c r="D43" s="58" t="inlineStr">
        <is>
          <t>Squadra B</t>
        </is>
      </c>
      <c r="E43" s="10" t="n"/>
      <c r="F43" s="58" t="inlineStr">
        <is>
          <t>Giorno</t>
        </is>
      </c>
      <c r="G43" s="58" t="inlineStr">
        <is>
          <t>Data</t>
        </is>
      </c>
      <c r="H43" s="58" t="inlineStr">
        <is>
          <t>Ora</t>
        </is>
      </c>
      <c r="I43" s="10" t="n"/>
      <c r="J43" s="58" t="inlineStr">
        <is>
          <t>Risultato</t>
        </is>
      </c>
      <c r="K43" s="9" t="n"/>
      <c r="L43" s="10" t="n"/>
    </row>
    <row r="44" ht="24" customHeight="1">
      <c r="A44" s="60">
        <f>MAX(A$10:A43)+1</f>
        <v/>
      </c>
      <c r="B44" s="61">
        <f>IF(C44="","",IFERROR(VLOOKUP(C44,areaNomiBreviSquadre,7,FALSE),""))</f>
        <v/>
      </c>
      <c r="C44" s="62" t="n"/>
      <c r="D44" s="61">
        <f>IF(E44="","",IFERROR(VLOOKUP(E44,areaNomiBreviSquadre,7,FALSE),""))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IF($J44+$L44=0,,IF($J44&lt;$L44,IF($J44&amp;"-"&amp;$L44=MID(constPunteggioForfait,FIND("-",constPunteggioForfait)+1,LEN(constPunteggioForfait))&amp;"-"&amp;LEFT(constPunteggioForfait,FIND("-",constPunteggioForfait)-1),1,0),0))</f>
        <v/>
      </c>
      <c r="P44" s="67">
        <f>IF($J44+$L44=0,,IF($J44&lt;$L44,IF($J44&amp;"-"&amp;$L44&lt;&gt;MID(constPunteggioForfait,FIND("-",constPunteggioForfait)+1,LEN(constPunteggioForfait))&amp;"-"&amp;LEFT(constPunteggioForfait,FIND("-",constPunteggioForfait)-1),1,0),0))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IF($J44+$L44=0,,IF($L44&lt;$J44,IF($J44&amp;"-"&amp;$L44=constPunteggioForfait,1,0),0))</f>
        <v/>
      </c>
      <c r="W44" s="67">
        <f>IF($J44+$L44=0,,IF($L44&lt;$J44,IF($J44&amp;"-"&amp;$L44&lt;&gt;constPunteggioForfait,1,0),0))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IF(I45="","",HYPERLINK(VLOOKUP(I45,areaCampiSquadre,3,FALSE),VLOOKUP(I45,areaCampiSquadre,2,FALSE)))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58" t="inlineStr">
        <is>
          <t>Gara N.</t>
        </is>
      </c>
      <c r="B46" s="58" t="inlineStr">
        <is>
          <t>Squadra A</t>
        </is>
      </c>
      <c r="C46" s="10" t="n"/>
      <c r="D46" s="58" t="inlineStr">
        <is>
          <t>Squadra B</t>
        </is>
      </c>
      <c r="E46" s="10" t="n"/>
      <c r="F46" s="58" t="inlineStr">
        <is>
          <t>Giorno</t>
        </is>
      </c>
      <c r="G46" s="58" t="inlineStr">
        <is>
          <t>Data</t>
        </is>
      </c>
      <c r="H46" s="58" t="inlineStr">
        <is>
          <t>Ora</t>
        </is>
      </c>
      <c r="I46" s="10" t="n"/>
      <c r="J46" s="58" t="inlineStr">
        <is>
          <t>Risultato</t>
        </is>
      </c>
      <c r="K46" s="9" t="n"/>
      <c r="L46" s="10" t="n"/>
    </row>
    <row r="47" ht="24" customHeight="1">
      <c r="A47" s="60">
        <f>MAX(A$10:A46)+1</f>
        <v/>
      </c>
      <c r="B47" s="61">
        <f>IF(C47="","",IFERROR(VLOOKUP(C47,areaNomiBreviSquadre,7,FALSE),""))</f>
        <v/>
      </c>
      <c r="C47" s="62" t="n"/>
      <c r="D47" s="61">
        <f>IF(E47="","",IFERROR(VLOOKUP(E47,areaNomiBreviSquadre,7,FALSE),""))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IF($J47+$L47=0,,IF($J47&lt;$L47,IF($J47&amp;"-"&amp;$L47=MID(constPunteggioForfait,FIND("-",constPunteggioForfait)+1,LEN(constPunteggioForfait))&amp;"-"&amp;LEFT(constPunteggioForfait,FIND("-",constPunteggioForfait)-1),1,0),0))</f>
        <v/>
      </c>
      <c r="P47" s="67">
        <f>IF($J47+$L47=0,,IF($J47&lt;$L47,IF($J47&amp;"-"&amp;$L47&lt;&gt;MID(constPunteggioForfait,FIND("-",constPunteggioForfait)+1,LEN(constPunteggioForfait))&amp;"-"&amp;LEFT(constPunteggioForfait,FIND("-",constPunteggioForfait)-1),1,0),0))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IF($J47+$L47=0,,IF($L47&lt;$J47,IF($J47&amp;"-"&amp;$L47=constPunteggioForfait,1,0),0))</f>
        <v/>
      </c>
      <c r="W47" s="67">
        <f>IF($J47+$L47=0,,IF($L47&lt;$J47,IF($J47&amp;"-"&amp;$L47&lt;&gt;constPunteggioForfait,1,0),0))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IF(I48="","",HYPERLINK(VLOOKUP(I48,areaCampiSquadre,3,FALSE),VLOOKUP(I48,areaCampiSquadre,2,FALSE)))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58" t="inlineStr">
        <is>
          <t>Gara N.</t>
        </is>
      </c>
      <c r="B49" s="58" t="inlineStr">
        <is>
          <t>Squadra A</t>
        </is>
      </c>
      <c r="C49" s="10" t="n"/>
      <c r="D49" s="58" t="inlineStr">
        <is>
          <t>Squadra B</t>
        </is>
      </c>
      <c r="E49" s="10" t="n"/>
      <c r="F49" s="58" t="inlineStr">
        <is>
          <t>Giorno</t>
        </is>
      </c>
      <c r="G49" s="58" t="inlineStr">
        <is>
          <t>Data</t>
        </is>
      </c>
      <c r="H49" s="58" t="inlineStr">
        <is>
          <t>Ora</t>
        </is>
      </c>
      <c r="I49" s="10" t="n"/>
      <c r="J49" s="58" t="inlineStr">
        <is>
          <t>Risultato</t>
        </is>
      </c>
      <c r="K49" s="9" t="n"/>
      <c r="L49" s="10" t="n"/>
    </row>
    <row r="50" ht="24" customHeight="1">
      <c r="A50" s="60">
        <f>MAX(A$10:A49)+1</f>
        <v/>
      </c>
      <c r="B50" s="61">
        <f>IF(C50="","",IFERROR(VLOOKUP(C50,areaNomiBreviSquadre,7,FALSE),""))</f>
        <v/>
      </c>
      <c r="C50" s="62" t="n"/>
      <c r="D50" s="61">
        <f>IF(E50="","",IFERROR(VLOOKUP(E50,areaNomiBreviSquadre,7,FALSE),""))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IF($J50+$L50=0,,IF($J50&lt;$L50,IF($J50&amp;"-"&amp;$L50=MID(constPunteggioForfait,FIND("-",constPunteggioForfait)+1,LEN(constPunteggioForfait))&amp;"-"&amp;LEFT(constPunteggioForfait,FIND("-",constPunteggioForfait)-1),1,0),0))</f>
        <v/>
      </c>
      <c r="P50" s="67">
        <f>IF($J50+$L50=0,,IF($J50&lt;$L50,IF($J50&amp;"-"&amp;$L50&lt;&gt;MID(constPunteggioForfait,FIND("-",constPunteggioForfait)+1,LEN(constPunteggioForfait))&amp;"-"&amp;LEFT(constPunteggioForfait,FIND("-",constPunteggioForfait)-1),1,0),0))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IF($J50+$L50=0,,IF($L50&lt;$J50,IF($J50&amp;"-"&amp;$L50=constPunteggioForfait,1,0),0))</f>
        <v/>
      </c>
      <c r="W50" s="67">
        <f>IF($J50+$L50=0,,IF($L50&lt;$J50,IF($J50&amp;"-"&amp;$L50&lt;&gt;constPunteggioForfait,1,0),0))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IF(I51="","",HYPERLINK(VLOOKUP(I51,areaCampiSquadre,3,FALSE),VLOOKUP(I51,areaCampiSquadre,2,FALSE)))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58" t="inlineStr">
        <is>
          <t>Gara N.</t>
        </is>
      </c>
      <c r="B52" s="58" t="inlineStr">
        <is>
          <t>Squadra A</t>
        </is>
      </c>
      <c r="C52" s="10" t="n"/>
      <c r="D52" s="58" t="inlineStr">
        <is>
          <t>Squadra B</t>
        </is>
      </c>
      <c r="E52" s="10" t="n"/>
      <c r="F52" s="58" t="inlineStr">
        <is>
          <t>Giorno</t>
        </is>
      </c>
      <c r="G52" s="58" t="inlineStr">
        <is>
          <t>Data</t>
        </is>
      </c>
      <c r="H52" s="58" t="inlineStr">
        <is>
          <t>Ora</t>
        </is>
      </c>
      <c r="I52" s="10" t="n"/>
      <c r="J52" s="58" t="inlineStr">
        <is>
          <t>Risultato</t>
        </is>
      </c>
      <c r="K52" s="9" t="n"/>
      <c r="L52" s="10" t="n"/>
    </row>
    <row r="53" ht="24" customHeight="1">
      <c r="A53" s="60">
        <f>MAX(A$10:A52)+1</f>
        <v/>
      </c>
      <c r="B53" s="61">
        <f>IF(C53="","",IFERROR(VLOOKUP(C53,areaNomiBreviSquadre,7,FALSE),""))</f>
        <v/>
      </c>
      <c r="C53" s="62" t="n"/>
      <c r="D53" s="61">
        <f>IF(E53="","",IFERROR(VLOOKUP(E53,areaNomiBreviSquadre,7,FALSE),""))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IF($J53+$L53=0,,IF($J53&lt;$L53,IF($J53&amp;"-"&amp;$L53=MID(constPunteggioForfait,FIND("-",constPunteggioForfait)+1,LEN(constPunteggioForfait))&amp;"-"&amp;LEFT(constPunteggioForfait,FIND("-",constPunteggioForfait)-1),1,0),0))</f>
        <v/>
      </c>
      <c r="P53" s="67">
        <f>IF($J53+$L53=0,,IF($J53&lt;$L53,IF($J53&amp;"-"&amp;$L53&lt;&gt;MID(constPunteggioForfait,FIND("-",constPunteggioForfait)+1,LEN(constPunteggioForfait))&amp;"-"&amp;LEFT(constPunteggioForfait,FIND("-",constPunteggioForfait)-1),1,0),0))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IF($J53+$L53=0,,IF($L53&lt;$J53,IF($J53&amp;"-"&amp;$L53=constPunteggioForfait,1,0),0))</f>
        <v/>
      </c>
      <c r="W53" s="67">
        <f>IF($J53+$L53=0,,IF($L53&lt;$J53,IF($J53&amp;"-"&amp;$L53&lt;&gt;constPunteggioForfait,1,0),0))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IF(I54="","",HYPERLINK(VLOOKUP(I54,areaCampiSquadre,3,FALSE),VLOOKUP(I54,areaCampiSquadre,2,FALSE)))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58" t="inlineStr">
        <is>
          <t>Gara N.</t>
        </is>
      </c>
      <c r="B55" s="58" t="inlineStr">
        <is>
          <t>Squadra A</t>
        </is>
      </c>
      <c r="C55" s="10" t="n"/>
      <c r="D55" s="58" t="inlineStr">
        <is>
          <t>Squadra B</t>
        </is>
      </c>
      <c r="E55" s="10" t="n"/>
      <c r="F55" s="58" t="inlineStr">
        <is>
          <t>Giorno</t>
        </is>
      </c>
      <c r="G55" s="58" t="inlineStr">
        <is>
          <t>Data</t>
        </is>
      </c>
      <c r="H55" s="58" t="inlineStr">
        <is>
          <t>Ora</t>
        </is>
      </c>
      <c r="I55" s="10" t="n"/>
      <c r="J55" s="58" t="inlineStr">
        <is>
          <t>Risultato</t>
        </is>
      </c>
      <c r="K55" s="9" t="n"/>
      <c r="L55" s="10" t="n"/>
    </row>
    <row r="56" ht="24" customHeight="1">
      <c r="A56" s="60">
        <f>MAX(A$10:A55)+1</f>
        <v/>
      </c>
      <c r="B56" s="61">
        <f>IF(C56="","",IFERROR(VLOOKUP(C56,areaNomiBreviSquadre,7,FALSE),""))</f>
        <v/>
      </c>
      <c r="C56" s="62" t="n"/>
      <c r="D56" s="61">
        <f>IF(E56="","",IFERROR(VLOOKUP(E56,areaNomiBreviSquadre,7,FALSE),""))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IF($J56+$L56=0,,IF($J56&lt;$L56,IF($J56&amp;"-"&amp;$L56=MID(constPunteggioForfait,FIND("-",constPunteggioForfait)+1,LEN(constPunteggioForfait))&amp;"-"&amp;LEFT(constPunteggioForfait,FIND("-",constPunteggioForfait)-1),1,0),0))</f>
        <v/>
      </c>
      <c r="P56" s="67">
        <f>IF($J56+$L56=0,,IF($J56&lt;$L56,IF($J56&amp;"-"&amp;$L56&lt;&gt;MID(constPunteggioForfait,FIND("-",constPunteggioForfait)+1,LEN(constPunteggioForfait))&amp;"-"&amp;LEFT(constPunteggioForfait,FIND("-",constPunteggioForfait)-1),1,0),0))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IF($J56+$L56=0,,IF($L56&lt;$J56,IF($J56&amp;"-"&amp;$L56=constPunteggioForfait,1,0),0))</f>
        <v/>
      </c>
      <c r="W56" s="67">
        <f>IF($J56+$L56=0,,IF($L56&lt;$J56,IF($J56&amp;"-"&amp;$L56&lt;&gt;constPunteggioForfait,1,0),0))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IF(I57="","",HYPERLINK(VLOOKUP(I57,areaCampiSquadre,3,FALSE),VLOOKUP(I57,areaCampiSquadre,2,FALSE)))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55" t="inlineStr">
        <is>
          <t>4A</t>
        </is>
      </c>
      <c r="B59" s="56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58" t="inlineStr">
        <is>
          <t>Gara N.</t>
        </is>
      </c>
      <c r="B60" s="58" t="inlineStr">
        <is>
          <t>Squadra A</t>
        </is>
      </c>
      <c r="C60" s="10" t="n"/>
      <c r="D60" s="58" t="inlineStr">
        <is>
          <t>Squadra B</t>
        </is>
      </c>
      <c r="E60" s="10" t="n"/>
      <c r="F60" s="58" t="inlineStr">
        <is>
          <t>Giorno</t>
        </is>
      </c>
      <c r="G60" s="58" t="inlineStr">
        <is>
          <t>Data</t>
        </is>
      </c>
      <c r="H60" s="58" t="inlineStr">
        <is>
          <t>Ora</t>
        </is>
      </c>
      <c r="I60" s="10" t="n"/>
      <c r="J60" s="58" t="inlineStr">
        <is>
          <t>Risultato</t>
        </is>
      </c>
      <c r="K60" s="9" t="n"/>
      <c r="L60" s="10" t="n"/>
    </row>
    <row r="61" ht="24" customHeight="1">
      <c r="A61" s="60">
        <f>MAX(A$10:A60)+1</f>
        <v/>
      </c>
      <c r="B61" s="61">
        <f>IF(C61="","",IFERROR(VLOOKUP(C61,areaNomiBreviSquadre,7,FALSE),""))</f>
        <v/>
      </c>
      <c r="C61" s="62" t="n"/>
      <c r="D61" s="61">
        <f>IF(E61="","",IFERROR(VLOOKUP(E61,areaNomiBreviSquadre,7,FALSE),""))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IF($J61+$L61=0,,IF($J61&lt;$L61,IF($J61&amp;"-"&amp;$L61=MID(constPunteggioForfait,FIND("-",constPunteggioForfait)+1,LEN(constPunteggioForfait))&amp;"-"&amp;LEFT(constPunteggioForfait,FIND("-",constPunteggioForfait)-1),1,0),0))</f>
        <v/>
      </c>
      <c r="P61" s="67">
        <f>IF($J61+$L61=0,,IF($J61&lt;$L61,IF($J61&amp;"-"&amp;$L61&lt;&gt;MID(constPunteggioForfait,FIND("-",constPunteggioForfait)+1,LEN(constPunteggioForfait))&amp;"-"&amp;LEFT(constPunteggioForfait,FIND("-",constPunteggioForfait)-1),1,0),0))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IF($J61+$L61=0,,IF($L61&lt;$J61,IF($J61&amp;"-"&amp;$L61=constPunteggioForfait,1,0),0))</f>
        <v/>
      </c>
      <c r="W61" s="67">
        <f>IF($J61+$L61=0,,IF($L61&lt;$J61,IF($J61&amp;"-"&amp;$L61&lt;&gt;constPunteggioForfait,1,0),0))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IF(I62="","",HYPERLINK(VLOOKUP(I62,areaCampiSquadre,3,FALSE),VLOOKUP(I62,areaCampiSquadre,2,FALSE)))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58" t="inlineStr">
        <is>
          <t>Gara N.</t>
        </is>
      </c>
      <c r="B63" s="58" t="inlineStr">
        <is>
          <t>Squadra A</t>
        </is>
      </c>
      <c r="C63" s="10" t="n"/>
      <c r="D63" s="58" t="inlineStr">
        <is>
          <t>Squadra B</t>
        </is>
      </c>
      <c r="E63" s="10" t="n"/>
      <c r="F63" s="58" t="inlineStr">
        <is>
          <t>Giorno</t>
        </is>
      </c>
      <c r="G63" s="58" t="inlineStr">
        <is>
          <t>Data</t>
        </is>
      </c>
      <c r="H63" s="58" t="inlineStr">
        <is>
          <t>Ora</t>
        </is>
      </c>
      <c r="I63" s="10" t="n"/>
      <c r="J63" s="58" t="inlineStr">
        <is>
          <t>Risultato</t>
        </is>
      </c>
      <c r="K63" s="9" t="n"/>
      <c r="L63" s="10" t="n"/>
    </row>
    <row r="64" ht="24" customHeight="1">
      <c r="A64" s="60">
        <f>MAX(A$10:A63)+1</f>
        <v/>
      </c>
      <c r="B64" s="61">
        <f>IF(C64="","",IFERROR(VLOOKUP(C64,areaNomiBreviSquadre,7,FALSE),""))</f>
        <v/>
      </c>
      <c r="C64" s="62" t="n"/>
      <c r="D64" s="61">
        <f>IF(E64="","",IFERROR(VLOOKUP(E64,areaNomiBreviSquadre,7,FALSE),""))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IF($J64+$L64=0,,IF($J64&lt;$L64,IF($J64&amp;"-"&amp;$L64=MID(constPunteggioForfait,FIND("-",constPunteggioForfait)+1,LEN(constPunteggioForfait))&amp;"-"&amp;LEFT(constPunteggioForfait,FIND("-",constPunteggioForfait)-1),1,0),0))</f>
        <v/>
      </c>
      <c r="P64" s="67">
        <f>IF($J64+$L64=0,,IF($J64&lt;$L64,IF($J64&amp;"-"&amp;$L64&lt;&gt;MID(constPunteggioForfait,FIND("-",constPunteggioForfait)+1,LEN(constPunteggioForfait))&amp;"-"&amp;LEFT(constPunteggioForfait,FIND("-",constPunteggioForfait)-1),1,0),0))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IF($J64+$L64=0,,IF($L64&lt;$J64,IF($J64&amp;"-"&amp;$L64=constPunteggioForfait,1,0),0))</f>
        <v/>
      </c>
      <c r="W64" s="67">
        <f>IF($J64+$L64=0,,IF($L64&lt;$J64,IF($J64&amp;"-"&amp;$L64&lt;&gt;constPunteggioForfait,1,0),0))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IF(I65="","",HYPERLINK(VLOOKUP(I65,areaCampiSquadre,3,FALSE),VLOOKUP(I65,areaCampiSquadre,2,FALSE)))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58" t="inlineStr">
        <is>
          <t>Gara N.</t>
        </is>
      </c>
      <c r="B66" s="58" t="inlineStr">
        <is>
          <t>Squadra A</t>
        </is>
      </c>
      <c r="C66" s="10" t="n"/>
      <c r="D66" s="58" t="inlineStr">
        <is>
          <t>Squadra B</t>
        </is>
      </c>
      <c r="E66" s="10" t="n"/>
      <c r="F66" s="58" t="inlineStr">
        <is>
          <t>Giorno</t>
        </is>
      </c>
      <c r="G66" s="58" t="inlineStr">
        <is>
          <t>Data</t>
        </is>
      </c>
      <c r="H66" s="58" t="inlineStr">
        <is>
          <t>Ora</t>
        </is>
      </c>
      <c r="I66" s="10" t="n"/>
      <c r="J66" s="58" t="inlineStr">
        <is>
          <t>Risultato</t>
        </is>
      </c>
      <c r="K66" s="9" t="n"/>
      <c r="L66" s="10" t="n"/>
    </row>
    <row r="67" ht="24" customHeight="1">
      <c r="A67" s="60">
        <f>MAX(A$10:A66)+1</f>
        <v/>
      </c>
      <c r="B67" s="61">
        <f>IF(C67="","",IFERROR(VLOOKUP(C67,areaNomiBreviSquadre,7,FALSE),""))</f>
        <v/>
      </c>
      <c r="C67" s="62" t="n"/>
      <c r="D67" s="61">
        <f>IF(E67="","",IFERROR(VLOOKUP(E67,areaNomiBreviSquadre,7,FALSE),""))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IF($J67+$L67=0,,IF($J67&lt;$L67,IF($J67&amp;"-"&amp;$L67=MID(constPunteggioForfait,FIND("-",constPunteggioForfait)+1,LEN(constPunteggioForfait))&amp;"-"&amp;LEFT(constPunteggioForfait,FIND("-",constPunteggioForfait)-1),1,0),0))</f>
        <v/>
      </c>
      <c r="P67" s="67">
        <f>IF($J67+$L67=0,,IF($J67&lt;$L67,IF($J67&amp;"-"&amp;$L67&lt;&gt;MID(constPunteggioForfait,FIND("-",constPunteggioForfait)+1,LEN(constPunteggioForfait))&amp;"-"&amp;LEFT(constPunteggioForfait,FIND("-",constPunteggioForfait)-1),1,0),0))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IF($J67+$L67=0,,IF($L67&lt;$J67,IF($J67&amp;"-"&amp;$L67=constPunteggioForfait,1,0),0))</f>
        <v/>
      </c>
      <c r="W67" s="67">
        <f>IF($J67+$L67=0,,IF($L67&lt;$J67,IF($J67&amp;"-"&amp;$L67&lt;&gt;constPunteggioForfait,1,0),0))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IF(I68="","",HYPERLINK(VLOOKUP(I68,areaCampiSquadre,3,FALSE),VLOOKUP(I68,areaCampiSquadre,2,FALSE)))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58" t="inlineStr">
        <is>
          <t>Gara N.</t>
        </is>
      </c>
      <c r="B69" s="58" t="inlineStr">
        <is>
          <t>Squadra A</t>
        </is>
      </c>
      <c r="C69" s="10" t="n"/>
      <c r="D69" s="58" t="inlineStr">
        <is>
          <t>Squadra B</t>
        </is>
      </c>
      <c r="E69" s="10" t="n"/>
      <c r="F69" s="58" t="inlineStr">
        <is>
          <t>Giorno</t>
        </is>
      </c>
      <c r="G69" s="58" t="inlineStr">
        <is>
          <t>Data</t>
        </is>
      </c>
      <c r="H69" s="58" t="inlineStr">
        <is>
          <t>Ora</t>
        </is>
      </c>
      <c r="I69" s="10" t="n"/>
      <c r="J69" s="58" t="inlineStr">
        <is>
          <t>Risultato</t>
        </is>
      </c>
      <c r="K69" s="9" t="n"/>
      <c r="L69" s="10" t="n"/>
    </row>
    <row r="70" ht="24" customHeight="1">
      <c r="A70" s="60">
        <f>MAX(A$10:A69)+1</f>
        <v/>
      </c>
      <c r="B70" s="61">
        <f>IF(C70="","",IFERROR(VLOOKUP(C70,areaNomiBreviSquadre,7,FALSE),""))</f>
        <v/>
      </c>
      <c r="C70" s="62" t="n"/>
      <c r="D70" s="61">
        <f>IF(E70="","",IFERROR(VLOOKUP(E70,areaNomiBreviSquadre,7,FALSE),""))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IF($J70+$L70=0,,IF($J70&lt;$L70,IF($J70&amp;"-"&amp;$L70=MID(constPunteggioForfait,FIND("-",constPunteggioForfait)+1,LEN(constPunteggioForfait))&amp;"-"&amp;LEFT(constPunteggioForfait,FIND("-",constPunteggioForfait)-1),1,0),0))</f>
        <v/>
      </c>
      <c r="P70" s="67">
        <f>IF($J70+$L70=0,,IF($J70&lt;$L70,IF($J70&amp;"-"&amp;$L70&lt;&gt;MID(constPunteggioForfait,FIND("-",constPunteggioForfait)+1,LEN(constPunteggioForfait))&amp;"-"&amp;LEFT(constPunteggioForfait,FIND("-",constPunteggioForfait)-1),1,0),0))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IF($J70+$L70=0,,IF($L70&lt;$J70,IF($J70&amp;"-"&amp;$L70=constPunteggioForfait,1,0),0))</f>
        <v/>
      </c>
      <c r="W70" s="67">
        <f>IF($J70+$L70=0,,IF($L70&lt;$J70,IF($J70&amp;"-"&amp;$L70&lt;&gt;constPunteggioForfait,1,0),0))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IF(I71="","",HYPERLINK(VLOOKUP(I71,areaCampiSquadre,3,FALSE),VLOOKUP(I71,areaCampiSquadre,2,FALSE)))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58" t="inlineStr">
        <is>
          <t>Gara N.</t>
        </is>
      </c>
      <c r="B72" s="58" t="inlineStr">
        <is>
          <t>Squadra A</t>
        </is>
      </c>
      <c r="C72" s="10" t="n"/>
      <c r="D72" s="58" t="inlineStr">
        <is>
          <t>Squadra B</t>
        </is>
      </c>
      <c r="E72" s="10" t="n"/>
      <c r="F72" s="58" t="inlineStr">
        <is>
          <t>Giorno</t>
        </is>
      </c>
      <c r="G72" s="58" t="inlineStr">
        <is>
          <t>Data</t>
        </is>
      </c>
      <c r="H72" s="58" t="inlineStr">
        <is>
          <t>Ora</t>
        </is>
      </c>
      <c r="I72" s="10" t="n"/>
      <c r="J72" s="58" t="inlineStr">
        <is>
          <t>Risultato</t>
        </is>
      </c>
      <c r="K72" s="9" t="n"/>
      <c r="L72" s="10" t="n"/>
    </row>
    <row r="73" ht="24" customHeight="1">
      <c r="A73" s="60">
        <f>MAX(A$10:A72)+1</f>
        <v/>
      </c>
      <c r="B73" s="61">
        <f>IF(C73="","",IFERROR(VLOOKUP(C73,areaNomiBreviSquadre,7,FALSE),""))</f>
        <v/>
      </c>
      <c r="C73" s="62" t="n"/>
      <c r="D73" s="61">
        <f>IF(E73="","",IFERROR(VLOOKUP(E73,areaNomiBreviSquadre,7,FALSE),""))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IF($J73+$L73=0,,IF($J73&lt;$L73,IF($J73&amp;"-"&amp;$L73=MID(constPunteggioForfait,FIND("-",constPunteggioForfait)+1,LEN(constPunteggioForfait))&amp;"-"&amp;LEFT(constPunteggioForfait,FIND("-",constPunteggioForfait)-1),1,0),0))</f>
        <v/>
      </c>
      <c r="P73" s="67">
        <f>IF($J73+$L73=0,,IF($J73&lt;$L73,IF($J73&amp;"-"&amp;$L73&lt;&gt;MID(constPunteggioForfait,FIND("-",constPunteggioForfait)+1,LEN(constPunteggioForfait))&amp;"-"&amp;LEFT(constPunteggioForfait,FIND("-",constPunteggioForfait)-1),1,0),0))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IF($J73+$L73=0,,IF($L73&lt;$J73,IF($J73&amp;"-"&amp;$L73=constPunteggioForfait,1,0),0))</f>
        <v/>
      </c>
      <c r="W73" s="67">
        <f>IF($J73+$L73=0,,IF($L73&lt;$J73,IF($J73&amp;"-"&amp;$L73&lt;&gt;constPunteggioForfait,1,0),0))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IF(I74="","",HYPERLINK(VLOOKUP(I74,areaCampiSquadre,3,FALSE),VLOOKUP(I74,areaCampiSquadre,2,FALSE)))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55" t="inlineStr">
        <is>
          <t>5A</t>
        </is>
      </c>
      <c r="B76" s="56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58" t="inlineStr">
        <is>
          <t>Gara N.</t>
        </is>
      </c>
      <c r="B77" s="58" t="inlineStr">
        <is>
          <t>Squadra A</t>
        </is>
      </c>
      <c r="C77" s="10" t="n"/>
      <c r="D77" s="58" t="inlineStr">
        <is>
          <t>Squadra B</t>
        </is>
      </c>
      <c r="E77" s="10" t="n"/>
      <c r="F77" s="58" t="inlineStr">
        <is>
          <t>Giorno</t>
        </is>
      </c>
      <c r="G77" s="58" t="inlineStr">
        <is>
          <t>Data</t>
        </is>
      </c>
      <c r="H77" s="58" t="inlineStr">
        <is>
          <t>Ora</t>
        </is>
      </c>
      <c r="I77" s="10" t="n"/>
      <c r="J77" s="58" t="inlineStr">
        <is>
          <t>Risultato</t>
        </is>
      </c>
      <c r="K77" s="9" t="n"/>
      <c r="L77" s="10" t="n"/>
    </row>
    <row r="78" ht="24" customHeight="1">
      <c r="A78" s="60">
        <f>MAX(A$10:A77)+1</f>
        <v/>
      </c>
      <c r="B78" s="61">
        <f>IF(C78="","",IFERROR(VLOOKUP(C78,areaNomiBreviSquadre,7,FALSE),""))</f>
        <v/>
      </c>
      <c r="C78" s="62" t="n"/>
      <c r="D78" s="61">
        <f>IF(E78="","",IFERROR(VLOOKUP(E78,areaNomiBreviSquadre,7,FALSE),""))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IF($J78+$L78=0,,IF($J78&lt;$L78,IF($J78&amp;"-"&amp;$L78=MID(constPunteggioForfait,FIND("-",constPunteggioForfait)+1,LEN(constPunteggioForfait))&amp;"-"&amp;LEFT(constPunteggioForfait,FIND("-",constPunteggioForfait)-1),1,0),0))</f>
        <v/>
      </c>
      <c r="P78" s="67">
        <f>IF($J78+$L78=0,,IF($J78&lt;$L78,IF($J78&amp;"-"&amp;$L78&lt;&gt;MID(constPunteggioForfait,FIND("-",constPunteggioForfait)+1,LEN(constPunteggioForfait))&amp;"-"&amp;LEFT(constPunteggioForfait,FIND("-",constPunteggioForfait)-1),1,0),0))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IF($J78+$L78=0,,IF($L78&lt;$J78,IF($J78&amp;"-"&amp;$L78=constPunteggioForfait,1,0),0))</f>
        <v/>
      </c>
      <c r="W78" s="67">
        <f>IF($J78+$L78=0,,IF($L78&lt;$J78,IF($J78&amp;"-"&amp;$L78&lt;&gt;constPunteggioForfait,1,0),0))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IF(I79="","",HYPERLINK(VLOOKUP(I79,areaCampiSquadre,3,FALSE),VLOOKUP(I79,areaCampiSquadre,2,FALSE)))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58" t="inlineStr">
        <is>
          <t>Gara N.</t>
        </is>
      </c>
      <c r="B80" s="58" t="inlineStr">
        <is>
          <t>Squadra A</t>
        </is>
      </c>
      <c r="C80" s="10" t="n"/>
      <c r="D80" s="58" t="inlineStr">
        <is>
          <t>Squadra B</t>
        </is>
      </c>
      <c r="E80" s="10" t="n"/>
      <c r="F80" s="58" t="inlineStr">
        <is>
          <t>Giorno</t>
        </is>
      </c>
      <c r="G80" s="58" t="inlineStr">
        <is>
          <t>Data</t>
        </is>
      </c>
      <c r="H80" s="58" t="inlineStr">
        <is>
          <t>Ora</t>
        </is>
      </c>
      <c r="I80" s="10" t="n"/>
      <c r="J80" s="58" t="inlineStr">
        <is>
          <t>Risultato</t>
        </is>
      </c>
      <c r="K80" s="9" t="n"/>
      <c r="L80" s="10" t="n"/>
    </row>
    <row r="81" ht="24" customHeight="1">
      <c r="A81" s="60">
        <f>MAX(A$10:A80)+1</f>
        <v/>
      </c>
      <c r="B81" s="61">
        <f>IF(C81="","",IFERROR(VLOOKUP(C81,areaNomiBreviSquadre,7,FALSE),""))</f>
        <v/>
      </c>
      <c r="C81" s="62" t="n"/>
      <c r="D81" s="61">
        <f>IF(E81="","",IFERROR(VLOOKUP(E81,areaNomiBreviSquadre,7,FALSE),""))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IF($J81+$L81=0,,IF($J81&lt;$L81,IF($J81&amp;"-"&amp;$L81=MID(constPunteggioForfait,FIND("-",constPunteggioForfait)+1,LEN(constPunteggioForfait))&amp;"-"&amp;LEFT(constPunteggioForfait,FIND("-",constPunteggioForfait)-1),1,0),0))</f>
        <v/>
      </c>
      <c r="P81" s="67">
        <f>IF($J81+$L81=0,,IF($J81&lt;$L81,IF($J81&amp;"-"&amp;$L81&lt;&gt;MID(constPunteggioForfait,FIND("-",constPunteggioForfait)+1,LEN(constPunteggioForfait))&amp;"-"&amp;LEFT(constPunteggioForfait,FIND("-",constPunteggioForfait)-1),1,0),0))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IF($J81+$L81=0,,IF($L81&lt;$J81,IF($J81&amp;"-"&amp;$L81=constPunteggioForfait,1,0),0))</f>
        <v/>
      </c>
      <c r="W81" s="67">
        <f>IF($J81+$L81=0,,IF($L81&lt;$J81,IF($J81&amp;"-"&amp;$L81&lt;&gt;constPunteggioForfait,1,0),0))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IF(I82="","",HYPERLINK(VLOOKUP(I82,areaCampiSquadre,3,FALSE),VLOOKUP(I82,areaCampiSquadre,2,FALSE)))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58" t="inlineStr">
        <is>
          <t>Gara N.</t>
        </is>
      </c>
      <c r="B83" s="58" t="inlineStr">
        <is>
          <t>Squadra A</t>
        </is>
      </c>
      <c r="C83" s="10" t="n"/>
      <c r="D83" s="58" t="inlineStr">
        <is>
          <t>Squadra B</t>
        </is>
      </c>
      <c r="E83" s="10" t="n"/>
      <c r="F83" s="58" t="inlineStr">
        <is>
          <t>Giorno</t>
        </is>
      </c>
      <c r="G83" s="58" t="inlineStr">
        <is>
          <t>Data</t>
        </is>
      </c>
      <c r="H83" s="58" t="inlineStr">
        <is>
          <t>Ora</t>
        </is>
      </c>
      <c r="I83" s="10" t="n"/>
      <c r="J83" s="58" t="inlineStr">
        <is>
          <t>Risultato</t>
        </is>
      </c>
      <c r="K83" s="9" t="n"/>
      <c r="L83" s="10" t="n"/>
    </row>
    <row r="84" ht="24" customHeight="1">
      <c r="A84" s="60">
        <f>MAX(A$10:A83)+1</f>
        <v/>
      </c>
      <c r="B84" s="61">
        <f>IF(C84="","",IFERROR(VLOOKUP(C84,areaNomiBreviSquadre,7,FALSE),""))</f>
        <v/>
      </c>
      <c r="C84" s="62" t="n"/>
      <c r="D84" s="61">
        <f>IF(E84="","",IFERROR(VLOOKUP(E84,areaNomiBreviSquadre,7,FALSE),""))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IF($J84+$L84=0,,IF($J84&lt;$L84,IF($J84&amp;"-"&amp;$L84=MID(constPunteggioForfait,FIND("-",constPunteggioForfait)+1,LEN(constPunteggioForfait))&amp;"-"&amp;LEFT(constPunteggioForfait,FIND("-",constPunteggioForfait)-1),1,0),0))</f>
        <v/>
      </c>
      <c r="P84" s="67">
        <f>IF($J84+$L84=0,,IF($J84&lt;$L84,IF($J84&amp;"-"&amp;$L84&lt;&gt;MID(constPunteggioForfait,FIND("-",constPunteggioForfait)+1,LEN(constPunteggioForfait))&amp;"-"&amp;LEFT(constPunteggioForfait,FIND("-",constPunteggioForfait)-1),1,0),0))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IF($J84+$L84=0,,IF($L84&lt;$J84,IF($J84&amp;"-"&amp;$L84=constPunteggioForfait,1,0),0))</f>
        <v/>
      </c>
      <c r="W84" s="67">
        <f>IF($J84+$L84=0,,IF($L84&lt;$J84,IF($J84&amp;"-"&amp;$L84&lt;&gt;constPunteggioForfait,1,0),0))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IF(I85="","",HYPERLINK(VLOOKUP(I85,areaCampiSquadre,3,FALSE),VLOOKUP(I85,areaCampiSquadre,2,FALSE)))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58" t="inlineStr">
        <is>
          <t>Gara N.</t>
        </is>
      </c>
      <c r="B86" s="58" t="inlineStr">
        <is>
          <t>Squadra A</t>
        </is>
      </c>
      <c r="C86" s="10" t="n"/>
      <c r="D86" s="58" t="inlineStr">
        <is>
          <t>Squadra B</t>
        </is>
      </c>
      <c r="E86" s="10" t="n"/>
      <c r="F86" s="58" t="inlineStr">
        <is>
          <t>Giorno</t>
        </is>
      </c>
      <c r="G86" s="58" t="inlineStr">
        <is>
          <t>Data</t>
        </is>
      </c>
      <c r="H86" s="58" t="inlineStr">
        <is>
          <t>Ora</t>
        </is>
      </c>
      <c r="I86" s="10" t="n"/>
      <c r="J86" s="58" t="inlineStr">
        <is>
          <t>Risultato</t>
        </is>
      </c>
      <c r="K86" s="9" t="n"/>
      <c r="L86" s="10" t="n"/>
    </row>
    <row r="87" ht="24" customHeight="1">
      <c r="A87" s="60">
        <f>MAX(A$10:A86)+1</f>
        <v/>
      </c>
      <c r="B87" s="61">
        <f>IF(C87="","",IFERROR(VLOOKUP(C87,areaNomiBreviSquadre,7,FALSE),""))</f>
        <v/>
      </c>
      <c r="C87" s="62" t="n"/>
      <c r="D87" s="61">
        <f>IF(E87="","",IFERROR(VLOOKUP(E87,areaNomiBreviSquadre,7,FALSE),""))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IF($J87+$L87=0,,IF($J87&lt;$L87,IF($J87&amp;"-"&amp;$L87=MID(constPunteggioForfait,FIND("-",constPunteggioForfait)+1,LEN(constPunteggioForfait))&amp;"-"&amp;LEFT(constPunteggioForfait,FIND("-",constPunteggioForfait)-1),1,0),0))</f>
        <v/>
      </c>
      <c r="P87" s="67">
        <f>IF($J87+$L87=0,,IF($J87&lt;$L87,IF($J87&amp;"-"&amp;$L87&lt;&gt;MID(constPunteggioForfait,FIND("-",constPunteggioForfait)+1,LEN(constPunteggioForfait))&amp;"-"&amp;LEFT(constPunteggioForfait,FIND("-",constPunteggioForfait)-1),1,0),0))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IF($J87+$L87=0,,IF($L87&lt;$J87,IF($J87&amp;"-"&amp;$L87=constPunteggioForfait,1,0),0))</f>
        <v/>
      </c>
      <c r="W87" s="67">
        <f>IF($J87+$L87=0,,IF($L87&lt;$J87,IF($J87&amp;"-"&amp;$L87&lt;&gt;constPunteggioForfait,1,0),0))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IF(I88="","",HYPERLINK(VLOOKUP(I88,areaCampiSquadre,3,FALSE),VLOOKUP(I88,areaCampiSquadre,2,FALSE)))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58" t="inlineStr">
        <is>
          <t>Gara N.</t>
        </is>
      </c>
      <c r="B89" s="58" t="inlineStr">
        <is>
          <t>Squadra A</t>
        </is>
      </c>
      <c r="C89" s="10" t="n"/>
      <c r="D89" s="58" t="inlineStr">
        <is>
          <t>Squadra B</t>
        </is>
      </c>
      <c r="E89" s="10" t="n"/>
      <c r="F89" s="58" t="inlineStr">
        <is>
          <t>Giorno</t>
        </is>
      </c>
      <c r="G89" s="58" t="inlineStr">
        <is>
          <t>Data</t>
        </is>
      </c>
      <c r="H89" s="58" t="inlineStr">
        <is>
          <t>Ora</t>
        </is>
      </c>
      <c r="I89" s="10" t="n"/>
      <c r="J89" s="58" t="inlineStr">
        <is>
          <t>Risultato</t>
        </is>
      </c>
      <c r="K89" s="9" t="n"/>
      <c r="L89" s="10" t="n"/>
    </row>
    <row r="90" ht="24" customHeight="1">
      <c r="A90" s="60">
        <f>MAX(A$10:A89)+1</f>
        <v/>
      </c>
      <c r="B90" s="61">
        <f>IF(C90="","",IFERROR(VLOOKUP(C90,areaNomiBreviSquadre,7,FALSE),""))</f>
        <v/>
      </c>
      <c r="C90" s="62" t="n"/>
      <c r="D90" s="61">
        <f>IF(E90="","",IFERROR(VLOOKUP(E90,areaNomiBreviSquadre,7,FALSE),""))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IF($J90+$L90=0,,IF($J90&lt;$L90,IF($J90&amp;"-"&amp;$L90=MID(constPunteggioForfait,FIND("-",constPunteggioForfait)+1,LEN(constPunteggioForfait))&amp;"-"&amp;LEFT(constPunteggioForfait,FIND("-",constPunteggioForfait)-1),1,0),0))</f>
        <v/>
      </c>
      <c r="P90" s="67">
        <f>IF($J90+$L90=0,,IF($J90&lt;$L90,IF($J90&amp;"-"&amp;$L90&lt;&gt;MID(constPunteggioForfait,FIND("-",constPunteggioForfait)+1,LEN(constPunteggioForfait))&amp;"-"&amp;LEFT(constPunteggioForfait,FIND("-",constPunteggioForfait)-1),1,0),0))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IF($J90+$L90=0,,IF($L90&lt;$J90,IF($J90&amp;"-"&amp;$L90=constPunteggioForfait,1,0),0))</f>
        <v/>
      </c>
      <c r="W90" s="67">
        <f>IF($J90+$L90=0,,IF($L90&lt;$J90,IF($J90&amp;"-"&amp;$L90&lt;&gt;constPunteggioForfait,1,0),0))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IF(I91="","",HYPERLINK(VLOOKUP(I91,areaCampiSquadre,3,FALSE),VLOOKUP(I91,areaCampiSquadre,2,FALSE)))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55" t="inlineStr">
        <is>
          <t>6A</t>
        </is>
      </c>
      <c r="B93" s="56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</row>
    <row r="95" ht="24" customHeight="1">
      <c r="A95" s="60">
        <f>MAX(A$10:A94)+1</f>
        <v/>
      </c>
      <c r="B95" s="61">
        <f>IF(C95="","",IFERROR(VLOOKUP(C95,areaNomiBreviSquadre,7,FALSE),""))</f>
        <v/>
      </c>
      <c r="C95" s="62" t="n"/>
      <c r="D95" s="61">
        <f>IF(E95="","",IFERROR(VLOOKUP(E95,areaNomiBreviSquadre,7,FALSE),""))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</row>
    <row r="98" ht="24" customHeight="1">
      <c r="A98" s="60">
        <f>MAX(A$10:A97)+1</f>
        <v/>
      </c>
      <c r="B98" s="61">
        <f>IF(C98="","",IFERROR(VLOOKUP(C98,areaNomiBreviSquadre,7,FALSE),""))</f>
        <v/>
      </c>
      <c r="C98" s="62" t="n"/>
      <c r="D98" s="61">
        <f>IF(E98="","",IFERROR(VLOOKUP(E98,areaNomiBreviSquadre,7,FALSE),""))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</row>
    <row r="101" ht="24" customHeight="1">
      <c r="A101" s="60">
        <f>MAX(A$10:A100)+1</f>
        <v/>
      </c>
      <c r="B101" s="61">
        <f>IF(C101="","",IFERROR(VLOOKUP(C101,areaNomiBreviSquadre,7,FALSE),""))</f>
        <v/>
      </c>
      <c r="C101" s="62" t="n"/>
      <c r="D101" s="61">
        <f>IF(E101="","",IFERROR(VLOOKUP(E101,areaNomiBreviSquadre,7,FALSE),""))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58" t="inlineStr">
        <is>
          <t>Gara N.</t>
        </is>
      </c>
      <c r="B103" s="58" t="inlineStr">
        <is>
          <t>Squadra A</t>
        </is>
      </c>
      <c r="C103" s="10" t="n"/>
      <c r="D103" s="58" t="inlineStr">
        <is>
          <t>Squadra B</t>
        </is>
      </c>
      <c r="E103" s="10" t="n"/>
      <c r="F103" s="58" t="inlineStr">
        <is>
          <t>Giorno</t>
        </is>
      </c>
      <c r="G103" s="58" t="inlineStr">
        <is>
          <t>Data</t>
        </is>
      </c>
      <c r="H103" s="58" t="inlineStr">
        <is>
          <t>Ora</t>
        </is>
      </c>
      <c r="I103" s="10" t="n"/>
      <c r="J103" s="58" t="inlineStr">
        <is>
          <t>Risultato</t>
        </is>
      </c>
      <c r="K103" s="9" t="n"/>
      <c r="L103" s="10" t="n"/>
    </row>
    <row r="104" ht="24" customHeight="1">
      <c r="A104" s="60">
        <f>MAX(A$10:A103)+1</f>
        <v/>
      </c>
      <c r="B104" s="61">
        <f>IF(C104="","",IFERROR(VLOOKUP(C104,areaNomiBreviSquadre,7,FALSE),""))</f>
        <v/>
      </c>
      <c r="C104" s="62" t="n"/>
      <c r="D104" s="61">
        <f>IF(E104="","",IFERROR(VLOOKUP(E104,areaNomiBreviSquadre,7,FALSE),""))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IF($J104+$L104=0,,IF($J104&lt;$L104,IF($J104&amp;"-"&amp;$L104=MID(constPunteggioForfait,FIND("-",constPunteggioForfait)+1,LEN(constPunteggioForfait))&amp;"-"&amp;LEFT(constPunteggioForfait,FIND("-",constPunteggioForfait)-1),1,0),0))</f>
        <v/>
      </c>
      <c r="P104" s="67">
        <f>IF($J104+$L104=0,,IF($J104&lt;$L104,IF($J104&amp;"-"&amp;$L104&lt;&gt;MID(constPunteggioForfait,FIND("-",constPunteggioForfait)+1,LEN(constPunteggioForfait))&amp;"-"&amp;LEFT(constPunteggioForfait,FIND("-",constPunteggioForfait)-1),1,0),0))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IF($J104+$L104=0,,IF($L104&lt;$J104,IF($J104&amp;"-"&amp;$L104=constPunteggioForfait,1,0),0))</f>
        <v/>
      </c>
      <c r="W104" s="67">
        <f>IF($J104+$L104=0,,IF($L104&lt;$J104,IF($J104&amp;"-"&amp;$L104&lt;&gt;constPunteggioForfait,1,0),0))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IF(I105="","",HYPERLINK(VLOOKUP(I105,areaCampiSquadre,3,FALSE),VLOOKUP(I105,areaCampiSquadre,2,FALSE)))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58" t="inlineStr">
        <is>
          <t>Gara N.</t>
        </is>
      </c>
      <c r="B106" s="58" t="inlineStr">
        <is>
          <t>Squadra A</t>
        </is>
      </c>
      <c r="C106" s="10" t="n"/>
      <c r="D106" s="58" t="inlineStr">
        <is>
          <t>Squadra B</t>
        </is>
      </c>
      <c r="E106" s="10" t="n"/>
      <c r="F106" s="58" t="inlineStr">
        <is>
          <t>Giorno</t>
        </is>
      </c>
      <c r="G106" s="58" t="inlineStr">
        <is>
          <t>Data</t>
        </is>
      </c>
      <c r="H106" s="58" t="inlineStr">
        <is>
          <t>Ora</t>
        </is>
      </c>
      <c r="I106" s="10" t="n"/>
      <c r="J106" s="58" t="inlineStr">
        <is>
          <t>Risultato</t>
        </is>
      </c>
      <c r="K106" s="9" t="n"/>
      <c r="L106" s="10" t="n"/>
    </row>
    <row r="107" ht="24" customHeight="1">
      <c r="A107" s="60">
        <f>MAX(A$10:A106)+1</f>
        <v/>
      </c>
      <c r="B107" s="61">
        <f>IF(C107="","",IFERROR(VLOOKUP(C107,areaNomiBreviSquadre,7,FALSE),""))</f>
        <v/>
      </c>
      <c r="C107" s="62" t="n"/>
      <c r="D107" s="61">
        <f>IF(E107="","",IFERROR(VLOOKUP(E107,areaNomiBreviSquadre,7,FALSE),""))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IF($J107+$L107=0,,IF($J107&lt;$L107,IF($J107&amp;"-"&amp;$L107=MID(constPunteggioForfait,FIND("-",constPunteggioForfait)+1,LEN(constPunteggioForfait))&amp;"-"&amp;LEFT(constPunteggioForfait,FIND("-",constPunteggioForfait)-1),1,0),0))</f>
        <v/>
      </c>
      <c r="P107" s="67">
        <f>IF($J107+$L107=0,,IF($J107&lt;$L107,IF($J107&amp;"-"&amp;$L107&lt;&gt;MID(constPunteggioForfait,FIND("-",constPunteggioForfait)+1,LEN(constPunteggioForfait))&amp;"-"&amp;LEFT(constPunteggioForfait,FIND("-",constPunteggioForfait)-1),1,0),0))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IF($J107+$L107=0,,IF($L107&lt;$J107,IF($J107&amp;"-"&amp;$L107=constPunteggioForfait,1,0),0))</f>
        <v/>
      </c>
      <c r="W107" s="67">
        <f>IF($J107+$L107=0,,IF($L107&lt;$J107,IF($J107&amp;"-"&amp;$L107&lt;&gt;constPunteggioForfait,1,0),0))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IF(I108="","",HYPERLINK(VLOOKUP(I108,areaCampiSquadre,3,FALSE),VLOOKUP(I108,areaCampiSquadre,2,FALSE)))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55" t="inlineStr">
        <is>
          <t>7A</t>
        </is>
      </c>
      <c r="B110" s="56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</row>
    <row r="112" ht="24" customHeight="1">
      <c r="A112" s="60">
        <f>MAX(A$10:A111)+1</f>
        <v/>
      </c>
      <c r="B112" s="61">
        <f>IF(C112="","",IFERROR(VLOOKUP(C112,areaNomiBreviSquadre,7,FALSE),""))</f>
        <v/>
      </c>
      <c r="C112" s="62" t="n"/>
      <c r="D112" s="61">
        <f>IF(E112="","",IFERROR(VLOOKUP(E112,areaNomiBreviSquadre,7,FALSE),""))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</row>
    <row r="115" ht="24" customHeight="1">
      <c r="A115" s="60">
        <f>MAX(A$10:A114)+1</f>
        <v/>
      </c>
      <c r="B115" s="61">
        <f>IF(C115="","",IFERROR(VLOOKUP(C115,areaNomiBreviSquadre,7,FALSE),""))</f>
        <v/>
      </c>
      <c r="C115" s="62" t="n"/>
      <c r="D115" s="61">
        <f>IF(E115="","",IFERROR(VLOOKUP(E115,areaNomiBreviSquadre,7,FALSE),""))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</row>
    <row r="118" ht="24" customHeight="1">
      <c r="A118" s="60">
        <f>MAX(A$10:A117)+1</f>
        <v/>
      </c>
      <c r="B118" s="61">
        <f>IF(C118="","",IFERROR(VLOOKUP(C118,areaNomiBreviSquadre,7,FALSE),""))</f>
        <v/>
      </c>
      <c r="C118" s="62" t="n"/>
      <c r="D118" s="61">
        <f>IF(E118="","",IFERROR(VLOOKUP(E118,areaNomiBreviSquadre,7,FALSE),""))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</row>
    <row r="121" ht="24" customHeight="1">
      <c r="A121" s="60">
        <f>MAX(A$10:A120)+1</f>
        <v/>
      </c>
      <c r="B121" s="61">
        <f>IF(C121="","",IFERROR(VLOOKUP(C121,areaNomiBreviSquadre,7,FALSE),""))</f>
        <v/>
      </c>
      <c r="C121" s="62" t="n"/>
      <c r="D121" s="61">
        <f>IF(E121="","",IFERROR(VLOOKUP(E121,areaNomiBreviSquadre,7,FALSE),""))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</row>
    <row r="124" ht="24" customHeight="1">
      <c r="A124" s="60">
        <f>MAX(A$10:A123)+1</f>
        <v/>
      </c>
      <c r="B124" s="61">
        <f>IF(C124="","",IFERROR(VLOOKUP(C124,areaNomiBreviSquadre,7,FALSE),""))</f>
        <v/>
      </c>
      <c r="C124" s="62" t="n"/>
      <c r="D124" s="61">
        <f>IF(E124="","",IFERROR(VLOOKUP(E124,areaNomiBreviSquadre,7,FALSE),""))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55" t="inlineStr">
        <is>
          <t>8A</t>
        </is>
      </c>
      <c r="B127" s="56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58" t="inlineStr">
        <is>
          <t>Gara N.</t>
        </is>
      </c>
      <c r="B128" s="58" t="inlineStr">
        <is>
          <t>Squadra A</t>
        </is>
      </c>
      <c r="C128" s="10" t="n"/>
      <c r="D128" s="58" t="inlineStr">
        <is>
          <t>Squadra B</t>
        </is>
      </c>
      <c r="E128" s="10" t="n"/>
      <c r="F128" s="58" t="inlineStr">
        <is>
          <t>Giorno</t>
        </is>
      </c>
      <c r="G128" s="58" t="inlineStr">
        <is>
          <t>Data</t>
        </is>
      </c>
      <c r="H128" s="58" t="inlineStr">
        <is>
          <t>Ora</t>
        </is>
      </c>
      <c r="I128" s="10" t="n"/>
      <c r="J128" s="58" t="inlineStr">
        <is>
          <t>Risultato</t>
        </is>
      </c>
      <c r="K128" s="9" t="n"/>
      <c r="L128" s="10" t="n"/>
    </row>
    <row r="129" ht="24" customHeight="1">
      <c r="A129" s="60">
        <f>MAX(A$10:A128)+1</f>
        <v/>
      </c>
      <c r="B129" s="61">
        <f>IF(C129="","",IFERROR(VLOOKUP(C129,areaNomiBreviSquadre,7,FALSE),""))</f>
        <v/>
      </c>
      <c r="C129" s="62" t="n"/>
      <c r="D129" s="61">
        <f>IF(E129="","",IFERROR(VLOOKUP(E129,areaNomiBreviSquadre,7,FALSE),""))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IF($J129+$L129=0,,IF($J129&lt;$L129,IF($J129&amp;"-"&amp;$L129=MID(constPunteggioForfait,FIND("-",constPunteggioForfait)+1,LEN(constPunteggioForfait))&amp;"-"&amp;LEFT(constPunteggioForfait,FIND("-",constPunteggioForfait)-1),1,0),0))</f>
        <v/>
      </c>
      <c r="P129" s="67">
        <f>IF($J129+$L129=0,,IF($J129&lt;$L129,IF($J129&amp;"-"&amp;$L129&lt;&gt;MID(constPunteggioForfait,FIND("-",constPunteggioForfait)+1,LEN(constPunteggioForfait))&amp;"-"&amp;LEFT(constPunteggioForfait,FIND("-",constPunteggioForfait)-1),1,0),0))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IF($J129+$L129=0,,IF($L129&lt;$J129,IF($J129&amp;"-"&amp;$L129=constPunteggioForfait,1,0),0))</f>
        <v/>
      </c>
      <c r="W129" s="67">
        <f>IF($J129+$L129=0,,IF($L129&lt;$J129,IF($J129&amp;"-"&amp;$L129&lt;&gt;constPunteggioForfait,1,0),0))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IF(I130="","",HYPERLINK(VLOOKUP(I130,areaCampiSquadre,3,FALSE),VLOOKUP(I130,areaCampiSquadre,2,FALSE)))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58" t="inlineStr">
        <is>
          <t>Gara N.</t>
        </is>
      </c>
      <c r="B131" s="58" t="inlineStr">
        <is>
          <t>Squadra A</t>
        </is>
      </c>
      <c r="C131" s="10" t="n"/>
      <c r="D131" s="58" t="inlineStr">
        <is>
          <t>Squadra B</t>
        </is>
      </c>
      <c r="E131" s="10" t="n"/>
      <c r="F131" s="58" t="inlineStr">
        <is>
          <t>Giorno</t>
        </is>
      </c>
      <c r="G131" s="58" t="inlineStr">
        <is>
          <t>Data</t>
        </is>
      </c>
      <c r="H131" s="58" t="inlineStr">
        <is>
          <t>Ora</t>
        </is>
      </c>
      <c r="I131" s="10" t="n"/>
      <c r="J131" s="58" t="inlineStr">
        <is>
          <t>Risultato</t>
        </is>
      </c>
      <c r="K131" s="9" t="n"/>
      <c r="L131" s="10" t="n"/>
    </row>
    <row r="132" ht="24" customHeight="1">
      <c r="A132" s="60">
        <f>MAX(A$10:A131)+1</f>
        <v/>
      </c>
      <c r="B132" s="61">
        <f>IF(C132="","",IFERROR(VLOOKUP(C132,areaNomiBreviSquadre,7,FALSE),""))</f>
        <v/>
      </c>
      <c r="C132" s="62" t="n"/>
      <c r="D132" s="61">
        <f>IF(E132="","",IFERROR(VLOOKUP(E132,areaNomiBreviSquadre,7,FALSE),""))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IF($J132+$L132=0,,IF($J132&lt;$L132,IF($J132&amp;"-"&amp;$L132=MID(constPunteggioForfait,FIND("-",constPunteggioForfait)+1,LEN(constPunteggioForfait))&amp;"-"&amp;LEFT(constPunteggioForfait,FIND("-",constPunteggioForfait)-1),1,0),0))</f>
        <v/>
      </c>
      <c r="P132" s="67">
        <f>IF($J132+$L132=0,,IF($J132&lt;$L132,IF($J132&amp;"-"&amp;$L132&lt;&gt;MID(constPunteggioForfait,FIND("-",constPunteggioForfait)+1,LEN(constPunteggioForfait))&amp;"-"&amp;LEFT(constPunteggioForfait,FIND("-",constPunteggioForfait)-1),1,0),0))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IF($J132+$L132=0,,IF($L132&lt;$J132,IF($J132&amp;"-"&amp;$L132=constPunteggioForfait,1,0),0))</f>
        <v/>
      </c>
      <c r="W132" s="67">
        <f>IF($J132+$L132=0,,IF($L132&lt;$J132,IF($J132&amp;"-"&amp;$L132&lt;&gt;constPunteggioForfait,1,0),0))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IF(I133="","",HYPERLINK(VLOOKUP(I133,areaCampiSquadre,3,FALSE),VLOOKUP(I133,areaCampiSquadre,2,FALSE)))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58" t="inlineStr">
        <is>
          <t>Gara N.</t>
        </is>
      </c>
      <c r="B134" s="58" t="inlineStr">
        <is>
          <t>Squadra A</t>
        </is>
      </c>
      <c r="C134" s="10" t="n"/>
      <c r="D134" s="58" t="inlineStr">
        <is>
          <t>Squadra B</t>
        </is>
      </c>
      <c r="E134" s="10" t="n"/>
      <c r="F134" s="58" t="inlineStr">
        <is>
          <t>Giorno</t>
        </is>
      </c>
      <c r="G134" s="58" t="inlineStr">
        <is>
          <t>Data</t>
        </is>
      </c>
      <c r="H134" s="58" t="inlineStr">
        <is>
          <t>Ora</t>
        </is>
      </c>
      <c r="I134" s="10" t="n"/>
      <c r="J134" s="58" t="inlineStr">
        <is>
          <t>Risultato</t>
        </is>
      </c>
      <c r="K134" s="9" t="n"/>
      <c r="L134" s="10" t="n"/>
    </row>
    <row r="135" ht="24" customHeight="1">
      <c r="A135" s="60">
        <f>MAX(A$10:A134)+1</f>
        <v/>
      </c>
      <c r="B135" s="61">
        <f>IF(C135="","",IFERROR(VLOOKUP(C135,areaNomiBreviSquadre,7,FALSE),""))</f>
        <v/>
      </c>
      <c r="C135" s="62" t="n"/>
      <c r="D135" s="61">
        <f>IF(E135="","",IFERROR(VLOOKUP(E135,areaNomiBreviSquadre,7,FALSE),""))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IF($J135+$L135=0,,IF($J135&lt;$L135,IF($J135&amp;"-"&amp;$L135=MID(constPunteggioForfait,FIND("-",constPunteggioForfait)+1,LEN(constPunteggioForfait))&amp;"-"&amp;LEFT(constPunteggioForfait,FIND("-",constPunteggioForfait)-1),1,0),0))</f>
        <v/>
      </c>
      <c r="P135" s="67">
        <f>IF($J135+$L135=0,,IF($J135&lt;$L135,IF($J135&amp;"-"&amp;$L135&lt;&gt;MID(constPunteggioForfait,FIND("-",constPunteggioForfait)+1,LEN(constPunteggioForfait))&amp;"-"&amp;LEFT(constPunteggioForfait,FIND("-",constPunteggioForfait)-1),1,0),0))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IF($J135+$L135=0,,IF($L135&lt;$J135,IF($J135&amp;"-"&amp;$L135=constPunteggioForfait,1,0),0))</f>
        <v/>
      </c>
      <c r="W135" s="67">
        <f>IF($J135+$L135=0,,IF($L135&lt;$J135,IF($J135&amp;"-"&amp;$L135&lt;&gt;constPunteggioForfait,1,0),0))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IF(I136="","",HYPERLINK(VLOOKUP(I136,areaCampiSquadre,3,FALSE),VLOOKUP(I136,areaCampiSquadre,2,FALSE)))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</row>
    <row r="138" ht="24" customHeight="1">
      <c r="A138" s="60">
        <f>MAX(A$10:A137)+1</f>
        <v/>
      </c>
      <c r="B138" s="61">
        <f>IF(C138="","",IFERROR(VLOOKUP(C138,areaNomiBreviSquadre,7,FALSE),""))</f>
        <v/>
      </c>
      <c r="C138" s="62" t="n"/>
      <c r="D138" s="61">
        <f>IF(E138="","",IFERROR(VLOOKUP(E138,areaNomiBreviSquadre,7,FALSE),""))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</row>
    <row r="141" ht="24" customHeight="1">
      <c r="A141" s="60">
        <f>MAX(A$10:A140)+1</f>
        <v/>
      </c>
      <c r="B141" s="61">
        <f>IF(C141="","",IFERROR(VLOOKUP(C141,areaNomiBreviSquadre,7,FALSE),""))</f>
        <v/>
      </c>
      <c r="C141" s="62" t="n"/>
      <c r="D141" s="61">
        <f>IF(E141="","",IFERROR(VLOOKUP(E141,areaNomiBreviSquadre,7,FALSE),""))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55" t="inlineStr">
        <is>
          <t>9A</t>
        </is>
      </c>
      <c r="B144" s="56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58" t="inlineStr">
        <is>
          <t>Gara N.</t>
        </is>
      </c>
      <c r="B145" s="58" t="inlineStr">
        <is>
          <t>Squadra A</t>
        </is>
      </c>
      <c r="C145" s="10" t="n"/>
      <c r="D145" s="58" t="inlineStr">
        <is>
          <t>Squadra B</t>
        </is>
      </c>
      <c r="E145" s="10" t="n"/>
      <c r="F145" s="58" t="inlineStr">
        <is>
          <t>Giorno</t>
        </is>
      </c>
      <c r="G145" s="58" t="inlineStr">
        <is>
          <t>Data</t>
        </is>
      </c>
      <c r="H145" s="58" t="inlineStr">
        <is>
          <t>Ora</t>
        </is>
      </c>
      <c r="I145" s="10" t="n"/>
      <c r="J145" s="58" t="inlineStr">
        <is>
          <t>Risultato</t>
        </is>
      </c>
      <c r="K145" s="9" t="n"/>
      <c r="L145" s="10" t="n"/>
    </row>
    <row r="146" ht="24" customHeight="1">
      <c r="A146" s="60">
        <f>MAX(A$10:A145)+1</f>
        <v/>
      </c>
      <c r="B146" s="61">
        <f>IF(C146="","",IFERROR(VLOOKUP(C146,areaNomiBreviSquadre,7,FALSE),""))</f>
        <v/>
      </c>
      <c r="C146" s="62" t="n"/>
      <c r="D146" s="61">
        <f>IF(E146="","",IFERROR(VLOOKUP(E146,areaNomiBreviSquadre,7,FALSE),""))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IF($J146+$L146=0,,IF($J146&lt;$L146,IF($J146&amp;"-"&amp;$L146=MID(constPunteggioForfait,FIND("-",constPunteggioForfait)+1,LEN(constPunteggioForfait))&amp;"-"&amp;LEFT(constPunteggioForfait,FIND("-",constPunteggioForfait)-1),1,0),0))</f>
        <v/>
      </c>
      <c r="P146" s="67">
        <f>IF($J146+$L146=0,,IF($J146&lt;$L146,IF($J146&amp;"-"&amp;$L146&lt;&gt;MID(constPunteggioForfait,FIND("-",constPunteggioForfait)+1,LEN(constPunteggioForfait))&amp;"-"&amp;LEFT(constPunteggioForfait,FIND("-",constPunteggioForfait)-1),1,0),0))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IF($J146+$L146=0,,IF($L146&lt;$J146,IF($J146&amp;"-"&amp;$L146=constPunteggioForfait,1,0),0))</f>
        <v/>
      </c>
      <c r="W146" s="67">
        <f>IF($J146+$L146=0,,IF($L146&lt;$J146,IF($J146&amp;"-"&amp;$L146&lt;&gt;constPunteggioForfait,1,0),0))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IF(I147="","",HYPERLINK(VLOOKUP(I147,areaCampiSquadre,3,FALSE),VLOOKUP(I147,areaCampiSquadre,2,FALSE)))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58" t="inlineStr">
        <is>
          <t>Gara N.</t>
        </is>
      </c>
      <c r="B148" s="58" t="inlineStr">
        <is>
          <t>Squadra A</t>
        </is>
      </c>
      <c r="C148" s="10" t="n"/>
      <c r="D148" s="58" t="inlineStr">
        <is>
          <t>Squadra B</t>
        </is>
      </c>
      <c r="E148" s="10" t="n"/>
      <c r="F148" s="58" t="inlineStr">
        <is>
          <t>Giorno</t>
        </is>
      </c>
      <c r="G148" s="58" t="inlineStr">
        <is>
          <t>Data</t>
        </is>
      </c>
      <c r="H148" s="58" t="inlineStr">
        <is>
          <t>Ora</t>
        </is>
      </c>
      <c r="I148" s="10" t="n"/>
      <c r="J148" s="58" t="inlineStr">
        <is>
          <t>Risultato</t>
        </is>
      </c>
      <c r="K148" s="9" t="n"/>
      <c r="L148" s="10" t="n"/>
    </row>
    <row r="149" ht="24" customHeight="1">
      <c r="A149" s="60">
        <f>MAX(A$10:A148)+1</f>
        <v/>
      </c>
      <c r="B149" s="61">
        <f>IF(C149="","",IFERROR(VLOOKUP(C149,areaNomiBreviSquadre,7,FALSE),""))</f>
        <v/>
      </c>
      <c r="C149" s="62" t="n"/>
      <c r="D149" s="61">
        <f>IF(E149="","",IFERROR(VLOOKUP(E149,areaNomiBreviSquadre,7,FALSE),""))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IF($J149+$L149=0,,IF($J149&lt;$L149,IF($J149&amp;"-"&amp;$L149=MID(constPunteggioForfait,FIND("-",constPunteggioForfait)+1,LEN(constPunteggioForfait))&amp;"-"&amp;LEFT(constPunteggioForfait,FIND("-",constPunteggioForfait)-1),1,0),0))</f>
        <v/>
      </c>
      <c r="P149" s="67">
        <f>IF($J149+$L149=0,,IF($J149&lt;$L149,IF($J149&amp;"-"&amp;$L149&lt;&gt;MID(constPunteggioForfait,FIND("-",constPunteggioForfait)+1,LEN(constPunteggioForfait))&amp;"-"&amp;LEFT(constPunteggioForfait,FIND("-",constPunteggioForfait)-1),1,0),0))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IF($J149+$L149=0,,IF($L149&lt;$J149,IF($J149&amp;"-"&amp;$L149=constPunteggioForfait,1,0),0))</f>
        <v/>
      </c>
      <c r="W149" s="67">
        <f>IF($J149+$L149=0,,IF($L149&lt;$J149,IF($J149&amp;"-"&amp;$L149&lt;&gt;constPunteggioForfait,1,0),0))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IF(I150="","",HYPERLINK(VLOOKUP(I150,areaCampiSquadre,3,FALSE),VLOOKUP(I150,areaCampiSquadre,2,FALSE)))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58" t="inlineStr">
        <is>
          <t>Gara N.</t>
        </is>
      </c>
      <c r="B151" s="58" t="inlineStr">
        <is>
          <t>Squadra A</t>
        </is>
      </c>
      <c r="C151" s="10" t="n"/>
      <c r="D151" s="58" t="inlineStr">
        <is>
          <t>Squadra B</t>
        </is>
      </c>
      <c r="E151" s="10" t="n"/>
      <c r="F151" s="58" t="inlineStr">
        <is>
          <t>Giorno</t>
        </is>
      </c>
      <c r="G151" s="58" t="inlineStr">
        <is>
          <t>Data</t>
        </is>
      </c>
      <c r="H151" s="58" t="inlineStr">
        <is>
          <t>Ora</t>
        </is>
      </c>
      <c r="I151" s="10" t="n"/>
      <c r="J151" s="58" t="inlineStr">
        <is>
          <t>Risultato</t>
        </is>
      </c>
      <c r="K151" s="9" t="n"/>
      <c r="L151" s="10" t="n"/>
    </row>
    <row r="152" ht="24" customHeight="1">
      <c r="A152" s="60">
        <f>MAX(A$10:A151)+1</f>
        <v/>
      </c>
      <c r="B152" s="61">
        <f>IF(C152="","",IFERROR(VLOOKUP(C152,areaNomiBreviSquadre,7,FALSE),""))</f>
        <v/>
      </c>
      <c r="C152" s="62" t="n"/>
      <c r="D152" s="61">
        <f>IF(E152="","",IFERROR(VLOOKUP(E152,areaNomiBreviSquadre,7,FALSE),""))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IF($J152+$L152=0,,IF($J152&lt;$L152,IF($J152&amp;"-"&amp;$L152=MID(constPunteggioForfait,FIND("-",constPunteggioForfait)+1,LEN(constPunteggioForfait))&amp;"-"&amp;LEFT(constPunteggioForfait,FIND("-",constPunteggioForfait)-1),1,0),0))</f>
        <v/>
      </c>
      <c r="P152" s="67">
        <f>IF($J152+$L152=0,,IF($J152&lt;$L152,IF($J152&amp;"-"&amp;$L152&lt;&gt;MID(constPunteggioForfait,FIND("-",constPunteggioForfait)+1,LEN(constPunteggioForfait))&amp;"-"&amp;LEFT(constPunteggioForfait,FIND("-",constPunteggioForfait)-1),1,0),0))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IF($J152+$L152=0,,IF($L152&lt;$J152,IF($J152&amp;"-"&amp;$L152=constPunteggioForfait,1,0),0))</f>
        <v/>
      </c>
      <c r="W152" s="67">
        <f>IF($J152+$L152=0,,IF($L152&lt;$J152,IF($J152&amp;"-"&amp;$L152&lt;&gt;constPunteggioForfait,1,0),0))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IF(I153="","",HYPERLINK(VLOOKUP(I153,areaCampiSquadre,3,FALSE),VLOOKUP(I153,areaCampiSquadre,2,FALSE)))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58" t="inlineStr">
        <is>
          <t>Gara N.</t>
        </is>
      </c>
      <c r="B154" s="58" t="inlineStr">
        <is>
          <t>Squadra A</t>
        </is>
      </c>
      <c r="C154" s="10" t="n"/>
      <c r="D154" s="58" t="inlineStr">
        <is>
          <t>Squadra B</t>
        </is>
      </c>
      <c r="E154" s="10" t="n"/>
      <c r="F154" s="58" t="inlineStr">
        <is>
          <t>Giorno</t>
        </is>
      </c>
      <c r="G154" s="58" t="inlineStr">
        <is>
          <t>Data</t>
        </is>
      </c>
      <c r="H154" s="58" t="inlineStr">
        <is>
          <t>Ora</t>
        </is>
      </c>
      <c r="I154" s="10" t="n"/>
      <c r="J154" s="58" t="inlineStr">
        <is>
          <t>Risultato</t>
        </is>
      </c>
      <c r="K154" s="9" t="n"/>
      <c r="L154" s="10" t="n"/>
    </row>
    <row r="155" ht="24" customHeight="1">
      <c r="A155" s="60">
        <f>MAX(A$10:A154)+1</f>
        <v/>
      </c>
      <c r="B155" s="61">
        <f>IF(C155="","",IFERROR(VLOOKUP(C155,areaNomiBreviSquadre,7,FALSE),""))</f>
        <v/>
      </c>
      <c r="C155" s="62" t="n"/>
      <c r="D155" s="61">
        <f>IF(E155="","",IFERROR(VLOOKUP(E155,areaNomiBreviSquadre,7,FALSE),""))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IF($J155+$L155=0,,IF($J155&lt;$L155,IF($J155&amp;"-"&amp;$L155=MID(constPunteggioForfait,FIND("-",constPunteggioForfait)+1,LEN(constPunteggioForfait))&amp;"-"&amp;LEFT(constPunteggioForfait,FIND("-",constPunteggioForfait)-1),1,0),0))</f>
        <v/>
      </c>
      <c r="P155" s="67">
        <f>IF($J155+$L155=0,,IF($J155&lt;$L155,IF($J155&amp;"-"&amp;$L155&lt;&gt;MID(constPunteggioForfait,FIND("-",constPunteggioForfait)+1,LEN(constPunteggioForfait))&amp;"-"&amp;LEFT(constPunteggioForfait,FIND("-",constPunteggioForfait)-1),1,0),0))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IF($J155+$L155=0,,IF($L155&lt;$J155,IF($J155&amp;"-"&amp;$L155=constPunteggioForfait,1,0),0))</f>
        <v/>
      </c>
      <c r="W155" s="67">
        <f>IF($J155+$L155=0,,IF($L155&lt;$J155,IF($J155&amp;"-"&amp;$L155&lt;&gt;constPunteggioForfait,1,0),0))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IF(I156="","",HYPERLINK(VLOOKUP(I156,areaCampiSquadre,3,FALSE),VLOOKUP(I156,areaCampiSquadre,2,FALSE)))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58" t="inlineStr">
        <is>
          <t>Gara N.</t>
        </is>
      </c>
      <c r="B157" s="58" t="inlineStr">
        <is>
          <t>Squadra A</t>
        </is>
      </c>
      <c r="C157" s="10" t="n"/>
      <c r="D157" s="58" t="inlineStr">
        <is>
          <t>Squadra B</t>
        </is>
      </c>
      <c r="E157" s="10" t="n"/>
      <c r="F157" s="58" t="inlineStr">
        <is>
          <t>Giorno</t>
        </is>
      </c>
      <c r="G157" s="58" t="inlineStr">
        <is>
          <t>Data</t>
        </is>
      </c>
      <c r="H157" s="58" t="inlineStr">
        <is>
          <t>Ora</t>
        </is>
      </c>
      <c r="I157" s="10" t="n"/>
      <c r="J157" s="58" t="inlineStr">
        <is>
          <t>Risultato</t>
        </is>
      </c>
      <c r="K157" s="9" t="n"/>
      <c r="L157" s="10" t="n"/>
    </row>
    <row r="158" ht="24" customHeight="1">
      <c r="A158" s="60">
        <f>MAX(A$10:A157)+1</f>
        <v/>
      </c>
      <c r="B158" s="61">
        <f>IF(C158="","",IFERROR(VLOOKUP(C158,areaNomiBreviSquadre,7,FALSE),""))</f>
        <v/>
      </c>
      <c r="C158" s="62" t="n"/>
      <c r="D158" s="61">
        <f>IF(E158="","",IFERROR(VLOOKUP(E158,areaNomiBreviSquadre,7,FALSE),""))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IF($J158+$L158=0,,IF($J158&lt;$L158,IF($J158&amp;"-"&amp;$L158=MID(constPunteggioForfait,FIND("-",constPunteggioForfait)+1,LEN(constPunteggioForfait))&amp;"-"&amp;LEFT(constPunteggioForfait,FIND("-",constPunteggioForfait)-1),1,0),0))</f>
        <v/>
      </c>
      <c r="P158" s="67">
        <f>IF($J158+$L158=0,,IF($J158&lt;$L158,IF($J158&amp;"-"&amp;$L158&lt;&gt;MID(constPunteggioForfait,FIND("-",constPunteggioForfait)+1,LEN(constPunteggioForfait))&amp;"-"&amp;LEFT(constPunteggioForfait,FIND("-",constPunteggioForfait)-1),1,0),0))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IF($J158+$L158=0,,IF($L158&lt;$J158,IF($J158&amp;"-"&amp;$L158=constPunteggioForfait,1,0),0))</f>
        <v/>
      </c>
      <c r="W158" s="67">
        <f>IF($J158+$L158=0,,IF($L158&lt;$J158,IF($J158&amp;"-"&amp;$L158&lt;&gt;constPunteggioForfait,1,0),0))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IF(I159="","",HYPERLINK(VLOOKUP(I159,areaCampiSquadre,3,FALSE),VLOOKUP(I159,areaCampiSquadre,2,FALSE)))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FF7F8286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 t="str">
        <f>IFERROR(IMAGE(constLogo1),"")</f>
        <v/>
      </c>
      <c r="I1" t="str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70">
        <f>"GIRONE "&amp;UPPER($O$3)&amp;" - Stagione "&amp;constStagionaCampionato</f>
        <v/>
      </c>
      <c r="M3" t="str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71" t="inlineStr">
        <is>
          <t>1B</t>
        </is>
      </c>
      <c r="B8" s="72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74" t="inlineStr">
        <is>
          <t>Gara N.</t>
        </is>
      </c>
      <c r="B9" s="74" t="inlineStr">
        <is>
          <t>Squadra A</t>
        </is>
      </c>
      <c r="C9" s="10" t="n"/>
      <c r="D9" s="74" t="inlineStr">
        <is>
          <t>Squadra B</t>
        </is>
      </c>
      <c r="E9" s="10" t="n"/>
      <c r="F9" s="74" t="inlineStr">
        <is>
          <t>Giorno</t>
        </is>
      </c>
      <c r="G9" s="74" t="inlineStr">
        <is>
          <t>Data</t>
        </is>
      </c>
      <c r="H9" s="74" t="inlineStr">
        <is>
          <t>Ora</t>
        </is>
      </c>
      <c r="I9" s="10" t="n"/>
      <c r="J9" s="74" t="inlineStr">
        <is>
          <t>Risultato</t>
        </is>
      </c>
      <c r="K9" s="9" t="n"/>
      <c r="L9" s="10" t="n"/>
    </row>
    <row r="10" ht="24" customHeight="1">
      <c r="A10" s="76" t="n">
        <v>46</v>
      </c>
      <c r="B10" s="61">
        <f>IF(C10="","",IFERROR(VLOOKUP(C10,areaNomiBreviSquadre,7,FALSE),""))</f>
        <v/>
      </c>
      <c r="C10" s="62" t="n"/>
      <c r="D10" s="61">
        <f>IF(E10="","",IFERROR(VLOOKUP(E10,areaNomiBreviSquadre,7,FALSE),""))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74" t="inlineStr">
        <is>
          <t>Gara N.</t>
        </is>
      </c>
      <c r="B12" s="74" t="inlineStr">
        <is>
          <t>Squadra A</t>
        </is>
      </c>
      <c r="C12" s="10" t="n"/>
      <c r="D12" s="74" t="inlineStr">
        <is>
          <t>Squadra B</t>
        </is>
      </c>
      <c r="E12" s="10" t="n"/>
      <c r="F12" s="74" t="inlineStr">
        <is>
          <t>Giorno</t>
        </is>
      </c>
      <c r="G12" s="74" t="inlineStr">
        <is>
          <t>Data</t>
        </is>
      </c>
      <c r="H12" s="74" t="inlineStr">
        <is>
          <t>Ora</t>
        </is>
      </c>
      <c r="I12" s="10" t="n"/>
      <c r="J12" s="74" t="inlineStr">
        <is>
          <t>Risultato</t>
        </is>
      </c>
      <c r="K12" s="9" t="n"/>
      <c r="L12" s="10" t="n"/>
    </row>
    <row r="13" ht="24" customHeight="1">
      <c r="A13" s="76">
        <f>MAX(A$10:A12)+1</f>
        <v/>
      </c>
      <c r="B13" s="61">
        <f>IF(C13="","",IFERROR(VLOOKUP(C13,areaNomiBreviSquadre,7,FALSE),""))</f>
        <v/>
      </c>
      <c r="C13" s="62" t="n"/>
      <c r="D13" s="61">
        <f>IF(E13="","",IFERROR(VLOOKUP(E13,areaNomiBreviSquadre,7,FALSE),""))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74" t="inlineStr">
        <is>
          <t>Gara N.</t>
        </is>
      </c>
      <c r="B15" s="74" t="inlineStr">
        <is>
          <t>Squadra A</t>
        </is>
      </c>
      <c r="C15" s="10" t="n"/>
      <c r="D15" s="74" t="inlineStr">
        <is>
          <t>Squadra B</t>
        </is>
      </c>
      <c r="E15" s="10" t="n"/>
      <c r="F15" s="74" t="inlineStr">
        <is>
          <t>Giorno</t>
        </is>
      </c>
      <c r="G15" s="74" t="inlineStr">
        <is>
          <t>Data</t>
        </is>
      </c>
      <c r="H15" s="74" t="inlineStr">
        <is>
          <t>Ora</t>
        </is>
      </c>
      <c r="I15" s="10" t="n"/>
      <c r="J15" s="74" t="inlineStr">
        <is>
          <t>Risultato</t>
        </is>
      </c>
      <c r="K15" s="9" t="n"/>
      <c r="L15" s="10" t="n"/>
    </row>
    <row r="16" ht="24" customHeight="1">
      <c r="A16" s="76">
        <f>MAX(A$10:A15)+1</f>
        <v/>
      </c>
      <c r="B16" s="61">
        <f>IF(C16="","",IFERROR(VLOOKUP(C16,areaNomiBreviSquadre,7,FALSE),""))</f>
        <v/>
      </c>
      <c r="C16" s="62" t="n"/>
      <c r="D16" s="61">
        <f>IF(E16="","",IFERROR(VLOOKUP(E16,areaNomiBreviSquadre,7,FALSE),""))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74" t="inlineStr">
        <is>
          <t>Gara N.</t>
        </is>
      </c>
      <c r="B18" s="74" t="inlineStr">
        <is>
          <t>Squadra A</t>
        </is>
      </c>
      <c r="C18" s="10" t="n"/>
      <c r="D18" s="74" t="inlineStr">
        <is>
          <t>Squadra B</t>
        </is>
      </c>
      <c r="E18" s="10" t="n"/>
      <c r="F18" s="74" t="inlineStr">
        <is>
          <t>Giorno</t>
        </is>
      </c>
      <c r="G18" s="74" t="inlineStr">
        <is>
          <t>Data</t>
        </is>
      </c>
      <c r="H18" s="74" t="inlineStr">
        <is>
          <t>Ora</t>
        </is>
      </c>
      <c r="I18" s="10" t="n"/>
      <c r="J18" s="74" t="inlineStr">
        <is>
          <t>Risultato</t>
        </is>
      </c>
      <c r="K18" s="9" t="n"/>
      <c r="L18" s="10" t="n"/>
    </row>
    <row r="19" ht="24" customHeight="1">
      <c r="A19" s="76">
        <f>MAX(A$10:A18)+1</f>
        <v/>
      </c>
      <c r="B19" s="61">
        <f>IF(C19="","",IFERROR(VLOOKUP(C19,areaNomiBreviSquadre,7,FALSE),""))</f>
        <v/>
      </c>
      <c r="C19" s="62" t="n"/>
      <c r="D19" s="61">
        <f>IF(E19="","",IFERROR(VLOOKUP(E19,areaNomiBreviSquadre,7,FALSE),""))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74" t="inlineStr">
        <is>
          <t>Gara N.</t>
        </is>
      </c>
      <c r="B21" s="74" t="inlineStr">
        <is>
          <t>Squadra A</t>
        </is>
      </c>
      <c r="C21" s="10" t="n"/>
      <c r="D21" s="74" t="inlineStr">
        <is>
          <t>Squadra B</t>
        </is>
      </c>
      <c r="E21" s="10" t="n"/>
      <c r="F21" s="74" t="inlineStr">
        <is>
          <t>Giorno</t>
        </is>
      </c>
      <c r="G21" s="74" t="inlineStr">
        <is>
          <t>Data</t>
        </is>
      </c>
      <c r="H21" s="74" t="inlineStr">
        <is>
          <t>Ora</t>
        </is>
      </c>
      <c r="I21" s="10" t="n"/>
      <c r="J21" s="74" t="inlineStr">
        <is>
          <t>Risultato</t>
        </is>
      </c>
      <c r="K21" s="9" t="n"/>
      <c r="L21" s="10" t="n"/>
    </row>
    <row r="22" ht="24" customHeight="1">
      <c r="A22" s="76">
        <f>MAX(A$10:A21)+1</f>
        <v/>
      </c>
      <c r="B22" s="61">
        <f>IF(C22="","",IFERROR(VLOOKUP(C22,areaNomiBreviSquadre,7,FALSE),""))</f>
        <v/>
      </c>
      <c r="C22" s="62" t="n"/>
      <c r="D22" s="61">
        <f>IF(E22="","",IFERROR(VLOOKUP(E22,areaNomiBreviSquadre,7,FALSE),""))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71" t="inlineStr">
        <is>
          <t>2B</t>
        </is>
      </c>
      <c r="B25" s="72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74" t="inlineStr">
        <is>
          <t>Gara N.</t>
        </is>
      </c>
      <c r="B26" s="74" t="inlineStr">
        <is>
          <t>Squadra A</t>
        </is>
      </c>
      <c r="C26" s="10" t="n"/>
      <c r="D26" s="74" t="inlineStr">
        <is>
          <t>Squadra B</t>
        </is>
      </c>
      <c r="E26" s="10" t="n"/>
      <c r="F26" s="74" t="inlineStr">
        <is>
          <t>Giorno</t>
        </is>
      </c>
      <c r="G26" s="74" t="inlineStr">
        <is>
          <t>Data</t>
        </is>
      </c>
      <c r="H26" s="74" t="inlineStr">
        <is>
          <t>Ora</t>
        </is>
      </c>
      <c r="I26" s="10" t="n"/>
      <c r="J26" s="74" t="inlineStr">
        <is>
          <t>Risultato</t>
        </is>
      </c>
      <c r="K26" s="9" t="n"/>
      <c r="L26" s="10" t="n"/>
    </row>
    <row r="27" ht="24" customHeight="1">
      <c r="A27" s="76">
        <f>MAX(A$10:A26)+1</f>
        <v/>
      </c>
      <c r="B27" s="61">
        <f>IF(C27="","",IFERROR(VLOOKUP(C27,areaNomiBreviSquadre,7,FALSE),""))</f>
        <v/>
      </c>
      <c r="C27" s="62" t="n"/>
      <c r="D27" s="61">
        <f>IF(E27="","",IFERROR(VLOOKUP(E27,areaNomiBreviSquadre,7,FALSE),""))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IF($J27+$L27=0,,IF($J27&lt;$L27,IF($J27&amp;"-"&amp;$L27=MID(constPunteggioForfait,FIND("-",constPunteggioForfait)+1,LEN(constPunteggioForfait))&amp;"-"&amp;LEFT(constPunteggioForfait,FIND("-",constPunteggioForfait)-1),1,0),0))</f>
        <v/>
      </c>
      <c r="P27" s="67">
        <f>IF($J27+$L27=0,,IF($J27&lt;$L27,IF($J27&amp;"-"&amp;$L27&lt;&gt;MID(constPunteggioForfait,FIND("-",constPunteggioForfait)+1,LEN(constPunteggioForfait))&amp;"-"&amp;LEFT(constPunteggioForfait,FIND("-",constPunteggioForfait)-1),1,0),0))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IF($J27+$L27=0,,IF($L27&lt;$J27,IF($J27&amp;"-"&amp;$L27=constPunteggioForfait,1,0),0))</f>
        <v/>
      </c>
      <c r="W27" s="67">
        <f>IF($J27+$L27=0,,IF($L27&lt;$J27,IF($J27&amp;"-"&amp;$L27&lt;&gt;constPunteggioForfait,1,0),0))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IF(I28="","",HYPERLINK(VLOOKUP(I28,areaCampiSquadre,3,FALSE),VLOOKUP(I28,areaCampiSquadre,2,FALSE)))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74" t="inlineStr">
        <is>
          <t>Gara N.</t>
        </is>
      </c>
      <c r="B29" s="74" t="inlineStr">
        <is>
          <t>Squadra A</t>
        </is>
      </c>
      <c r="C29" s="10" t="n"/>
      <c r="D29" s="74" t="inlineStr">
        <is>
          <t>Squadra B</t>
        </is>
      </c>
      <c r="E29" s="10" t="n"/>
      <c r="F29" s="74" t="inlineStr">
        <is>
          <t>Giorno</t>
        </is>
      </c>
      <c r="G29" s="74" t="inlineStr">
        <is>
          <t>Data</t>
        </is>
      </c>
      <c r="H29" s="74" t="inlineStr">
        <is>
          <t>Ora</t>
        </is>
      </c>
      <c r="I29" s="10" t="n"/>
      <c r="J29" s="74" t="inlineStr">
        <is>
          <t>Risultato</t>
        </is>
      </c>
      <c r="K29" s="9" t="n"/>
      <c r="L29" s="10" t="n"/>
    </row>
    <row r="30" ht="24" customHeight="1">
      <c r="A30" s="76">
        <f>MAX(A$10:A29)+1</f>
        <v/>
      </c>
      <c r="B30" s="61">
        <f>IF(C30="","",IFERROR(VLOOKUP(C30,areaNomiBreviSquadre,7,FALSE),""))</f>
        <v/>
      </c>
      <c r="C30" s="62" t="n"/>
      <c r="D30" s="61">
        <f>IF(E30="","",IFERROR(VLOOKUP(E30,areaNomiBreviSquadre,7,FALSE),""))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IF($J30+$L30=0,,IF($J30&lt;$L30,IF($J30&amp;"-"&amp;$L30=MID(constPunteggioForfait,FIND("-",constPunteggioForfait)+1,LEN(constPunteggioForfait))&amp;"-"&amp;LEFT(constPunteggioForfait,FIND("-",constPunteggioForfait)-1),1,0),0))</f>
        <v/>
      </c>
      <c r="P30" s="67">
        <f>IF($J30+$L30=0,,IF($J30&lt;$L30,IF($J30&amp;"-"&amp;$L30&lt;&gt;MID(constPunteggioForfait,FIND("-",constPunteggioForfait)+1,LEN(constPunteggioForfait))&amp;"-"&amp;LEFT(constPunteggioForfait,FIND("-",constPunteggioForfait)-1),1,0),0))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IF($J30+$L30=0,,IF($L30&lt;$J30,IF($J30&amp;"-"&amp;$L30=constPunteggioForfait,1,0),0))</f>
        <v/>
      </c>
      <c r="W30" s="67">
        <f>IF($J30+$L30=0,,IF($L30&lt;$J30,IF($J30&amp;"-"&amp;$L30&lt;&gt;constPunteggioForfait,1,0),0))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IF(I31="","",HYPERLINK(VLOOKUP(I31,areaCampiSquadre,3,FALSE),VLOOKUP(I31,areaCampiSquadre,2,FALSE)))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74" t="inlineStr">
        <is>
          <t>Gara N.</t>
        </is>
      </c>
      <c r="B32" s="74" t="inlineStr">
        <is>
          <t>Squadra A</t>
        </is>
      </c>
      <c r="C32" s="10" t="n"/>
      <c r="D32" s="74" t="inlineStr">
        <is>
          <t>Squadra B</t>
        </is>
      </c>
      <c r="E32" s="10" t="n"/>
      <c r="F32" s="74" t="inlineStr">
        <is>
          <t>Giorno</t>
        </is>
      </c>
      <c r="G32" s="74" t="inlineStr">
        <is>
          <t>Data</t>
        </is>
      </c>
      <c r="H32" s="74" t="inlineStr">
        <is>
          <t>Ora</t>
        </is>
      </c>
      <c r="I32" s="10" t="n"/>
      <c r="J32" s="74" t="inlineStr">
        <is>
          <t>Risultato</t>
        </is>
      </c>
      <c r="K32" s="9" t="n"/>
      <c r="L32" s="10" t="n"/>
    </row>
    <row r="33" ht="24" customHeight="1">
      <c r="A33" s="76">
        <f>MAX(A$10:A32)+1</f>
        <v/>
      </c>
      <c r="B33" s="61">
        <f>IF(C33="","",IFERROR(VLOOKUP(C33,areaNomiBreviSquadre,7,FALSE),""))</f>
        <v/>
      </c>
      <c r="C33" s="62" t="n"/>
      <c r="D33" s="61">
        <f>IF(E33="","",IFERROR(VLOOKUP(E33,areaNomiBreviSquadre,7,FALSE),""))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IF($J33+$L33=0,,IF($J33&lt;$L33,IF($J33&amp;"-"&amp;$L33=MID(constPunteggioForfait,FIND("-",constPunteggioForfait)+1,LEN(constPunteggioForfait))&amp;"-"&amp;LEFT(constPunteggioForfait,FIND("-",constPunteggioForfait)-1),1,0),0))</f>
        <v/>
      </c>
      <c r="P33" s="67">
        <f>IF($J33+$L33=0,,IF($J33&lt;$L33,IF($J33&amp;"-"&amp;$L33&lt;&gt;MID(constPunteggioForfait,FIND("-",constPunteggioForfait)+1,LEN(constPunteggioForfait))&amp;"-"&amp;LEFT(constPunteggioForfait,FIND("-",constPunteggioForfait)-1),1,0),0))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IF($J33+$L33=0,,IF($L33&lt;$J33,IF($J33&amp;"-"&amp;$L33=constPunteggioForfait,1,0),0))</f>
        <v/>
      </c>
      <c r="W33" s="67">
        <f>IF($J33+$L33=0,,IF($L33&lt;$J33,IF($J33&amp;"-"&amp;$L33&lt;&gt;constPunteggioForfait,1,0),0))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IF(I34="","",HYPERLINK(VLOOKUP(I34,areaCampiSquadre,3,FALSE),VLOOKUP(I34,areaCampiSquadre,2,FALSE)))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74" t="inlineStr">
        <is>
          <t>Gara N.</t>
        </is>
      </c>
      <c r="B35" s="74" t="inlineStr">
        <is>
          <t>Squadra A</t>
        </is>
      </c>
      <c r="C35" s="10" t="n"/>
      <c r="D35" s="74" t="inlineStr">
        <is>
          <t>Squadra B</t>
        </is>
      </c>
      <c r="E35" s="10" t="n"/>
      <c r="F35" s="74" t="inlineStr">
        <is>
          <t>Giorno</t>
        </is>
      </c>
      <c r="G35" s="74" t="inlineStr">
        <is>
          <t>Data</t>
        </is>
      </c>
      <c r="H35" s="74" t="inlineStr">
        <is>
          <t>Ora</t>
        </is>
      </c>
      <c r="I35" s="10" t="n"/>
      <c r="J35" s="74" t="inlineStr">
        <is>
          <t>Risultato</t>
        </is>
      </c>
      <c r="K35" s="9" t="n"/>
      <c r="L35" s="10" t="n"/>
    </row>
    <row r="36" ht="24" customHeight="1">
      <c r="A36" s="76">
        <f>MAX(A$10:A35)+1</f>
        <v/>
      </c>
      <c r="B36" s="61">
        <f>IF(C36="","",IFERROR(VLOOKUP(C36,areaNomiBreviSquadre,7,FALSE),""))</f>
        <v/>
      </c>
      <c r="C36" s="62" t="n"/>
      <c r="D36" s="61">
        <f>IF(E36="","",IFERROR(VLOOKUP(E36,areaNomiBreviSquadre,7,FALSE),""))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IF($J36+$L36=0,,IF($J36&lt;$L36,IF($J36&amp;"-"&amp;$L36=MID(constPunteggioForfait,FIND("-",constPunteggioForfait)+1,LEN(constPunteggioForfait))&amp;"-"&amp;LEFT(constPunteggioForfait,FIND("-",constPunteggioForfait)-1),1,0),0))</f>
        <v/>
      </c>
      <c r="P36" s="67">
        <f>IF($J36+$L36=0,,IF($J36&lt;$L36,IF($J36&amp;"-"&amp;$L36&lt;&gt;MID(constPunteggioForfait,FIND("-",constPunteggioForfait)+1,LEN(constPunteggioForfait))&amp;"-"&amp;LEFT(constPunteggioForfait,FIND("-",constPunteggioForfait)-1),1,0),0))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IF($J36+$L36=0,,IF($L36&lt;$J36,IF($J36&amp;"-"&amp;$L36=constPunteggioForfait,1,0),0))</f>
        <v/>
      </c>
      <c r="W36" s="67">
        <f>IF($J36+$L36=0,,IF($L36&lt;$J36,IF($J36&amp;"-"&amp;$L36&lt;&gt;constPunteggioForfait,1,0),0))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IF(I37="","",HYPERLINK(VLOOKUP(I37,areaCampiSquadre,3,FALSE),VLOOKUP(I37,areaCampiSquadre,2,FALSE)))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74" t="inlineStr">
        <is>
          <t>Gara N.</t>
        </is>
      </c>
      <c r="B38" s="74" t="inlineStr">
        <is>
          <t>Squadra A</t>
        </is>
      </c>
      <c r="C38" s="10" t="n"/>
      <c r="D38" s="74" t="inlineStr">
        <is>
          <t>Squadra B</t>
        </is>
      </c>
      <c r="E38" s="10" t="n"/>
      <c r="F38" s="74" t="inlineStr">
        <is>
          <t>Giorno</t>
        </is>
      </c>
      <c r="G38" s="74" t="inlineStr">
        <is>
          <t>Data</t>
        </is>
      </c>
      <c r="H38" s="74" t="inlineStr">
        <is>
          <t>Ora</t>
        </is>
      </c>
      <c r="I38" s="10" t="n"/>
      <c r="J38" s="74" t="inlineStr">
        <is>
          <t>Risultato</t>
        </is>
      </c>
      <c r="K38" s="9" t="n"/>
      <c r="L38" s="10" t="n"/>
    </row>
    <row r="39" ht="24" customHeight="1">
      <c r="A39" s="76">
        <f>MAX(A$10:A38)+1</f>
        <v/>
      </c>
      <c r="B39" s="61">
        <f>IF(C39="","",IFERROR(VLOOKUP(C39,areaNomiBreviSquadre,7,FALSE),""))</f>
        <v/>
      </c>
      <c r="C39" s="62" t="n"/>
      <c r="D39" s="61">
        <f>IF(E39="","",IFERROR(VLOOKUP(E39,areaNomiBreviSquadre,7,FALSE),""))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IF($J39+$L39=0,,IF($J39&lt;$L39,IF($J39&amp;"-"&amp;$L39=MID(constPunteggioForfait,FIND("-",constPunteggioForfait)+1,LEN(constPunteggioForfait))&amp;"-"&amp;LEFT(constPunteggioForfait,FIND("-",constPunteggioForfait)-1),1,0),0))</f>
        <v/>
      </c>
      <c r="P39" s="67">
        <f>IF($J39+$L39=0,,IF($J39&lt;$L39,IF($J39&amp;"-"&amp;$L39&lt;&gt;MID(constPunteggioForfait,FIND("-",constPunteggioForfait)+1,LEN(constPunteggioForfait))&amp;"-"&amp;LEFT(constPunteggioForfait,FIND("-",constPunteggioForfait)-1),1,0),0))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IF($J39+$L39=0,,IF($L39&lt;$J39,IF($J39&amp;"-"&amp;$L39=constPunteggioForfait,1,0),0))</f>
        <v/>
      </c>
      <c r="W39" s="67">
        <f>IF($J39+$L39=0,,IF($L39&lt;$J39,IF($J39&amp;"-"&amp;$L39&lt;&gt;constPunteggioForfait,1,0),0))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IF(I40="","",HYPERLINK(VLOOKUP(I40,areaCampiSquadre,3,FALSE),VLOOKUP(I40,areaCampiSquadre,2,FALSE)))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71" t="inlineStr">
        <is>
          <t>3B</t>
        </is>
      </c>
      <c r="B42" s="72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74" t="inlineStr">
        <is>
          <t>Gara N.</t>
        </is>
      </c>
      <c r="B43" s="74" t="inlineStr">
        <is>
          <t>Squadra A</t>
        </is>
      </c>
      <c r="C43" s="10" t="n"/>
      <c r="D43" s="74" t="inlineStr">
        <is>
          <t>Squadra B</t>
        </is>
      </c>
      <c r="E43" s="10" t="n"/>
      <c r="F43" s="74" t="inlineStr">
        <is>
          <t>Giorno</t>
        </is>
      </c>
      <c r="G43" s="74" t="inlineStr">
        <is>
          <t>Data</t>
        </is>
      </c>
      <c r="H43" s="74" t="inlineStr">
        <is>
          <t>Ora</t>
        </is>
      </c>
      <c r="I43" s="10" t="n"/>
      <c r="J43" s="74" t="inlineStr">
        <is>
          <t>Risultato</t>
        </is>
      </c>
      <c r="K43" s="9" t="n"/>
      <c r="L43" s="10" t="n"/>
    </row>
    <row r="44" ht="24" customHeight="1">
      <c r="A44" s="76">
        <f>MAX(A$10:A43)+1</f>
        <v/>
      </c>
      <c r="B44" s="61">
        <f>IF(C44="","",IFERROR(VLOOKUP(C44,areaNomiBreviSquadre,7,FALSE),""))</f>
        <v/>
      </c>
      <c r="C44" s="62" t="n"/>
      <c r="D44" s="61">
        <f>IF(E44="","",IFERROR(VLOOKUP(E44,areaNomiBreviSquadre,7,FALSE),""))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IF($J44+$L44=0,,IF($J44&lt;$L44,IF($J44&amp;"-"&amp;$L44=MID(constPunteggioForfait,FIND("-",constPunteggioForfait)+1,LEN(constPunteggioForfait))&amp;"-"&amp;LEFT(constPunteggioForfait,FIND("-",constPunteggioForfait)-1),1,0),0))</f>
        <v/>
      </c>
      <c r="P44" s="67">
        <f>IF($J44+$L44=0,,IF($J44&lt;$L44,IF($J44&amp;"-"&amp;$L44&lt;&gt;MID(constPunteggioForfait,FIND("-",constPunteggioForfait)+1,LEN(constPunteggioForfait))&amp;"-"&amp;LEFT(constPunteggioForfait,FIND("-",constPunteggioForfait)-1),1,0),0))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IF($J44+$L44=0,,IF($L44&lt;$J44,IF($J44&amp;"-"&amp;$L44=constPunteggioForfait,1,0),0))</f>
        <v/>
      </c>
      <c r="W44" s="67">
        <f>IF($J44+$L44=0,,IF($L44&lt;$J44,IF($J44&amp;"-"&amp;$L44&lt;&gt;constPunteggioForfait,1,0),0))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IF(I45="","",HYPERLINK(VLOOKUP(I45,areaCampiSquadre,3,FALSE),VLOOKUP(I45,areaCampiSquadre,2,FALSE)))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74" t="inlineStr">
        <is>
          <t>Gara N.</t>
        </is>
      </c>
      <c r="B46" s="74" t="inlineStr">
        <is>
          <t>Squadra A</t>
        </is>
      </c>
      <c r="C46" s="10" t="n"/>
      <c r="D46" s="74" t="inlineStr">
        <is>
          <t>Squadra B</t>
        </is>
      </c>
      <c r="E46" s="10" t="n"/>
      <c r="F46" s="74" t="inlineStr">
        <is>
          <t>Giorno</t>
        </is>
      </c>
      <c r="G46" s="74" t="inlineStr">
        <is>
          <t>Data</t>
        </is>
      </c>
      <c r="H46" s="74" t="inlineStr">
        <is>
          <t>Ora</t>
        </is>
      </c>
      <c r="I46" s="10" t="n"/>
      <c r="J46" s="74" t="inlineStr">
        <is>
          <t>Risultato</t>
        </is>
      </c>
      <c r="K46" s="9" t="n"/>
      <c r="L46" s="10" t="n"/>
    </row>
    <row r="47" ht="24" customHeight="1">
      <c r="A47" s="76">
        <f>MAX(A$10:A46)+1</f>
        <v/>
      </c>
      <c r="B47" s="61">
        <f>IF(C47="","",IFERROR(VLOOKUP(C47,areaNomiBreviSquadre,7,FALSE),""))</f>
        <v/>
      </c>
      <c r="C47" s="62" t="n"/>
      <c r="D47" s="61">
        <f>IF(E47="","",IFERROR(VLOOKUP(E47,areaNomiBreviSquadre,7,FALSE),""))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IF($J47+$L47=0,,IF($J47&lt;$L47,IF($J47&amp;"-"&amp;$L47=MID(constPunteggioForfait,FIND("-",constPunteggioForfait)+1,LEN(constPunteggioForfait))&amp;"-"&amp;LEFT(constPunteggioForfait,FIND("-",constPunteggioForfait)-1),1,0),0))</f>
        <v/>
      </c>
      <c r="P47" s="67">
        <f>IF($J47+$L47=0,,IF($J47&lt;$L47,IF($J47&amp;"-"&amp;$L47&lt;&gt;MID(constPunteggioForfait,FIND("-",constPunteggioForfait)+1,LEN(constPunteggioForfait))&amp;"-"&amp;LEFT(constPunteggioForfait,FIND("-",constPunteggioForfait)-1),1,0),0))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IF($J47+$L47=0,,IF($L47&lt;$J47,IF($J47&amp;"-"&amp;$L47=constPunteggioForfait,1,0),0))</f>
        <v/>
      </c>
      <c r="W47" s="67">
        <f>IF($J47+$L47=0,,IF($L47&lt;$J47,IF($J47&amp;"-"&amp;$L47&lt;&gt;constPunteggioForfait,1,0),0))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IF(I48="","",HYPERLINK(VLOOKUP(I48,areaCampiSquadre,3,FALSE),VLOOKUP(I48,areaCampiSquadre,2,FALSE)))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74" t="inlineStr">
        <is>
          <t>Gara N.</t>
        </is>
      </c>
      <c r="B49" s="74" t="inlineStr">
        <is>
          <t>Squadra A</t>
        </is>
      </c>
      <c r="C49" s="10" t="n"/>
      <c r="D49" s="74" t="inlineStr">
        <is>
          <t>Squadra B</t>
        </is>
      </c>
      <c r="E49" s="10" t="n"/>
      <c r="F49" s="74" t="inlineStr">
        <is>
          <t>Giorno</t>
        </is>
      </c>
      <c r="G49" s="74" t="inlineStr">
        <is>
          <t>Data</t>
        </is>
      </c>
      <c r="H49" s="74" t="inlineStr">
        <is>
          <t>Ora</t>
        </is>
      </c>
      <c r="I49" s="10" t="n"/>
      <c r="J49" s="74" t="inlineStr">
        <is>
          <t>Risultato</t>
        </is>
      </c>
      <c r="K49" s="9" t="n"/>
      <c r="L49" s="10" t="n"/>
    </row>
    <row r="50" ht="24" customHeight="1">
      <c r="A50" s="76">
        <f>MAX(A$10:A49)+1</f>
        <v/>
      </c>
      <c r="B50" s="61">
        <f>IF(C50="","",IFERROR(VLOOKUP(C50,areaNomiBreviSquadre,7,FALSE),""))</f>
        <v/>
      </c>
      <c r="C50" s="62" t="n"/>
      <c r="D50" s="61">
        <f>IF(E50="","",IFERROR(VLOOKUP(E50,areaNomiBreviSquadre,7,FALSE),""))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IF($J50+$L50=0,,IF($J50&lt;$L50,IF($J50&amp;"-"&amp;$L50=MID(constPunteggioForfait,FIND("-",constPunteggioForfait)+1,LEN(constPunteggioForfait))&amp;"-"&amp;LEFT(constPunteggioForfait,FIND("-",constPunteggioForfait)-1),1,0),0))</f>
        <v/>
      </c>
      <c r="P50" s="67">
        <f>IF($J50+$L50=0,,IF($J50&lt;$L50,IF($J50&amp;"-"&amp;$L50&lt;&gt;MID(constPunteggioForfait,FIND("-",constPunteggioForfait)+1,LEN(constPunteggioForfait))&amp;"-"&amp;LEFT(constPunteggioForfait,FIND("-",constPunteggioForfait)-1),1,0),0))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IF($J50+$L50=0,,IF($L50&lt;$J50,IF($J50&amp;"-"&amp;$L50=constPunteggioForfait,1,0),0))</f>
        <v/>
      </c>
      <c r="W50" s="67">
        <f>IF($J50+$L50=0,,IF($L50&lt;$J50,IF($J50&amp;"-"&amp;$L50&lt;&gt;constPunteggioForfait,1,0),0))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IF(I51="","",HYPERLINK(VLOOKUP(I51,areaCampiSquadre,3,FALSE),VLOOKUP(I51,areaCampiSquadre,2,FALSE)))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74" t="inlineStr">
        <is>
          <t>Gara N.</t>
        </is>
      </c>
      <c r="B52" s="74" t="inlineStr">
        <is>
          <t>Squadra A</t>
        </is>
      </c>
      <c r="C52" s="10" t="n"/>
      <c r="D52" s="74" t="inlineStr">
        <is>
          <t>Squadra B</t>
        </is>
      </c>
      <c r="E52" s="10" t="n"/>
      <c r="F52" s="74" t="inlineStr">
        <is>
          <t>Giorno</t>
        </is>
      </c>
      <c r="G52" s="74" t="inlineStr">
        <is>
          <t>Data</t>
        </is>
      </c>
      <c r="H52" s="74" t="inlineStr">
        <is>
          <t>Ora</t>
        </is>
      </c>
      <c r="I52" s="10" t="n"/>
      <c r="J52" s="74" t="inlineStr">
        <is>
          <t>Risultato</t>
        </is>
      </c>
      <c r="K52" s="9" t="n"/>
      <c r="L52" s="10" t="n"/>
    </row>
    <row r="53" ht="24" customHeight="1">
      <c r="A53" s="76">
        <f>MAX(A$10:A52)+1</f>
        <v/>
      </c>
      <c r="B53" s="61">
        <f>IF(C53="","",IFERROR(VLOOKUP(C53,areaNomiBreviSquadre,7,FALSE),""))</f>
        <v/>
      </c>
      <c r="C53" s="62" t="n"/>
      <c r="D53" s="61">
        <f>IF(E53="","",IFERROR(VLOOKUP(E53,areaNomiBreviSquadre,7,FALSE),""))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IF($J53+$L53=0,,IF($J53&lt;$L53,IF($J53&amp;"-"&amp;$L53=MID(constPunteggioForfait,FIND("-",constPunteggioForfait)+1,LEN(constPunteggioForfait))&amp;"-"&amp;LEFT(constPunteggioForfait,FIND("-",constPunteggioForfait)-1),1,0),0))</f>
        <v/>
      </c>
      <c r="P53" s="67">
        <f>IF($J53+$L53=0,,IF($J53&lt;$L53,IF($J53&amp;"-"&amp;$L53&lt;&gt;MID(constPunteggioForfait,FIND("-",constPunteggioForfait)+1,LEN(constPunteggioForfait))&amp;"-"&amp;LEFT(constPunteggioForfait,FIND("-",constPunteggioForfait)-1),1,0),0))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IF($J53+$L53=0,,IF($L53&lt;$J53,IF($J53&amp;"-"&amp;$L53=constPunteggioForfait,1,0),0))</f>
        <v/>
      </c>
      <c r="W53" s="67">
        <f>IF($J53+$L53=0,,IF($L53&lt;$J53,IF($J53&amp;"-"&amp;$L53&lt;&gt;constPunteggioForfait,1,0),0))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IF(I54="","",HYPERLINK(VLOOKUP(I54,areaCampiSquadre,3,FALSE),VLOOKUP(I54,areaCampiSquadre,2,FALSE)))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74" t="inlineStr">
        <is>
          <t>Gara N.</t>
        </is>
      </c>
      <c r="B55" s="74" t="inlineStr">
        <is>
          <t>Squadra A</t>
        </is>
      </c>
      <c r="C55" s="10" t="n"/>
      <c r="D55" s="74" t="inlineStr">
        <is>
          <t>Squadra B</t>
        </is>
      </c>
      <c r="E55" s="10" t="n"/>
      <c r="F55" s="74" t="inlineStr">
        <is>
          <t>Giorno</t>
        </is>
      </c>
      <c r="G55" s="74" t="inlineStr">
        <is>
          <t>Data</t>
        </is>
      </c>
      <c r="H55" s="74" t="inlineStr">
        <is>
          <t>Ora</t>
        </is>
      </c>
      <c r="I55" s="10" t="n"/>
      <c r="J55" s="74" t="inlineStr">
        <is>
          <t>Risultato</t>
        </is>
      </c>
      <c r="K55" s="9" t="n"/>
      <c r="L55" s="10" t="n"/>
    </row>
    <row r="56" ht="24" customHeight="1">
      <c r="A56" s="76">
        <f>MAX(A$10:A55)+1</f>
        <v/>
      </c>
      <c r="B56" s="61">
        <f>IF(C56="","",IFERROR(VLOOKUP(C56,areaNomiBreviSquadre,7,FALSE),""))</f>
        <v/>
      </c>
      <c r="C56" s="62" t="n"/>
      <c r="D56" s="61">
        <f>IF(E56="","",IFERROR(VLOOKUP(E56,areaNomiBreviSquadre,7,FALSE),""))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IF($J56+$L56=0,,IF($J56&lt;$L56,IF($J56&amp;"-"&amp;$L56=MID(constPunteggioForfait,FIND("-",constPunteggioForfait)+1,LEN(constPunteggioForfait))&amp;"-"&amp;LEFT(constPunteggioForfait,FIND("-",constPunteggioForfait)-1),1,0),0))</f>
        <v/>
      </c>
      <c r="P56" s="67">
        <f>IF($J56+$L56=0,,IF($J56&lt;$L56,IF($J56&amp;"-"&amp;$L56&lt;&gt;MID(constPunteggioForfait,FIND("-",constPunteggioForfait)+1,LEN(constPunteggioForfait))&amp;"-"&amp;LEFT(constPunteggioForfait,FIND("-",constPunteggioForfait)-1),1,0),0))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IF($J56+$L56=0,,IF($L56&lt;$J56,IF($J56&amp;"-"&amp;$L56=constPunteggioForfait,1,0),0))</f>
        <v/>
      </c>
      <c r="W56" s="67">
        <f>IF($J56+$L56=0,,IF($L56&lt;$J56,IF($J56&amp;"-"&amp;$L56&lt;&gt;constPunteggioForfait,1,0),0))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IF(I57="","",HYPERLINK(VLOOKUP(I57,areaCampiSquadre,3,FALSE),VLOOKUP(I57,areaCampiSquadre,2,FALSE)))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71" t="inlineStr">
        <is>
          <t>4B</t>
        </is>
      </c>
      <c r="B59" s="72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74" t="inlineStr">
        <is>
          <t>Gara N.</t>
        </is>
      </c>
      <c r="B60" s="74" t="inlineStr">
        <is>
          <t>Squadra A</t>
        </is>
      </c>
      <c r="C60" s="10" t="n"/>
      <c r="D60" s="74" t="inlineStr">
        <is>
          <t>Squadra B</t>
        </is>
      </c>
      <c r="E60" s="10" t="n"/>
      <c r="F60" s="74" t="inlineStr">
        <is>
          <t>Giorno</t>
        </is>
      </c>
      <c r="G60" s="74" t="inlineStr">
        <is>
          <t>Data</t>
        </is>
      </c>
      <c r="H60" s="74" t="inlineStr">
        <is>
          <t>Ora</t>
        </is>
      </c>
      <c r="I60" s="10" t="n"/>
      <c r="J60" s="74" t="inlineStr">
        <is>
          <t>Risultato</t>
        </is>
      </c>
      <c r="K60" s="9" t="n"/>
      <c r="L60" s="10" t="n"/>
    </row>
    <row r="61" ht="24" customHeight="1">
      <c r="A61" s="76">
        <f>MAX(A$10:A60)+1</f>
        <v/>
      </c>
      <c r="B61" s="61">
        <f>IF(C61="","",IFERROR(VLOOKUP(C61,areaNomiBreviSquadre,7,FALSE),""))</f>
        <v/>
      </c>
      <c r="C61" s="62" t="n"/>
      <c r="D61" s="61">
        <f>IF(E61="","",IFERROR(VLOOKUP(E61,areaNomiBreviSquadre,7,FALSE),""))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IF($J61+$L61=0,,IF($J61&lt;$L61,IF($J61&amp;"-"&amp;$L61=MID(constPunteggioForfait,FIND("-",constPunteggioForfait)+1,LEN(constPunteggioForfait))&amp;"-"&amp;LEFT(constPunteggioForfait,FIND("-",constPunteggioForfait)-1),1,0),0))</f>
        <v/>
      </c>
      <c r="P61" s="67">
        <f>IF($J61+$L61=0,,IF($J61&lt;$L61,IF($J61&amp;"-"&amp;$L61&lt;&gt;MID(constPunteggioForfait,FIND("-",constPunteggioForfait)+1,LEN(constPunteggioForfait))&amp;"-"&amp;LEFT(constPunteggioForfait,FIND("-",constPunteggioForfait)-1),1,0),0))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IF($J61+$L61=0,,IF($L61&lt;$J61,IF($J61&amp;"-"&amp;$L61=constPunteggioForfait,1,0),0))</f>
        <v/>
      </c>
      <c r="W61" s="67">
        <f>IF($J61+$L61=0,,IF($L61&lt;$J61,IF($J61&amp;"-"&amp;$L61&lt;&gt;constPunteggioForfait,1,0),0))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IF(I62="","",HYPERLINK(VLOOKUP(I62,areaCampiSquadre,3,FALSE),VLOOKUP(I62,areaCampiSquadre,2,FALSE)))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74" t="inlineStr">
        <is>
          <t>Gara N.</t>
        </is>
      </c>
      <c r="B63" s="74" t="inlineStr">
        <is>
          <t>Squadra A</t>
        </is>
      </c>
      <c r="C63" s="10" t="n"/>
      <c r="D63" s="74" t="inlineStr">
        <is>
          <t>Squadra B</t>
        </is>
      </c>
      <c r="E63" s="10" t="n"/>
      <c r="F63" s="74" t="inlineStr">
        <is>
          <t>Giorno</t>
        </is>
      </c>
      <c r="G63" s="74" t="inlineStr">
        <is>
          <t>Data</t>
        </is>
      </c>
      <c r="H63" s="74" t="inlineStr">
        <is>
          <t>Ora</t>
        </is>
      </c>
      <c r="I63" s="10" t="n"/>
      <c r="J63" s="74" t="inlineStr">
        <is>
          <t>Risultato</t>
        </is>
      </c>
      <c r="K63" s="9" t="n"/>
      <c r="L63" s="10" t="n"/>
    </row>
    <row r="64" ht="24" customHeight="1">
      <c r="A64" s="76">
        <f>MAX(A$10:A63)+1</f>
        <v/>
      </c>
      <c r="B64" s="61">
        <f>IF(C64="","",IFERROR(VLOOKUP(C64,areaNomiBreviSquadre,7,FALSE),""))</f>
        <v/>
      </c>
      <c r="C64" s="62" t="n"/>
      <c r="D64" s="61">
        <f>IF(E64="","",IFERROR(VLOOKUP(E64,areaNomiBreviSquadre,7,FALSE),""))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IF($J64+$L64=0,,IF($J64&lt;$L64,IF($J64&amp;"-"&amp;$L64=MID(constPunteggioForfait,FIND("-",constPunteggioForfait)+1,LEN(constPunteggioForfait))&amp;"-"&amp;LEFT(constPunteggioForfait,FIND("-",constPunteggioForfait)-1),1,0),0))</f>
        <v/>
      </c>
      <c r="P64" s="67">
        <f>IF($J64+$L64=0,,IF($J64&lt;$L64,IF($J64&amp;"-"&amp;$L64&lt;&gt;MID(constPunteggioForfait,FIND("-",constPunteggioForfait)+1,LEN(constPunteggioForfait))&amp;"-"&amp;LEFT(constPunteggioForfait,FIND("-",constPunteggioForfait)-1),1,0),0))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IF($J64+$L64=0,,IF($L64&lt;$J64,IF($J64&amp;"-"&amp;$L64=constPunteggioForfait,1,0),0))</f>
        <v/>
      </c>
      <c r="W64" s="67">
        <f>IF($J64+$L64=0,,IF($L64&lt;$J64,IF($J64&amp;"-"&amp;$L64&lt;&gt;constPunteggioForfait,1,0),0))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IF(I65="","",HYPERLINK(VLOOKUP(I65,areaCampiSquadre,3,FALSE),VLOOKUP(I65,areaCampiSquadre,2,FALSE)))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74" t="inlineStr">
        <is>
          <t>Gara N.</t>
        </is>
      </c>
      <c r="B66" s="74" t="inlineStr">
        <is>
          <t>Squadra A</t>
        </is>
      </c>
      <c r="C66" s="10" t="n"/>
      <c r="D66" s="74" t="inlineStr">
        <is>
          <t>Squadra B</t>
        </is>
      </c>
      <c r="E66" s="10" t="n"/>
      <c r="F66" s="74" t="inlineStr">
        <is>
          <t>Giorno</t>
        </is>
      </c>
      <c r="G66" s="74" t="inlineStr">
        <is>
          <t>Data</t>
        </is>
      </c>
      <c r="H66" s="74" t="inlineStr">
        <is>
          <t>Ora</t>
        </is>
      </c>
      <c r="I66" s="10" t="n"/>
      <c r="J66" s="74" t="inlineStr">
        <is>
          <t>Risultato</t>
        </is>
      </c>
      <c r="K66" s="9" t="n"/>
      <c r="L66" s="10" t="n"/>
    </row>
    <row r="67" ht="24" customHeight="1">
      <c r="A67" s="76">
        <f>MAX(A$10:A66)+1</f>
        <v/>
      </c>
      <c r="B67" s="61">
        <f>IF(C67="","",IFERROR(VLOOKUP(C67,areaNomiBreviSquadre,7,FALSE),""))</f>
        <v/>
      </c>
      <c r="C67" s="62" t="n"/>
      <c r="D67" s="61">
        <f>IF(E67="","",IFERROR(VLOOKUP(E67,areaNomiBreviSquadre,7,FALSE),""))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IF($J67+$L67=0,,IF($J67&lt;$L67,IF($J67&amp;"-"&amp;$L67=MID(constPunteggioForfait,FIND("-",constPunteggioForfait)+1,LEN(constPunteggioForfait))&amp;"-"&amp;LEFT(constPunteggioForfait,FIND("-",constPunteggioForfait)-1),1,0),0))</f>
        <v/>
      </c>
      <c r="P67" s="67">
        <f>IF($J67+$L67=0,,IF($J67&lt;$L67,IF($J67&amp;"-"&amp;$L67&lt;&gt;MID(constPunteggioForfait,FIND("-",constPunteggioForfait)+1,LEN(constPunteggioForfait))&amp;"-"&amp;LEFT(constPunteggioForfait,FIND("-",constPunteggioForfait)-1),1,0),0))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IF($J67+$L67=0,,IF($L67&lt;$J67,IF($J67&amp;"-"&amp;$L67=constPunteggioForfait,1,0),0))</f>
        <v/>
      </c>
      <c r="W67" s="67">
        <f>IF($J67+$L67=0,,IF($L67&lt;$J67,IF($J67&amp;"-"&amp;$L67&lt;&gt;constPunteggioForfait,1,0),0))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IF(I68="","",HYPERLINK(VLOOKUP(I68,areaCampiSquadre,3,FALSE),VLOOKUP(I68,areaCampiSquadre,2,FALSE)))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74" t="inlineStr">
        <is>
          <t>Gara N.</t>
        </is>
      </c>
      <c r="B69" s="74" t="inlineStr">
        <is>
          <t>Squadra A</t>
        </is>
      </c>
      <c r="C69" s="10" t="n"/>
      <c r="D69" s="74" t="inlineStr">
        <is>
          <t>Squadra B</t>
        </is>
      </c>
      <c r="E69" s="10" t="n"/>
      <c r="F69" s="74" t="inlineStr">
        <is>
          <t>Giorno</t>
        </is>
      </c>
      <c r="G69" s="74" t="inlineStr">
        <is>
          <t>Data</t>
        </is>
      </c>
      <c r="H69" s="74" t="inlineStr">
        <is>
          <t>Ora</t>
        </is>
      </c>
      <c r="I69" s="10" t="n"/>
      <c r="J69" s="74" t="inlineStr">
        <is>
          <t>Risultato</t>
        </is>
      </c>
      <c r="K69" s="9" t="n"/>
      <c r="L69" s="10" t="n"/>
    </row>
    <row r="70" ht="24" customHeight="1">
      <c r="A70" s="76">
        <f>MAX(A$10:A69)+1</f>
        <v/>
      </c>
      <c r="B70" s="61">
        <f>IF(C70="","",IFERROR(VLOOKUP(C70,areaNomiBreviSquadre,7,FALSE),""))</f>
        <v/>
      </c>
      <c r="C70" s="62" t="n"/>
      <c r="D70" s="61">
        <f>IF(E70="","",IFERROR(VLOOKUP(E70,areaNomiBreviSquadre,7,FALSE),""))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IF($J70+$L70=0,,IF($J70&lt;$L70,IF($J70&amp;"-"&amp;$L70=MID(constPunteggioForfait,FIND("-",constPunteggioForfait)+1,LEN(constPunteggioForfait))&amp;"-"&amp;LEFT(constPunteggioForfait,FIND("-",constPunteggioForfait)-1),1,0),0))</f>
        <v/>
      </c>
      <c r="P70" s="67">
        <f>IF($J70+$L70=0,,IF($J70&lt;$L70,IF($J70&amp;"-"&amp;$L70&lt;&gt;MID(constPunteggioForfait,FIND("-",constPunteggioForfait)+1,LEN(constPunteggioForfait))&amp;"-"&amp;LEFT(constPunteggioForfait,FIND("-",constPunteggioForfait)-1),1,0),0))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IF($J70+$L70=0,,IF($L70&lt;$J70,IF($J70&amp;"-"&amp;$L70=constPunteggioForfait,1,0),0))</f>
        <v/>
      </c>
      <c r="W70" s="67">
        <f>IF($J70+$L70=0,,IF($L70&lt;$J70,IF($J70&amp;"-"&amp;$L70&lt;&gt;constPunteggioForfait,1,0),0))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IF(I71="","",HYPERLINK(VLOOKUP(I71,areaCampiSquadre,3,FALSE),VLOOKUP(I71,areaCampiSquadre,2,FALSE)))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74" t="inlineStr">
        <is>
          <t>Gara N.</t>
        </is>
      </c>
      <c r="B72" s="74" t="inlineStr">
        <is>
          <t>Squadra A</t>
        </is>
      </c>
      <c r="C72" s="10" t="n"/>
      <c r="D72" s="74" t="inlineStr">
        <is>
          <t>Squadra B</t>
        </is>
      </c>
      <c r="E72" s="10" t="n"/>
      <c r="F72" s="74" t="inlineStr">
        <is>
          <t>Giorno</t>
        </is>
      </c>
      <c r="G72" s="74" t="inlineStr">
        <is>
          <t>Data</t>
        </is>
      </c>
      <c r="H72" s="74" t="inlineStr">
        <is>
          <t>Ora</t>
        </is>
      </c>
      <c r="I72" s="10" t="n"/>
      <c r="J72" s="74" t="inlineStr">
        <is>
          <t>Risultato</t>
        </is>
      </c>
      <c r="K72" s="9" t="n"/>
      <c r="L72" s="10" t="n"/>
    </row>
    <row r="73" ht="24" customHeight="1">
      <c r="A73" s="76">
        <f>MAX(A$10:A72)+1</f>
        <v/>
      </c>
      <c r="B73" s="61">
        <f>IF(C73="","",IFERROR(VLOOKUP(C73,areaNomiBreviSquadre,7,FALSE),""))</f>
        <v/>
      </c>
      <c r="C73" s="62" t="n"/>
      <c r="D73" s="61">
        <f>IF(E73="","",IFERROR(VLOOKUP(E73,areaNomiBreviSquadre,7,FALSE),""))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IF($J73+$L73=0,,IF($J73&lt;$L73,IF($J73&amp;"-"&amp;$L73=MID(constPunteggioForfait,FIND("-",constPunteggioForfait)+1,LEN(constPunteggioForfait))&amp;"-"&amp;LEFT(constPunteggioForfait,FIND("-",constPunteggioForfait)-1),1,0),0))</f>
        <v/>
      </c>
      <c r="P73" s="67">
        <f>IF($J73+$L73=0,,IF($J73&lt;$L73,IF($J73&amp;"-"&amp;$L73&lt;&gt;MID(constPunteggioForfait,FIND("-",constPunteggioForfait)+1,LEN(constPunteggioForfait))&amp;"-"&amp;LEFT(constPunteggioForfait,FIND("-",constPunteggioForfait)-1),1,0),0))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IF($J73+$L73=0,,IF($L73&lt;$J73,IF($J73&amp;"-"&amp;$L73=constPunteggioForfait,1,0),0))</f>
        <v/>
      </c>
      <c r="W73" s="67">
        <f>IF($J73+$L73=0,,IF($L73&lt;$J73,IF($J73&amp;"-"&amp;$L73&lt;&gt;constPunteggioForfait,1,0),0))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IF(I74="","",HYPERLINK(VLOOKUP(I74,areaCampiSquadre,3,FALSE),VLOOKUP(I74,areaCampiSquadre,2,FALSE)))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71" t="inlineStr">
        <is>
          <t>5B</t>
        </is>
      </c>
      <c r="B76" s="72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74" t="inlineStr">
        <is>
          <t>Gara N.</t>
        </is>
      </c>
      <c r="B77" s="74" t="inlineStr">
        <is>
          <t>Squadra A</t>
        </is>
      </c>
      <c r="C77" s="10" t="n"/>
      <c r="D77" s="74" t="inlineStr">
        <is>
          <t>Squadra B</t>
        </is>
      </c>
      <c r="E77" s="10" t="n"/>
      <c r="F77" s="74" t="inlineStr">
        <is>
          <t>Giorno</t>
        </is>
      </c>
      <c r="G77" s="74" t="inlineStr">
        <is>
          <t>Data</t>
        </is>
      </c>
      <c r="H77" s="74" t="inlineStr">
        <is>
          <t>Ora</t>
        </is>
      </c>
      <c r="I77" s="10" t="n"/>
      <c r="J77" s="74" t="inlineStr">
        <is>
          <t>Risultato</t>
        </is>
      </c>
      <c r="K77" s="9" t="n"/>
      <c r="L77" s="10" t="n"/>
    </row>
    <row r="78" ht="24" customHeight="1">
      <c r="A78" s="76">
        <f>MAX(A$10:A77)+1</f>
        <v/>
      </c>
      <c r="B78" s="61">
        <f>IF(C78="","",IFERROR(VLOOKUP(C78,areaNomiBreviSquadre,7,FALSE),""))</f>
        <v/>
      </c>
      <c r="C78" s="62" t="n"/>
      <c r="D78" s="61">
        <f>IF(E78="","",IFERROR(VLOOKUP(E78,areaNomiBreviSquadre,7,FALSE),""))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IF($J78+$L78=0,,IF($J78&lt;$L78,IF($J78&amp;"-"&amp;$L78=MID(constPunteggioForfait,FIND("-",constPunteggioForfait)+1,LEN(constPunteggioForfait))&amp;"-"&amp;LEFT(constPunteggioForfait,FIND("-",constPunteggioForfait)-1),1,0),0))</f>
        <v/>
      </c>
      <c r="P78" s="67">
        <f>IF($J78+$L78=0,,IF($J78&lt;$L78,IF($J78&amp;"-"&amp;$L78&lt;&gt;MID(constPunteggioForfait,FIND("-",constPunteggioForfait)+1,LEN(constPunteggioForfait))&amp;"-"&amp;LEFT(constPunteggioForfait,FIND("-",constPunteggioForfait)-1),1,0),0))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IF($J78+$L78=0,,IF($L78&lt;$J78,IF($J78&amp;"-"&amp;$L78=constPunteggioForfait,1,0),0))</f>
        <v/>
      </c>
      <c r="W78" s="67">
        <f>IF($J78+$L78=0,,IF($L78&lt;$J78,IF($J78&amp;"-"&amp;$L78&lt;&gt;constPunteggioForfait,1,0),0))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IF(I79="","",HYPERLINK(VLOOKUP(I79,areaCampiSquadre,3,FALSE),VLOOKUP(I79,areaCampiSquadre,2,FALSE)))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74" t="inlineStr">
        <is>
          <t>Gara N.</t>
        </is>
      </c>
      <c r="B80" s="74" t="inlineStr">
        <is>
          <t>Squadra A</t>
        </is>
      </c>
      <c r="C80" s="10" t="n"/>
      <c r="D80" s="74" t="inlineStr">
        <is>
          <t>Squadra B</t>
        </is>
      </c>
      <c r="E80" s="10" t="n"/>
      <c r="F80" s="74" t="inlineStr">
        <is>
          <t>Giorno</t>
        </is>
      </c>
      <c r="G80" s="74" t="inlineStr">
        <is>
          <t>Data</t>
        </is>
      </c>
      <c r="H80" s="74" t="inlineStr">
        <is>
          <t>Ora</t>
        </is>
      </c>
      <c r="I80" s="10" t="n"/>
      <c r="J80" s="74" t="inlineStr">
        <is>
          <t>Risultato</t>
        </is>
      </c>
      <c r="K80" s="9" t="n"/>
      <c r="L80" s="10" t="n"/>
    </row>
    <row r="81" ht="24" customHeight="1">
      <c r="A81" s="76">
        <f>MAX(A$10:A80)+1</f>
        <v/>
      </c>
      <c r="B81" s="61">
        <f>IF(C81="","",IFERROR(VLOOKUP(C81,areaNomiBreviSquadre,7,FALSE),""))</f>
        <v/>
      </c>
      <c r="C81" s="62" t="n"/>
      <c r="D81" s="61">
        <f>IF(E81="","",IFERROR(VLOOKUP(E81,areaNomiBreviSquadre,7,FALSE),""))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IF($J81+$L81=0,,IF($J81&lt;$L81,IF($J81&amp;"-"&amp;$L81=MID(constPunteggioForfait,FIND("-",constPunteggioForfait)+1,LEN(constPunteggioForfait))&amp;"-"&amp;LEFT(constPunteggioForfait,FIND("-",constPunteggioForfait)-1),1,0),0))</f>
        <v/>
      </c>
      <c r="P81" s="67">
        <f>IF($J81+$L81=0,,IF($J81&lt;$L81,IF($J81&amp;"-"&amp;$L81&lt;&gt;MID(constPunteggioForfait,FIND("-",constPunteggioForfait)+1,LEN(constPunteggioForfait))&amp;"-"&amp;LEFT(constPunteggioForfait,FIND("-",constPunteggioForfait)-1),1,0),0))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IF($J81+$L81=0,,IF($L81&lt;$J81,IF($J81&amp;"-"&amp;$L81=constPunteggioForfait,1,0),0))</f>
        <v/>
      </c>
      <c r="W81" s="67">
        <f>IF($J81+$L81=0,,IF($L81&lt;$J81,IF($J81&amp;"-"&amp;$L81&lt;&gt;constPunteggioForfait,1,0),0))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IF(I82="","",HYPERLINK(VLOOKUP(I82,areaCampiSquadre,3,FALSE),VLOOKUP(I82,areaCampiSquadre,2,FALSE)))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74" t="inlineStr">
        <is>
          <t>Gara N.</t>
        </is>
      </c>
      <c r="B83" s="74" t="inlineStr">
        <is>
          <t>Squadra A</t>
        </is>
      </c>
      <c r="C83" s="10" t="n"/>
      <c r="D83" s="74" t="inlineStr">
        <is>
          <t>Squadra B</t>
        </is>
      </c>
      <c r="E83" s="10" t="n"/>
      <c r="F83" s="74" t="inlineStr">
        <is>
          <t>Giorno</t>
        </is>
      </c>
      <c r="G83" s="74" t="inlineStr">
        <is>
          <t>Data</t>
        </is>
      </c>
      <c r="H83" s="74" t="inlineStr">
        <is>
          <t>Ora</t>
        </is>
      </c>
      <c r="I83" s="10" t="n"/>
      <c r="J83" s="74" t="inlineStr">
        <is>
          <t>Risultato</t>
        </is>
      </c>
      <c r="K83" s="9" t="n"/>
      <c r="L83" s="10" t="n"/>
    </row>
    <row r="84" ht="24" customHeight="1">
      <c r="A84" s="76">
        <f>MAX(A$10:A83)+1</f>
        <v/>
      </c>
      <c r="B84" s="61">
        <f>IF(C84="","",IFERROR(VLOOKUP(C84,areaNomiBreviSquadre,7,FALSE),""))</f>
        <v/>
      </c>
      <c r="C84" s="62" t="n"/>
      <c r="D84" s="61">
        <f>IF(E84="","",IFERROR(VLOOKUP(E84,areaNomiBreviSquadre,7,FALSE),""))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IF($J84+$L84=0,,IF($J84&lt;$L84,IF($J84&amp;"-"&amp;$L84=MID(constPunteggioForfait,FIND("-",constPunteggioForfait)+1,LEN(constPunteggioForfait))&amp;"-"&amp;LEFT(constPunteggioForfait,FIND("-",constPunteggioForfait)-1),1,0),0))</f>
        <v/>
      </c>
      <c r="P84" s="67">
        <f>IF($J84+$L84=0,,IF($J84&lt;$L84,IF($J84&amp;"-"&amp;$L84&lt;&gt;MID(constPunteggioForfait,FIND("-",constPunteggioForfait)+1,LEN(constPunteggioForfait))&amp;"-"&amp;LEFT(constPunteggioForfait,FIND("-",constPunteggioForfait)-1),1,0),0))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IF($J84+$L84=0,,IF($L84&lt;$J84,IF($J84&amp;"-"&amp;$L84=constPunteggioForfait,1,0),0))</f>
        <v/>
      </c>
      <c r="W84" s="67">
        <f>IF($J84+$L84=0,,IF($L84&lt;$J84,IF($J84&amp;"-"&amp;$L84&lt;&gt;constPunteggioForfait,1,0),0))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IF(I85="","",HYPERLINK(VLOOKUP(I85,areaCampiSquadre,3,FALSE),VLOOKUP(I85,areaCampiSquadre,2,FALSE)))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74" t="inlineStr">
        <is>
          <t>Gara N.</t>
        </is>
      </c>
      <c r="B86" s="74" t="inlineStr">
        <is>
          <t>Squadra A</t>
        </is>
      </c>
      <c r="C86" s="10" t="n"/>
      <c r="D86" s="74" t="inlineStr">
        <is>
          <t>Squadra B</t>
        </is>
      </c>
      <c r="E86" s="10" t="n"/>
      <c r="F86" s="74" t="inlineStr">
        <is>
          <t>Giorno</t>
        </is>
      </c>
      <c r="G86" s="74" t="inlineStr">
        <is>
          <t>Data</t>
        </is>
      </c>
      <c r="H86" s="74" t="inlineStr">
        <is>
          <t>Ora</t>
        </is>
      </c>
      <c r="I86" s="10" t="n"/>
      <c r="J86" s="74" t="inlineStr">
        <is>
          <t>Risultato</t>
        </is>
      </c>
      <c r="K86" s="9" t="n"/>
      <c r="L86" s="10" t="n"/>
    </row>
    <row r="87" ht="24" customHeight="1">
      <c r="A87" s="76">
        <f>MAX(A$10:A86)+1</f>
        <v/>
      </c>
      <c r="B87" s="61">
        <f>IF(C87="","",IFERROR(VLOOKUP(C87,areaNomiBreviSquadre,7,FALSE),""))</f>
        <v/>
      </c>
      <c r="C87" s="62" t="n"/>
      <c r="D87" s="61">
        <f>IF(E87="","",IFERROR(VLOOKUP(E87,areaNomiBreviSquadre,7,FALSE),""))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IF($J87+$L87=0,,IF($J87&lt;$L87,IF($J87&amp;"-"&amp;$L87=MID(constPunteggioForfait,FIND("-",constPunteggioForfait)+1,LEN(constPunteggioForfait))&amp;"-"&amp;LEFT(constPunteggioForfait,FIND("-",constPunteggioForfait)-1),1,0),0))</f>
        <v/>
      </c>
      <c r="P87" s="67">
        <f>IF($J87+$L87=0,,IF($J87&lt;$L87,IF($J87&amp;"-"&amp;$L87&lt;&gt;MID(constPunteggioForfait,FIND("-",constPunteggioForfait)+1,LEN(constPunteggioForfait))&amp;"-"&amp;LEFT(constPunteggioForfait,FIND("-",constPunteggioForfait)-1),1,0),0))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IF($J87+$L87=0,,IF($L87&lt;$J87,IF($J87&amp;"-"&amp;$L87=constPunteggioForfait,1,0),0))</f>
        <v/>
      </c>
      <c r="W87" s="67">
        <f>IF($J87+$L87=0,,IF($L87&lt;$J87,IF($J87&amp;"-"&amp;$L87&lt;&gt;constPunteggioForfait,1,0),0))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IF(I88="","",HYPERLINK(VLOOKUP(I88,areaCampiSquadre,3,FALSE),VLOOKUP(I88,areaCampiSquadre,2,FALSE)))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74" t="inlineStr">
        <is>
          <t>Gara N.</t>
        </is>
      </c>
      <c r="B89" s="74" t="inlineStr">
        <is>
          <t>Squadra A</t>
        </is>
      </c>
      <c r="C89" s="10" t="n"/>
      <c r="D89" s="74" t="inlineStr">
        <is>
          <t>Squadra B</t>
        </is>
      </c>
      <c r="E89" s="10" t="n"/>
      <c r="F89" s="74" t="inlineStr">
        <is>
          <t>Giorno</t>
        </is>
      </c>
      <c r="G89" s="74" t="inlineStr">
        <is>
          <t>Data</t>
        </is>
      </c>
      <c r="H89" s="74" t="inlineStr">
        <is>
          <t>Ora</t>
        </is>
      </c>
      <c r="I89" s="10" t="n"/>
      <c r="J89" s="74" t="inlineStr">
        <is>
          <t>Risultato</t>
        </is>
      </c>
      <c r="K89" s="9" t="n"/>
      <c r="L89" s="10" t="n"/>
    </row>
    <row r="90" ht="24" customHeight="1">
      <c r="A90" s="76">
        <f>MAX(A$10:A89)+1</f>
        <v/>
      </c>
      <c r="B90" s="61">
        <f>IF(C90="","",IFERROR(VLOOKUP(C90,areaNomiBreviSquadre,7,FALSE),""))</f>
        <v/>
      </c>
      <c r="C90" s="62" t="n"/>
      <c r="D90" s="61">
        <f>IF(E90="","",IFERROR(VLOOKUP(E90,areaNomiBreviSquadre,7,FALSE),""))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IF($J90+$L90=0,,IF($J90&lt;$L90,IF($J90&amp;"-"&amp;$L90=MID(constPunteggioForfait,FIND("-",constPunteggioForfait)+1,LEN(constPunteggioForfait))&amp;"-"&amp;LEFT(constPunteggioForfait,FIND("-",constPunteggioForfait)-1),1,0),0))</f>
        <v/>
      </c>
      <c r="P90" s="67">
        <f>IF($J90+$L90=0,,IF($J90&lt;$L90,IF($J90&amp;"-"&amp;$L90&lt;&gt;MID(constPunteggioForfait,FIND("-",constPunteggioForfait)+1,LEN(constPunteggioForfait))&amp;"-"&amp;LEFT(constPunteggioForfait,FIND("-",constPunteggioForfait)-1),1,0),0))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IF($J90+$L90=0,,IF($L90&lt;$J90,IF($J90&amp;"-"&amp;$L90=constPunteggioForfait,1,0),0))</f>
        <v/>
      </c>
      <c r="W90" s="67">
        <f>IF($J90+$L90=0,,IF($L90&lt;$J90,IF($J90&amp;"-"&amp;$L90&lt;&gt;constPunteggioForfait,1,0),0))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IF(I91="","",HYPERLINK(VLOOKUP(I91,areaCampiSquadre,3,FALSE),VLOOKUP(I91,areaCampiSquadre,2,FALSE)))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71" t="inlineStr">
        <is>
          <t>6B</t>
        </is>
      </c>
      <c r="B93" s="72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74" t="inlineStr">
        <is>
          <t>Gara N.</t>
        </is>
      </c>
      <c r="B94" s="74" t="inlineStr">
        <is>
          <t>Squadra A</t>
        </is>
      </c>
      <c r="C94" s="10" t="n"/>
      <c r="D94" s="74" t="inlineStr">
        <is>
          <t>Squadra B</t>
        </is>
      </c>
      <c r="E94" s="10" t="n"/>
      <c r="F94" s="74" t="inlineStr">
        <is>
          <t>Giorno</t>
        </is>
      </c>
      <c r="G94" s="74" t="inlineStr">
        <is>
          <t>Data</t>
        </is>
      </c>
      <c r="H94" s="74" t="inlineStr">
        <is>
          <t>Ora</t>
        </is>
      </c>
      <c r="I94" s="10" t="n"/>
      <c r="J94" s="74" t="inlineStr">
        <is>
          <t>Risultato</t>
        </is>
      </c>
      <c r="K94" s="9" t="n"/>
      <c r="L94" s="10" t="n"/>
    </row>
    <row r="95" ht="24" customHeight="1">
      <c r="A95" s="76">
        <f>MAX(A$10:A94)+1</f>
        <v/>
      </c>
      <c r="B95" s="61">
        <f>IF(C95="","",IFERROR(VLOOKUP(C95,areaNomiBreviSquadre,7,FALSE),""))</f>
        <v/>
      </c>
      <c r="C95" s="62" t="n"/>
      <c r="D95" s="61">
        <f>IF(E95="","",IFERROR(VLOOKUP(E95,areaNomiBreviSquadre,7,FALSE),""))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74" t="inlineStr">
        <is>
          <t>Gara N.</t>
        </is>
      </c>
      <c r="B97" s="74" t="inlineStr">
        <is>
          <t>Squadra A</t>
        </is>
      </c>
      <c r="C97" s="10" t="n"/>
      <c r="D97" s="74" t="inlineStr">
        <is>
          <t>Squadra B</t>
        </is>
      </c>
      <c r="E97" s="10" t="n"/>
      <c r="F97" s="74" t="inlineStr">
        <is>
          <t>Giorno</t>
        </is>
      </c>
      <c r="G97" s="74" t="inlineStr">
        <is>
          <t>Data</t>
        </is>
      </c>
      <c r="H97" s="74" t="inlineStr">
        <is>
          <t>Ora</t>
        </is>
      </c>
      <c r="I97" s="10" t="n"/>
      <c r="J97" s="74" t="inlineStr">
        <is>
          <t>Risultato</t>
        </is>
      </c>
      <c r="K97" s="9" t="n"/>
      <c r="L97" s="10" t="n"/>
    </row>
    <row r="98" ht="24" customHeight="1">
      <c r="A98" s="76">
        <f>MAX(A$10:A97)+1</f>
        <v/>
      </c>
      <c r="B98" s="61">
        <f>IF(C98="","",IFERROR(VLOOKUP(C98,areaNomiBreviSquadre,7,FALSE),""))</f>
        <v/>
      </c>
      <c r="C98" s="62" t="n"/>
      <c r="D98" s="61">
        <f>IF(E98="","",IFERROR(VLOOKUP(E98,areaNomiBreviSquadre,7,FALSE),""))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74" t="inlineStr">
        <is>
          <t>Gara N.</t>
        </is>
      </c>
      <c r="B100" s="74" t="inlineStr">
        <is>
          <t>Squadra A</t>
        </is>
      </c>
      <c r="C100" s="10" t="n"/>
      <c r="D100" s="74" t="inlineStr">
        <is>
          <t>Squadra B</t>
        </is>
      </c>
      <c r="E100" s="10" t="n"/>
      <c r="F100" s="74" t="inlineStr">
        <is>
          <t>Giorno</t>
        </is>
      </c>
      <c r="G100" s="74" t="inlineStr">
        <is>
          <t>Data</t>
        </is>
      </c>
      <c r="H100" s="74" t="inlineStr">
        <is>
          <t>Ora</t>
        </is>
      </c>
      <c r="I100" s="10" t="n"/>
      <c r="J100" s="74" t="inlineStr">
        <is>
          <t>Risultato</t>
        </is>
      </c>
      <c r="K100" s="9" t="n"/>
      <c r="L100" s="10" t="n"/>
    </row>
    <row r="101" ht="24" customHeight="1">
      <c r="A101" s="76">
        <f>MAX(A$10:A100)+1</f>
        <v/>
      </c>
      <c r="B101" s="61">
        <f>IF(C101="","",IFERROR(VLOOKUP(C101,areaNomiBreviSquadre,7,FALSE),""))</f>
        <v/>
      </c>
      <c r="C101" s="62" t="n"/>
      <c r="D101" s="61">
        <f>IF(E101="","",IFERROR(VLOOKUP(E101,areaNomiBreviSquadre,7,FALSE),""))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74" t="inlineStr">
        <is>
          <t>Gara N.</t>
        </is>
      </c>
      <c r="B103" s="74" t="inlineStr">
        <is>
          <t>Squadra A</t>
        </is>
      </c>
      <c r="C103" s="10" t="n"/>
      <c r="D103" s="74" t="inlineStr">
        <is>
          <t>Squadra B</t>
        </is>
      </c>
      <c r="E103" s="10" t="n"/>
      <c r="F103" s="74" t="inlineStr">
        <is>
          <t>Giorno</t>
        </is>
      </c>
      <c r="G103" s="74" t="inlineStr">
        <is>
          <t>Data</t>
        </is>
      </c>
      <c r="H103" s="74" t="inlineStr">
        <is>
          <t>Ora</t>
        </is>
      </c>
      <c r="I103" s="10" t="n"/>
      <c r="J103" s="74" t="inlineStr">
        <is>
          <t>Risultato</t>
        </is>
      </c>
      <c r="K103" s="9" t="n"/>
      <c r="L103" s="10" t="n"/>
    </row>
    <row r="104" ht="24" customHeight="1">
      <c r="A104" s="76">
        <f>MAX(A$10:A103)+1</f>
        <v/>
      </c>
      <c r="B104" s="61">
        <f>IF(C104="","",IFERROR(VLOOKUP(C104,areaNomiBreviSquadre,7,FALSE),""))</f>
        <v/>
      </c>
      <c r="C104" s="62" t="n"/>
      <c r="D104" s="61">
        <f>IF(E104="","",IFERROR(VLOOKUP(E104,areaNomiBreviSquadre,7,FALSE),""))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IF($J104+$L104=0,,IF($J104&lt;$L104,IF($J104&amp;"-"&amp;$L104=MID(constPunteggioForfait,FIND("-",constPunteggioForfait)+1,LEN(constPunteggioForfait))&amp;"-"&amp;LEFT(constPunteggioForfait,FIND("-",constPunteggioForfait)-1),1,0),0))</f>
        <v/>
      </c>
      <c r="P104" s="67">
        <f>IF($J104+$L104=0,,IF($J104&lt;$L104,IF($J104&amp;"-"&amp;$L104&lt;&gt;MID(constPunteggioForfait,FIND("-",constPunteggioForfait)+1,LEN(constPunteggioForfait))&amp;"-"&amp;LEFT(constPunteggioForfait,FIND("-",constPunteggioForfait)-1),1,0),0))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IF($J104+$L104=0,,IF($L104&lt;$J104,IF($J104&amp;"-"&amp;$L104=constPunteggioForfait,1,0),0))</f>
        <v/>
      </c>
      <c r="W104" s="67">
        <f>IF($J104+$L104=0,,IF($L104&lt;$J104,IF($J104&amp;"-"&amp;$L104&lt;&gt;constPunteggioForfait,1,0),0))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IF(I105="","",HYPERLINK(VLOOKUP(I105,areaCampiSquadre,3,FALSE),VLOOKUP(I105,areaCampiSquadre,2,FALSE)))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74" t="inlineStr">
        <is>
          <t>Gara N.</t>
        </is>
      </c>
      <c r="B106" s="74" t="inlineStr">
        <is>
          <t>Squadra A</t>
        </is>
      </c>
      <c r="C106" s="10" t="n"/>
      <c r="D106" s="74" t="inlineStr">
        <is>
          <t>Squadra B</t>
        </is>
      </c>
      <c r="E106" s="10" t="n"/>
      <c r="F106" s="74" t="inlineStr">
        <is>
          <t>Giorno</t>
        </is>
      </c>
      <c r="G106" s="74" t="inlineStr">
        <is>
          <t>Data</t>
        </is>
      </c>
      <c r="H106" s="74" t="inlineStr">
        <is>
          <t>Ora</t>
        </is>
      </c>
      <c r="I106" s="10" t="n"/>
      <c r="J106" s="74" t="inlineStr">
        <is>
          <t>Risultato</t>
        </is>
      </c>
      <c r="K106" s="9" t="n"/>
      <c r="L106" s="10" t="n"/>
    </row>
    <row r="107" ht="24" customHeight="1">
      <c r="A107" s="76">
        <f>MAX(A$10:A106)+1</f>
        <v/>
      </c>
      <c r="B107" s="61">
        <f>IF(C107="","",IFERROR(VLOOKUP(C107,areaNomiBreviSquadre,7,FALSE),""))</f>
        <v/>
      </c>
      <c r="C107" s="62" t="n"/>
      <c r="D107" s="61">
        <f>IF(E107="","",IFERROR(VLOOKUP(E107,areaNomiBreviSquadre,7,FALSE),""))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IF($J107+$L107=0,,IF($J107&lt;$L107,IF($J107&amp;"-"&amp;$L107=MID(constPunteggioForfait,FIND("-",constPunteggioForfait)+1,LEN(constPunteggioForfait))&amp;"-"&amp;LEFT(constPunteggioForfait,FIND("-",constPunteggioForfait)-1),1,0),0))</f>
        <v/>
      </c>
      <c r="P107" s="67">
        <f>IF($J107+$L107=0,,IF($J107&lt;$L107,IF($J107&amp;"-"&amp;$L107&lt;&gt;MID(constPunteggioForfait,FIND("-",constPunteggioForfait)+1,LEN(constPunteggioForfait))&amp;"-"&amp;LEFT(constPunteggioForfait,FIND("-",constPunteggioForfait)-1),1,0),0))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IF($J107+$L107=0,,IF($L107&lt;$J107,IF($J107&amp;"-"&amp;$L107=constPunteggioForfait,1,0),0))</f>
        <v/>
      </c>
      <c r="W107" s="67">
        <f>IF($J107+$L107=0,,IF($L107&lt;$J107,IF($J107&amp;"-"&amp;$L107&lt;&gt;constPunteggioForfait,1,0),0))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IF(I108="","",HYPERLINK(VLOOKUP(I108,areaCampiSquadre,3,FALSE),VLOOKUP(I108,areaCampiSquadre,2,FALSE)))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71" t="inlineStr">
        <is>
          <t>7B</t>
        </is>
      </c>
      <c r="B110" s="72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74" t="inlineStr">
        <is>
          <t>Gara N.</t>
        </is>
      </c>
      <c r="B111" s="74" t="inlineStr">
        <is>
          <t>Squadra A</t>
        </is>
      </c>
      <c r="C111" s="10" t="n"/>
      <c r="D111" s="74" t="inlineStr">
        <is>
          <t>Squadra B</t>
        </is>
      </c>
      <c r="E111" s="10" t="n"/>
      <c r="F111" s="74" t="inlineStr">
        <is>
          <t>Giorno</t>
        </is>
      </c>
      <c r="G111" s="74" t="inlineStr">
        <is>
          <t>Data</t>
        </is>
      </c>
      <c r="H111" s="74" t="inlineStr">
        <is>
          <t>Ora</t>
        </is>
      </c>
      <c r="I111" s="10" t="n"/>
      <c r="J111" s="74" t="inlineStr">
        <is>
          <t>Risultato</t>
        </is>
      </c>
      <c r="K111" s="9" t="n"/>
      <c r="L111" s="10" t="n"/>
    </row>
    <row r="112" ht="24" customHeight="1">
      <c r="A112" s="76">
        <f>MAX(A$10:A111)+1</f>
        <v/>
      </c>
      <c r="B112" s="61">
        <f>IF(C112="","",IFERROR(VLOOKUP(C112,areaNomiBreviSquadre,7,FALSE),""))</f>
        <v/>
      </c>
      <c r="C112" s="62" t="n"/>
      <c r="D112" s="61">
        <f>IF(E112="","",IFERROR(VLOOKUP(E112,areaNomiBreviSquadre,7,FALSE),""))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74" t="inlineStr">
        <is>
          <t>Gara N.</t>
        </is>
      </c>
      <c r="B114" s="74" t="inlineStr">
        <is>
          <t>Squadra A</t>
        </is>
      </c>
      <c r="C114" s="10" t="n"/>
      <c r="D114" s="74" t="inlineStr">
        <is>
          <t>Squadra B</t>
        </is>
      </c>
      <c r="E114" s="10" t="n"/>
      <c r="F114" s="74" t="inlineStr">
        <is>
          <t>Giorno</t>
        </is>
      </c>
      <c r="G114" s="74" t="inlineStr">
        <is>
          <t>Data</t>
        </is>
      </c>
      <c r="H114" s="74" t="inlineStr">
        <is>
          <t>Ora</t>
        </is>
      </c>
      <c r="I114" s="10" t="n"/>
      <c r="J114" s="74" t="inlineStr">
        <is>
          <t>Risultato</t>
        </is>
      </c>
      <c r="K114" s="9" t="n"/>
      <c r="L114" s="10" t="n"/>
    </row>
    <row r="115" ht="24" customHeight="1">
      <c r="A115" s="76">
        <f>MAX(A$10:A114)+1</f>
        <v/>
      </c>
      <c r="B115" s="61">
        <f>IF(C115="","",IFERROR(VLOOKUP(C115,areaNomiBreviSquadre,7,FALSE),""))</f>
        <v/>
      </c>
      <c r="C115" s="62" t="n"/>
      <c r="D115" s="61">
        <f>IF(E115="","",IFERROR(VLOOKUP(E115,areaNomiBreviSquadre,7,FALSE),""))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74" t="inlineStr">
        <is>
          <t>Gara N.</t>
        </is>
      </c>
      <c r="B117" s="74" t="inlineStr">
        <is>
          <t>Squadra A</t>
        </is>
      </c>
      <c r="C117" s="10" t="n"/>
      <c r="D117" s="74" t="inlineStr">
        <is>
          <t>Squadra B</t>
        </is>
      </c>
      <c r="E117" s="10" t="n"/>
      <c r="F117" s="74" t="inlineStr">
        <is>
          <t>Giorno</t>
        </is>
      </c>
      <c r="G117" s="74" t="inlineStr">
        <is>
          <t>Data</t>
        </is>
      </c>
      <c r="H117" s="74" t="inlineStr">
        <is>
          <t>Ora</t>
        </is>
      </c>
      <c r="I117" s="10" t="n"/>
      <c r="J117" s="74" t="inlineStr">
        <is>
          <t>Risultato</t>
        </is>
      </c>
      <c r="K117" s="9" t="n"/>
      <c r="L117" s="10" t="n"/>
    </row>
    <row r="118" ht="24" customHeight="1">
      <c r="A118" s="76">
        <f>MAX(A$10:A117)+1</f>
        <v/>
      </c>
      <c r="B118" s="61">
        <f>IF(C118="","",IFERROR(VLOOKUP(C118,areaNomiBreviSquadre,7,FALSE),""))</f>
        <v/>
      </c>
      <c r="C118" s="62" t="n"/>
      <c r="D118" s="61">
        <f>IF(E118="","",IFERROR(VLOOKUP(E118,areaNomiBreviSquadre,7,FALSE),""))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74" t="inlineStr">
        <is>
          <t>Gara N.</t>
        </is>
      </c>
      <c r="B120" s="74" t="inlineStr">
        <is>
          <t>Squadra A</t>
        </is>
      </c>
      <c r="C120" s="10" t="n"/>
      <c r="D120" s="74" t="inlineStr">
        <is>
          <t>Squadra B</t>
        </is>
      </c>
      <c r="E120" s="10" t="n"/>
      <c r="F120" s="74" t="inlineStr">
        <is>
          <t>Giorno</t>
        </is>
      </c>
      <c r="G120" s="74" t="inlineStr">
        <is>
          <t>Data</t>
        </is>
      </c>
      <c r="H120" s="74" t="inlineStr">
        <is>
          <t>Ora</t>
        </is>
      </c>
      <c r="I120" s="10" t="n"/>
      <c r="J120" s="74" t="inlineStr">
        <is>
          <t>Risultato</t>
        </is>
      </c>
      <c r="K120" s="9" t="n"/>
      <c r="L120" s="10" t="n"/>
    </row>
    <row r="121" ht="24" customHeight="1">
      <c r="A121" s="76">
        <f>MAX(A$10:A120)+1</f>
        <v/>
      </c>
      <c r="B121" s="61">
        <f>IF(C121="","",IFERROR(VLOOKUP(C121,areaNomiBreviSquadre,7,FALSE),""))</f>
        <v/>
      </c>
      <c r="C121" s="62" t="n"/>
      <c r="D121" s="61">
        <f>IF(E121="","",IFERROR(VLOOKUP(E121,areaNomiBreviSquadre,7,FALSE),""))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74" t="inlineStr">
        <is>
          <t>Gara N.</t>
        </is>
      </c>
      <c r="B123" s="74" t="inlineStr">
        <is>
          <t>Squadra A</t>
        </is>
      </c>
      <c r="C123" s="10" t="n"/>
      <c r="D123" s="74" t="inlineStr">
        <is>
          <t>Squadra B</t>
        </is>
      </c>
      <c r="E123" s="10" t="n"/>
      <c r="F123" s="74" t="inlineStr">
        <is>
          <t>Giorno</t>
        </is>
      </c>
      <c r="G123" s="74" t="inlineStr">
        <is>
          <t>Data</t>
        </is>
      </c>
      <c r="H123" s="74" t="inlineStr">
        <is>
          <t>Ora</t>
        </is>
      </c>
      <c r="I123" s="10" t="n"/>
      <c r="J123" s="74" t="inlineStr">
        <is>
          <t>Risultato</t>
        </is>
      </c>
      <c r="K123" s="9" t="n"/>
      <c r="L123" s="10" t="n"/>
    </row>
    <row r="124" ht="24" customHeight="1">
      <c r="A124" s="76">
        <f>MAX(A$10:A123)+1</f>
        <v/>
      </c>
      <c r="B124" s="61">
        <f>IF(C124="","",IFERROR(VLOOKUP(C124,areaNomiBreviSquadre,7,FALSE),""))</f>
        <v/>
      </c>
      <c r="C124" s="62" t="n"/>
      <c r="D124" s="61">
        <f>IF(E124="","",IFERROR(VLOOKUP(E124,areaNomiBreviSquadre,7,FALSE),""))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71" t="inlineStr">
        <is>
          <t>8B</t>
        </is>
      </c>
      <c r="B127" s="72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74" t="inlineStr">
        <is>
          <t>Gara N.</t>
        </is>
      </c>
      <c r="B128" s="74" t="inlineStr">
        <is>
          <t>Squadra A</t>
        </is>
      </c>
      <c r="C128" s="10" t="n"/>
      <c r="D128" s="74" t="inlineStr">
        <is>
          <t>Squadra B</t>
        </is>
      </c>
      <c r="E128" s="10" t="n"/>
      <c r="F128" s="74" t="inlineStr">
        <is>
          <t>Giorno</t>
        </is>
      </c>
      <c r="G128" s="74" t="inlineStr">
        <is>
          <t>Data</t>
        </is>
      </c>
      <c r="H128" s="74" t="inlineStr">
        <is>
          <t>Ora</t>
        </is>
      </c>
      <c r="I128" s="10" t="n"/>
      <c r="J128" s="74" t="inlineStr">
        <is>
          <t>Risultato</t>
        </is>
      </c>
      <c r="K128" s="9" t="n"/>
      <c r="L128" s="10" t="n"/>
    </row>
    <row r="129" ht="24" customHeight="1">
      <c r="A129" s="76">
        <f>MAX(A$10:A128)+1</f>
        <v/>
      </c>
      <c r="B129" s="61">
        <f>IF(C129="","",IFERROR(VLOOKUP(C129,areaNomiBreviSquadre,7,FALSE),""))</f>
        <v/>
      </c>
      <c r="C129" s="62" t="n"/>
      <c r="D129" s="61">
        <f>IF(E129="","",IFERROR(VLOOKUP(E129,areaNomiBreviSquadre,7,FALSE),""))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IF($J129+$L129=0,,IF($J129&lt;$L129,IF($J129&amp;"-"&amp;$L129=MID(constPunteggioForfait,FIND("-",constPunteggioForfait)+1,LEN(constPunteggioForfait))&amp;"-"&amp;LEFT(constPunteggioForfait,FIND("-",constPunteggioForfait)-1),1,0),0))</f>
        <v/>
      </c>
      <c r="P129" s="67">
        <f>IF($J129+$L129=0,,IF($J129&lt;$L129,IF($J129&amp;"-"&amp;$L129&lt;&gt;MID(constPunteggioForfait,FIND("-",constPunteggioForfait)+1,LEN(constPunteggioForfait))&amp;"-"&amp;LEFT(constPunteggioForfait,FIND("-",constPunteggioForfait)-1),1,0),0))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IF($J129+$L129=0,,IF($L129&lt;$J129,IF($J129&amp;"-"&amp;$L129=constPunteggioForfait,1,0),0))</f>
        <v/>
      </c>
      <c r="W129" s="67">
        <f>IF($J129+$L129=0,,IF($L129&lt;$J129,IF($J129&amp;"-"&amp;$L129&lt;&gt;constPunteggioForfait,1,0),0))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IF(I130="","",HYPERLINK(VLOOKUP(I130,areaCampiSquadre,3,FALSE),VLOOKUP(I130,areaCampiSquadre,2,FALSE)))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74" t="inlineStr">
        <is>
          <t>Gara N.</t>
        </is>
      </c>
      <c r="B131" s="74" t="inlineStr">
        <is>
          <t>Squadra A</t>
        </is>
      </c>
      <c r="C131" s="10" t="n"/>
      <c r="D131" s="74" t="inlineStr">
        <is>
          <t>Squadra B</t>
        </is>
      </c>
      <c r="E131" s="10" t="n"/>
      <c r="F131" s="74" t="inlineStr">
        <is>
          <t>Giorno</t>
        </is>
      </c>
      <c r="G131" s="74" t="inlineStr">
        <is>
          <t>Data</t>
        </is>
      </c>
      <c r="H131" s="74" t="inlineStr">
        <is>
          <t>Ora</t>
        </is>
      </c>
      <c r="I131" s="10" t="n"/>
      <c r="J131" s="74" t="inlineStr">
        <is>
          <t>Risultato</t>
        </is>
      </c>
      <c r="K131" s="9" t="n"/>
      <c r="L131" s="10" t="n"/>
    </row>
    <row r="132" ht="24" customHeight="1">
      <c r="A132" s="76">
        <f>MAX(A$10:A131)+1</f>
        <v/>
      </c>
      <c r="B132" s="61">
        <f>IF(C132="","",IFERROR(VLOOKUP(C132,areaNomiBreviSquadre,7,FALSE),""))</f>
        <v/>
      </c>
      <c r="C132" s="62" t="n"/>
      <c r="D132" s="61">
        <f>IF(E132="","",IFERROR(VLOOKUP(E132,areaNomiBreviSquadre,7,FALSE),""))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IF($J132+$L132=0,,IF($J132&lt;$L132,IF($J132&amp;"-"&amp;$L132=MID(constPunteggioForfait,FIND("-",constPunteggioForfait)+1,LEN(constPunteggioForfait))&amp;"-"&amp;LEFT(constPunteggioForfait,FIND("-",constPunteggioForfait)-1),1,0),0))</f>
        <v/>
      </c>
      <c r="P132" s="67">
        <f>IF($J132+$L132=0,,IF($J132&lt;$L132,IF($J132&amp;"-"&amp;$L132&lt;&gt;MID(constPunteggioForfait,FIND("-",constPunteggioForfait)+1,LEN(constPunteggioForfait))&amp;"-"&amp;LEFT(constPunteggioForfait,FIND("-",constPunteggioForfait)-1),1,0),0))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IF($J132+$L132=0,,IF($L132&lt;$J132,IF($J132&amp;"-"&amp;$L132=constPunteggioForfait,1,0),0))</f>
        <v/>
      </c>
      <c r="W132" s="67">
        <f>IF($J132+$L132=0,,IF($L132&lt;$J132,IF($J132&amp;"-"&amp;$L132&lt;&gt;constPunteggioForfait,1,0),0))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IF(I133="","",HYPERLINK(VLOOKUP(I133,areaCampiSquadre,3,FALSE),VLOOKUP(I133,areaCampiSquadre,2,FALSE)))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74" t="inlineStr">
        <is>
          <t>Gara N.</t>
        </is>
      </c>
      <c r="B134" s="74" t="inlineStr">
        <is>
          <t>Squadra A</t>
        </is>
      </c>
      <c r="C134" s="10" t="n"/>
      <c r="D134" s="74" t="inlineStr">
        <is>
          <t>Squadra B</t>
        </is>
      </c>
      <c r="E134" s="10" t="n"/>
      <c r="F134" s="74" t="inlineStr">
        <is>
          <t>Giorno</t>
        </is>
      </c>
      <c r="G134" s="74" t="inlineStr">
        <is>
          <t>Data</t>
        </is>
      </c>
      <c r="H134" s="74" t="inlineStr">
        <is>
          <t>Ora</t>
        </is>
      </c>
      <c r="I134" s="10" t="n"/>
      <c r="J134" s="74" t="inlineStr">
        <is>
          <t>Risultato</t>
        </is>
      </c>
      <c r="K134" s="9" t="n"/>
      <c r="L134" s="10" t="n"/>
    </row>
    <row r="135" ht="24" customHeight="1">
      <c r="A135" s="76">
        <f>MAX(A$10:A134)+1</f>
        <v/>
      </c>
      <c r="B135" s="61">
        <f>IF(C135="","",IFERROR(VLOOKUP(C135,areaNomiBreviSquadre,7,FALSE),""))</f>
        <v/>
      </c>
      <c r="C135" s="62" t="n"/>
      <c r="D135" s="61">
        <f>IF(E135="","",IFERROR(VLOOKUP(E135,areaNomiBreviSquadre,7,FALSE),""))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IF($J135+$L135=0,,IF($J135&lt;$L135,IF($J135&amp;"-"&amp;$L135=MID(constPunteggioForfait,FIND("-",constPunteggioForfait)+1,LEN(constPunteggioForfait))&amp;"-"&amp;LEFT(constPunteggioForfait,FIND("-",constPunteggioForfait)-1),1,0),0))</f>
        <v/>
      </c>
      <c r="P135" s="67">
        <f>IF($J135+$L135=0,,IF($J135&lt;$L135,IF($J135&amp;"-"&amp;$L135&lt;&gt;MID(constPunteggioForfait,FIND("-",constPunteggioForfait)+1,LEN(constPunteggioForfait))&amp;"-"&amp;LEFT(constPunteggioForfait,FIND("-",constPunteggioForfait)-1),1,0),0))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IF($J135+$L135=0,,IF($L135&lt;$J135,IF($J135&amp;"-"&amp;$L135=constPunteggioForfait,1,0),0))</f>
        <v/>
      </c>
      <c r="W135" s="67">
        <f>IF($J135+$L135=0,,IF($L135&lt;$J135,IF($J135&amp;"-"&amp;$L135&lt;&gt;constPunteggioForfait,1,0),0))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IF(I136="","",HYPERLINK(VLOOKUP(I136,areaCampiSquadre,3,FALSE),VLOOKUP(I136,areaCampiSquadre,2,FALSE)))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74" t="inlineStr">
        <is>
          <t>Gara N.</t>
        </is>
      </c>
      <c r="B137" s="74" t="inlineStr">
        <is>
          <t>Squadra A</t>
        </is>
      </c>
      <c r="C137" s="10" t="n"/>
      <c r="D137" s="74" t="inlineStr">
        <is>
          <t>Squadra B</t>
        </is>
      </c>
      <c r="E137" s="10" t="n"/>
      <c r="F137" s="74" t="inlineStr">
        <is>
          <t>Giorno</t>
        </is>
      </c>
      <c r="G137" s="74" t="inlineStr">
        <is>
          <t>Data</t>
        </is>
      </c>
      <c r="H137" s="74" t="inlineStr">
        <is>
          <t>Ora</t>
        </is>
      </c>
      <c r="I137" s="10" t="n"/>
      <c r="J137" s="74" t="inlineStr">
        <is>
          <t>Risultato</t>
        </is>
      </c>
      <c r="K137" s="9" t="n"/>
      <c r="L137" s="10" t="n"/>
    </row>
    <row r="138" ht="24" customHeight="1">
      <c r="A138" s="76">
        <f>MAX(A$10:A137)+1</f>
        <v/>
      </c>
      <c r="B138" s="61">
        <f>IF(C138="","",IFERROR(VLOOKUP(C138,areaNomiBreviSquadre,7,FALSE),""))</f>
        <v/>
      </c>
      <c r="C138" s="62" t="n"/>
      <c r="D138" s="61">
        <f>IF(E138="","",IFERROR(VLOOKUP(E138,areaNomiBreviSquadre,7,FALSE),""))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74" t="inlineStr">
        <is>
          <t>Gara N.</t>
        </is>
      </c>
      <c r="B140" s="74" t="inlineStr">
        <is>
          <t>Squadra A</t>
        </is>
      </c>
      <c r="C140" s="10" t="n"/>
      <c r="D140" s="74" t="inlineStr">
        <is>
          <t>Squadra B</t>
        </is>
      </c>
      <c r="E140" s="10" t="n"/>
      <c r="F140" s="74" t="inlineStr">
        <is>
          <t>Giorno</t>
        </is>
      </c>
      <c r="G140" s="74" t="inlineStr">
        <is>
          <t>Data</t>
        </is>
      </c>
      <c r="H140" s="74" t="inlineStr">
        <is>
          <t>Ora</t>
        </is>
      </c>
      <c r="I140" s="10" t="n"/>
      <c r="J140" s="74" t="inlineStr">
        <is>
          <t>Risultato</t>
        </is>
      </c>
      <c r="K140" s="9" t="n"/>
      <c r="L140" s="10" t="n"/>
    </row>
    <row r="141" ht="24" customHeight="1">
      <c r="A141" s="76">
        <f>MAX(A$10:A140)+1</f>
        <v/>
      </c>
      <c r="B141" s="61">
        <f>IF(C141="","",IFERROR(VLOOKUP(C141,areaNomiBreviSquadre,7,FALSE),""))</f>
        <v/>
      </c>
      <c r="C141" s="62" t="n"/>
      <c r="D141" s="61">
        <f>IF(E141="","",IFERROR(VLOOKUP(E141,areaNomiBreviSquadre,7,FALSE),""))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71" t="inlineStr">
        <is>
          <t>9B</t>
        </is>
      </c>
      <c r="B144" s="72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74" t="inlineStr">
        <is>
          <t>Gara N.</t>
        </is>
      </c>
      <c r="B145" s="74" t="inlineStr">
        <is>
          <t>Squadra A</t>
        </is>
      </c>
      <c r="C145" s="10" t="n"/>
      <c r="D145" s="74" t="inlineStr">
        <is>
          <t>Squadra B</t>
        </is>
      </c>
      <c r="E145" s="10" t="n"/>
      <c r="F145" s="74" t="inlineStr">
        <is>
          <t>Giorno</t>
        </is>
      </c>
      <c r="G145" s="74" t="inlineStr">
        <is>
          <t>Data</t>
        </is>
      </c>
      <c r="H145" s="74" t="inlineStr">
        <is>
          <t>Ora</t>
        </is>
      </c>
      <c r="I145" s="10" t="n"/>
      <c r="J145" s="74" t="inlineStr">
        <is>
          <t>Risultato</t>
        </is>
      </c>
      <c r="K145" s="9" t="n"/>
      <c r="L145" s="10" t="n"/>
    </row>
    <row r="146" ht="24" customHeight="1">
      <c r="A146" s="76">
        <f>MAX(A$10:A145)+1</f>
        <v/>
      </c>
      <c r="B146" s="61">
        <f>IF(C146="","",IFERROR(VLOOKUP(C146,areaNomiBreviSquadre,7,FALSE),""))</f>
        <v/>
      </c>
      <c r="C146" s="62" t="n"/>
      <c r="D146" s="61">
        <f>IF(E146="","",IFERROR(VLOOKUP(E146,areaNomiBreviSquadre,7,FALSE),""))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IF($J146+$L146=0,,IF($J146&lt;$L146,IF($J146&amp;"-"&amp;$L146=MID(constPunteggioForfait,FIND("-",constPunteggioForfait)+1,LEN(constPunteggioForfait))&amp;"-"&amp;LEFT(constPunteggioForfait,FIND("-",constPunteggioForfait)-1),1,0),0))</f>
        <v/>
      </c>
      <c r="P146" s="67">
        <f>IF($J146+$L146=0,,IF($J146&lt;$L146,IF($J146&amp;"-"&amp;$L146&lt;&gt;MID(constPunteggioForfait,FIND("-",constPunteggioForfait)+1,LEN(constPunteggioForfait))&amp;"-"&amp;LEFT(constPunteggioForfait,FIND("-",constPunteggioForfait)-1),1,0),0))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IF($J146+$L146=0,,IF($L146&lt;$J146,IF($J146&amp;"-"&amp;$L146=constPunteggioForfait,1,0),0))</f>
        <v/>
      </c>
      <c r="W146" s="67">
        <f>IF($J146+$L146=0,,IF($L146&lt;$J146,IF($J146&amp;"-"&amp;$L146&lt;&gt;constPunteggioForfait,1,0),0))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IF(I147="","",HYPERLINK(VLOOKUP(I147,areaCampiSquadre,3,FALSE),VLOOKUP(I147,areaCampiSquadre,2,FALSE)))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74" t="inlineStr">
        <is>
          <t>Gara N.</t>
        </is>
      </c>
      <c r="B148" s="74" t="inlineStr">
        <is>
          <t>Squadra A</t>
        </is>
      </c>
      <c r="C148" s="10" t="n"/>
      <c r="D148" s="74" t="inlineStr">
        <is>
          <t>Squadra B</t>
        </is>
      </c>
      <c r="E148" s="10" t="n"/>
      <c r="F148" s="74" t="inlineStr">
        <is>
          <t>Giorno</t>
        </is>
      </c>
      <c r="G148" s="74" t="inlineStr">
        <is>
          <t>Data</t>
        </is>
      </c>
      <c r="H148" s="74" t="inlineStr">
        <is>
          <t>Ora</t>
        </is>
      </c>
      <c r="I148" s="10" t="n"/>
      <c r="J148" s="74" t="inlineStr">
        <is>
          <t>Risultato</t>
        </is>
      </c>
      <c r="K148" s="9" t="n"/>
      <c r="L148" s="10" t="n"/>
    </row>
    <row r="149" ht="24" customHeight="1">
      <c r="A149" s="76">
        <f>MAX(A$10:A148)+1</f>
        <v/>
      </c>
      <c r="B149" s="61">
        <f>IF(C149="","",IFERROR(VLOOKUP(C149,areaNomiBreviSquadre,7,FALSE),""))</f>
        <v/>
      </c>
      <c r="C149" s="62" t="n"/>
      <c r="D149" s="61">
        <f>IF(E149="","",IFERROR(VLOOKUP(E149,areaNomiBreviSquadre,7,FALSE),""))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IF($J149+$L149=0,,IF($J149&lt;$L149,IF($J149&amp;"-"&amp;$L149=MID(constPunteggioForfait,FIND("-",constPunteggioForfait)+1,LEN(constPunteggioForfait))&amp;"-"&amp;LEFT(constPunteggioForfait,FIND("-",constPunteggioForfait)-1),1,0),0))</f>
        <v/>
      </c>
      <c r="P149" s="67">
        <f>IF($J149+$L149=0,,IF($J149&lt;$L149,IF($J149&amp;"-"&amp;$L149&lt;&gt;MID(constPunteggioForfait,FIND("-",constPunteggioForfait)+1,LEN(constPunteggioForfait))&amp;"-"&amp;LEFT(constPunteggioForfait,FIND("-",constPunteggioForfait)-1),1,0),0))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IF($J149+$L149=0,,IF($L149&lt;$J149,IF($J149&amp;"-"&amp;$L149=constPunteggioForfait,1,0),0))</f>
        <v/>
      </c>
      <c r="W149" s="67">
        <f>IF($J149+$L149=0,,IF($L149&lt;$J149,IF($J149&amp;"-"&amp;$L149&lt;&gt;constPunteggioForfait,1,0),0))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IF(I150="","",HYPERLINK(VLOOKUP(I150,areaCampiSquadre,3,FALSE),VLOOKUP(I150,areaCampiSquadre,2,FALSE)))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74" t="inlineStr">
        <is>
          <t>Gara N.</t>
        </is>
      </c>
      <c r="B151" s="74" t="inlineStr">
        <is>
          <t>Squadra A</t>
        </is>
      </c>
      <c r="C151" s="10" t="n"/>
      <c r="D151" s="74" t="inlineStr">
        <is>
          <t>Squadra B</t>
        </is>
      </c>
      <c r="E151" s="10" t="n"/>
      <c r="F151" s="74" t="inlineStr">
        <is>
          <t>Giorno</t>
        </is>
      </c>
      <c r="G151" s="74" t="inlineStr">
        <is>
          <t>Data</t>
        </is>
      </c>
      <c r="H151" s="74" t="inlineStr">
        <is>
          <t>Ora</t>
        </is>
      </c>
      <c r="I151" s="10" t="n"/>
      <c r="J151" s="74" t="inlineStr">
        <is>
          <t>Risultato</t>
        </is>
      </c>
      <c r="K151" s="9" t="n"/>
      <c r="L151" s="10" t="n"/>
    </row>
    <row r="152" ht="24" customHeight="1">
      <c r="A152" s="76">
        <f>MAX(A$10:A151)+1</f>
        <v/>
      </c>
      <c r="B152" s="61">
        <f>IF(C152="","",IFERROR(VLOOKUP(C152,areaNomiBreviSquadre,7,FALSE),""))</f>
        <v/>
      </c>
      <c r="C152" s="62" t="n"/>
      <c r="D152" s="61">
        <f>IF(E152="","",IFERROR(VLOOKUP(E152,areaNomiBreviSquadre,7,FALSE),""))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IF($J152+$L152=0,,IF($J152&lt;$L152,IF($J152&amp;"-"&amp;$L152=MID(constPunteggioForfait,FIND("-",constPunteggioForfait)+1,LEN(constPunteggioForfait))&amp;"-"&amp;LEFT(constPunteggioForfait,FIND("-",constPunteggioForfait)-1),1,0),0))</f>
        <v/>
      </c>
      <c r="P152" s="67">
        <f>IF($J152+$L152=0,,IF($J152&lt;$L152,IF($J152&amp;"-"&amp;$L152&lt;&gt;MID(constPunteggioForfait,FIND("-",constPunteggioForfait)+1,LEN(constPunteggioForfait))&amp;"-"&amp;LEFT(constPunteggioForfait,FIND("-",constPunteggioForfait)-1),1,0),0))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IF($J152+$L152=0,,IF($L152&lt;$J152,IF($J152&amp;"-"&amp;$L152=constPunteggioForfait,1,0),0))</f>
        <v/>
      </c>
      <c r="W152" s="67">
        <f>IF($J152+$L152=0,,IF($L152&lt;$J152,IF($J152&amp;"-"&amp;$L152&lt;&gt;constPunteggioForfait,1,0),0))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IF(I153="","",HYPERLINK(VLOOKUP(I153,areaCampiSquadre,3,FALSE),VLOOKUP(I153,areaCampiSquadre,2,FALSE)))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74" t="inlineStr">
        <is>
          <t>Gara N.</t>
        </is>
      </c>
      <c r="B154" s="74" t="inlineStr">
        <is>
          <t>Squadra A</t>
        </is>
      </c>
      <c r="C154" s="10" t="n"/>
      <c r="D154" s="74" t="inlineStr">
        <is>
          <t>Squadra B</t>
        </is>
      </c>
      <c r="E154" s="10" t="n"/>
      <c r="F154" s="74" t="inlineStr">
        <is>
          <t>Giorno</t>
        </is>
      </c>
      <c r="G154" s="74" t="inlineStr">
        <is>
          <t>Data</t>
        </is>
      </c>
      <c r="H154" s="74" t="inlineStr">
        <is>
          <t>Ora</t>
        </is>
      </c>
      <c r="I154" s="10" t="n"/>
      <c r="J154" s="74" t="inlineStr">
        <is>
          <t>Risultato</t>
        </is>
      </c>
      <c r="K154" s="9" t="n"/>
      <c r="L154" s="10" t="n"/>
    </row>
    <row r="155" ht="24" customHeight="1">
      <c r="A155" s="76">
        <f>MAX(A$10:A154)+1</f>
        <v/>
      </c>
      <c r="B155" s="61">
        <f>IF(C155="","",IFERROR(VLOOKUP(C155,areaNomiBreviSquadre,7,FALSE),""))</f>
        <v/>
      </c>
      <c r="C155" s="62" t="n"/>
      <c r="D155" s="61">
        <f>IF(E155="","",IFERROR(VLOOKUP(E155,areaNomiBreviSquadre,7,FALSE),""))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IF($J155+$L155=0,,IF($J155&lt;$L155,IF($J155&amp;"-"&amp;$L155=MID(constPunteggioForfait,FIND("-",constPunteggioForfait)+1,LEN(constPunteggioForfait))&amp;"-"&amp;LEFT(constPunteggioForfait,FIND("-",constPunteggioForfait)-1),1,0),0))</f>
        <v/>
      </c>
      <c r="P155" s="67">
        <f>IF($J155+$L155=0,,IF($J155&lt;$L155,IF($J155&amp;"-"&amp;$L155&lt;&gt;MID(constPunteggioForfait,FIND("-",constPunteggioForfait)+1,LEN(constPunteggioForfait))&amp;"-"&amp;LEFT(constPunteggioForfait,FIND("-",constPunteggioForfait)-1),1,0),0))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IF($J155+$L155=0,,IF($L155&lt;$J155,IF($J155&amp;"-"&amp;$L155=constPunteggioForfait,1,0),0))</f>
        <v/>
      </c>
      <c r="W155" s="67">
        <f>IF($J155+$L155=0,,IF($L155&lt;$J155,IF($J155&amp;"-"&amp;$L155&lt;&gt;constPunteggioForfait,1,0),0))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IF(I156="","",HYPERLINK(VLOOKUP(I156,areaCampiSquadre,3,FALSE),VLOOKUP(I156,areaCampiSquadre,2,FALSE)))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74" t="inlineStr">
        <is>
          <t>Gara N.</t>
        </is>
      </c>
      <c r="B157" s="74" t="inlineStr">
        <is>
          <t>Squadra A</t>
        </is>
      </c>
      <c r="C157" s="10" t="n"/>
      <c r="D157" s="74" t="inlineStr">
        <is>
          <t>Squadra B</t>
        </is>
      </c>
      <c r="E157" s="10" t="n"/>
      <c r="F157" s="74" t="inlineStr">
        <is>
          <t>Giorno</t>
        </is>
      </c>
      <c r="G157" s="74" t="inlineStr">
        <is>
          <t>Data</t>
        </is>
      </c>
      <c r="H157" s="74" t="inlineStr">
        <is>
          <t>Ora</t>
        </is>
      </c>
      <c r="I157" s="10" t="n"/>
      <c r="J157" s="74" t="inlineStr">
        <is>
          <t>Risultato</t>
        </is>
      </c>
      <c r="K157" s="9" t="n"/>
      <c r="L157" s="10" t="n"/>
    </row>
    <row r="158" ht="24" customHeight="1">
      <c r="A158" s="76">
        <f>MAX(A$10:A157)+1</f>
        <v/>
      </c>
      <c r="B158" s="61">
        <f>IF(C158="","",IFERROR(VLOOKUP(C158,areaNomiBreviSquadre,7,FALSE),""))</f>
        <v/>
      </c>
      <c r="C158" s="62" t="n"/>
      <c r="D158" s="61">
        <f>IF(E158="","",IFERROR(VLOOKUP(E158,areaNomiBreviSquadre,7,FALSE),""))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IF($J158+$L158=0,,IF($J158&lt;$L158,IF($J158&amp;"-"&amp;$L158=MID(constPunteggioForfait,FIND("-",constPunteggioForfait)+1,LEN(constPunteggioForfait))&amp;"-"&amp;LEFT(constPunteggioForfait,FIND("-",constPunteggioForfait)-1),1,0),0))</f>
        <v/>
      </c>
      <c r="P158" s="67">
        <f>IF($J158+$L158=0,,IF($J158&lt;$L158,IF($J158&amp;"-"&amp;$L158&lt;&gt;MID(constPunteggioForfait,FIND("-",constPunteggioForfait)+1,LEN(constPunteggioForfait))&amp;"-"&amp;LEFT(constPunteggioForfait,FIND("-",constPunteggioForfait)-1),1,0),0))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IF($J158+$L158=0,,IF($L158&lt;$J158,IF($J158&amp;"-"&amp;$L158=constPunteggioForfait,1,0),0))</f>
        <v/>
      </c>
      <c r="W158" s="67">
        <f>IF($J158+$L158=0,,IF($L158&lt;$J158,IF($J158&amp;"-"&amp;$L158&lt;&gt;constPunteggioForfait,1,0),0))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IF(I159="","",HYPERLINK(VLOOKUP(I159,areaCampiSquadre,3,FALSE),VLOOKUP(I159,areaCampiSquadre,2,FALSE)))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FFA9652B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 t="str">
        <f>IFERROR(IMAGE(constLogo1),"")</f>
        <v/>
      </c>
      <c r="I1" t="str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77">
        <f>"GIRONE "&amp;UPPER($O$3)&amp;" - Stagione "&amp;constStagionaCampionato</f>
        <v/>
      </c>
      <c r="M3" t="str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78" t="inlineStr">
        <is>
          <t>1C</t>
        </is>
      </c>
      <c r="B8" s="79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81" t="inlineStr">
        <is>
          <t>Gara N.</t>
        </is>
      </c>
      <c r="B9" s="81" t="inlineStr">
        <is>
          <t>Squadra A</t>
        </is>
      </c>
      <c r="C9" s="10" t="n"/>
      <c r="D9" s="81" t="inlineStr">
        <is>
          <t>Squadra B</t>
        </is>
      </c>
      <c r="E9" s="10" t="n"/>
      <c r="F9" s="81" t="inlineStr">
        <is>
          <t>Giorno</t>
        </is>
      </c>
      <c r="G9" s="81" t="inlineStr">
        <is>
          <t>Data</t>
        </is>
      </c>
      <c r="H9" s="81" t="inlineStr">
        <is>
          <t>Ora</t>
        </is>
      </c>
      <c r="I9" s="10" t="n"/>
      <c r="J9" s="81" t="inlineStr">
        <is>
          <t>Risultato</t>
        </is>
      </c>
      <c r="K9" s="9" t="n"/>
      <c r="L9" s="10" t="n"/>
    </row>
    <row r="10" ht="24" customHeight="1">
      <c r="A10" s="83" t="n">
        <v>91</v>
      </c>
      <c r="B10" s="61">
        <f>IF(C10="","",IFERROR(VLOOKUP(C10,areaNomiBreviSquadre,7,FALSE),""))</f>
        <v/>
      </c>
      <c r="C10" s="62" t="n"/>
      <c r="D10" s="61">
        <f>IF(E10="","",IFERROR(VLOOKUP(E10,areaNomiBreviSquadre,7,FALSE),""))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81" t="inlineStr">
        <is>
          <t>Gara N.</t>
        </is>
      </c>
      <c r="B12" s="81" t="inlineStr">
        <is>
          <t>Squadra A</t>
        </is>
      </c>
      <c r="C12" s="10" t="n"/>
      <c r="D12" s="81" t="inlineStr">
        <is>
          <t>Squadra B</t>
        </is>
      </c>
      <c r="E12" s="10" t="n"/>
      <c r="F12" s="81" t="inlineStr">
        <is>
          <t>Giorno</t>
        </is>
      </c>
      <c r="G12" s="81" t="inlineStr">
        <is>
          <t>Data</t>
        </is>
      </c>
      <c r="H12" s="81" t="inlineStr">
        <is>
          <t>Ora</t>
        </is>
      </c>
      <c r="I12" s="10" t="n"/>
      <c r="J12" s="81" t="inlineStr">
        <is>
          <t>Risultato</t>
        </is>
      </c>
      <c r="K12" s="9" t="n"/>
      <c r="L12" s="10" t="n"/>
    </row>
    <row r="13" ht="24" customHeight="1">
      <c r="A13" s="83">
        <f>MAX(A$10:A12)+1</f>
        <v/>
      </c>
      <c r="B13" s="61">
        <f>IF(C13="","",IFERROR(VLOOKUP(C13,areaNomiBreviSquadre,7,FALSE),""))</f>
        <v/>
      </c>
      <c r="C13" s="62" t="n"/>
      <c r="D13" s="61">
        <f>IF(E13="","",IFERROR(VLOOKUP(E13,areaNomiBreviSquadre,7,FALSE),""))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81" t="inlineStr">
        <is>
          <t>Gara N.</t>
        </is>
      </c>
      <c r="B15" s="81" t="inlineStr">
        <is>
          <t>Squadra A</t>
        </is>
      </c>
      <c r="C15" s="10" t="n"/>
      <c r="D15" s="81" t="inlineStr">
        <is>
          <t>Squadra B</t>
        </is>
      </c>
      <c r="E15" s="10" t="n"/>
      <c r="F15" s="81" t="inlineStr">
        <is>
          <t>Giorno</t>
        </is>
      </c>
      <c r="G15" s="81" t="inlineStr">
        <is>
          <t>Data</t>
        </is>
      </c>
      <c r="H15" s="81" t="inlineStr">
        <is>
          <t>Ora</t>
        </is>
      </c>
      <c r="I15" s="10" t="n"/>
      <c r="J15" s="81" t="inlineStr">
        <is>
          <t>Risultato</t>
        </is>
      </c>
      <c r="K15" s="9" t="n"/>
      <c r="L15" s="10" t="n"/>
    </row>
    <row r="16" ht="24" customHeight="1">
      <c r="A16" s="83">
        <f>MAX(A$10:A15)+1</f>
        <v/>
      </c>
      <c r="B16" s="61">
        <f>IF(C16="","",IFERROR(VLOOKUP(C16,areaNomiBreviSquadre,7,FALSE),""))</f>
        <v/>
      </c>
      <c r="C16" s="62" t="n"/>
      <c r="D16" s="61">
        <f>IF(E16="","",IFERROR(VLOOKUP(E16,areaNomiBreviSquadre,7,FALSE),""))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81" t="inlineStr">
        <is>
          <t>Gara N.</t>
        </is>
      </c>
      <c r="B18" s="81" t="inlineStr">
        <is>
          <t>Squadra A</t>
        </is>
      </c>
      <c r="C18" s="10" t="n"/>
      <c r="D18" s="81" t="inlineStr">
        <is>
          <t>Squadra B</t>
        </is>
      </c>
      <c r="E18" s="10" t="n"/>
      <c r="F18" s="81" t="inlineStr">
        <is>
          <t>Giorno</t>
        </is>
      </c>
      <c r="G18" s="81" t="inlineStr">
        <is>
          <t>Data</t>
        </is>
      </c>
      <c r="H18" s="81" t="inlineStr">
        <is>
          <t>Ora</t>
        </is>
      </c>
      <c r="I18" s="10" t="n"/>
      <c r="J18" s="81" t="inlineStr">
        <is>
          <t>Risultato</t>
        </is>
      </c>
      <c r="K18" s="9" t="n"/>
      <c r="L18" s="10" t="n"/>
    </row>
    <row r="19" ht="24" customHeight="1">
      <c r="A19" s="83">
        <f>MAX(A$10:A18)+1</f>
        <v/>
      </c>
      <c r="B19" s="61">
        <f>IF(C19="","",IFERROR(VLOOKUP(C19,areaNomiBreviSquadre,7,FALSE),""))</f>
        <v/>
      </c>
      <c r="C19" s="62" t="n"/>
      <c r="D19" s="61">
        <f>IF(E19="","",IFERROR(VLOOKUP(E19,areaNomiBreviSquadre,7,FALSE),""))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81" t="inlineStr">
        <is>
          <t>Gara N.</t>
        </is>
      </c>
      <c r="B21" s="81" t="inlineStr">
        <is>
          <t>Squadra A</t>
        </is>
      </c>
      <c r="C21" s="10" t="n"/>
      <c r="D21" s="81" t="inlineStr">
        <is>
          <t>Squadra B</t>
        </is>
      </c>
      <c r="E21" s="10" t="n"/>
      <c r="F21" s="81" t="inlineStr">
        <is>
          <t>Giorno</t>
        </is>
      </c>
      <c r="G21" s="81" t="inlineStr">
        <is>
          <t>Data</t>
        </is>
      </c>
      <c r="H21" s="81" t="inlineStr">
        <is>
          <t>Ora</t>
        </is>
      </c>
      <c r="I21" s="10" t="n"/>
      <c r="J21" s="81" t="inlineStr">
        <is>
          <t>Risultato</t>
        </is>
      </c>
      <c r="K21" s="9" t="n"/>
      <c r="L21" s="10" t="n"/>
    </row>
    <row r="22" ht="24" customHeight="1">
      <c r="A22" s="83">
        <f>MAX(A$10:A21)+1</f>
        <v/>
      </c>
      <c r="B22" s="61">
        <f>IF(C22="","",IFERROR(VLOOKUP(C22,areaNomiBreviSquadre,7,FALSE),""))</f>
        <v/>
      </c>
      <c r="C22" s="62" t="n"/>
      <c r="D22" s="61">
        <f>IF(E22="","",IFERROR(VLOOKUP(E22,areaNomiBreviSquadre,7,FALSE),""))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78" t="inlineStr">
        <is>
          <t>2C</t>
        </is>
      </c>
      <c r="B25" s="79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81" t="inlineStr">
        <is>
          <t>Gara N.</t>
        </is>
      </c>
      <c r="B26" s="81" t="inlineStr">
        <is>
          <t>Squadra A</t>
        </is>
      </c>
      <c r="C26" s="10" t="n"/>
      <c r="D26" s="81" t="inlineStr">
        <is>
          <t>Squadra B</t>
        </is>
      </c>
      <c r="E26" s="10" t="n"/>
      <c r="F26" s="81" t="inlineStr">
        <is>
          <t>Giorno</t>
        </is>
      </c>
      <c r="G26" s="81" t="inlineStr">
        <is>
          <t>Data</t>
        </is>
      </c>
      <c r="H26" s="81" t="inlineStr">
        <is>
          <t>Ora</t>
        </is>
      </c>
      <c r="I26" s="10" t="n"/>
      <c r="J26" s="81" t="inlineStr">
        <is>
          <t>Risultato</t>
        </is>
      </c>
      <c r="K26" s="9" t="n"/>
      <c r="L26" s="10" t="n"/>
    </row>
    <row r="27" ht="24" customHeight="1">
      <c r="A27" s="83">
        <f>MAX(A$10:A26)+1</f>
        <v/>
      </c>
      <c r="B27" s="61">
        <f>IF(C27="","",IFERROR(VLOOKUP(C27,areaNomiBreviSquadre,7,FALSE),""))</f>
        <v/>
      </c>
      <c r="C27" s="62" t="n"/>
      <c r="D27" s="61">
        <f>IF(E27="","",IFERROR(VLOOKUP(E27,areaNomiBreviSquadre,7,FALSE),""))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IF($J27+$L27=0,,IF($J27&lt;$L27,IF($J27&amp;"-"&amp;$L27=MID(constPunteggioForfait,FIND("-",constPunteggioForfait)+1,LEN(constPunteggioForfait))&amp;"-"&amp;LEFT(constPunteggioForfait,FIND("-",constPunteggioForfait)-1),1,0),0))</f>
        <v/>
      </c>
      <c r="P27" s="67">
        <f>IF($J27+$L27=0,,IF($J27&lt;$L27,IF($J27&amp;"-"&amp;$L27&lt;&gt;MID(constPunteggioForfait,FIND("-",constPunteggioForfait)+1,LEN(constPunteggioForfait))&amp;"-"&amp;LEFT(constPunteggioForfait,FIND("-",constPunteggioForfait)-1),1,0),0))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IF($J27+$L27=0,,IF($L27&lt;$J27,IF($J27&amp;"-"&amp;$L27=constPunteggioForfait,1,0),0))</f>
        <v/>
      </c>
      <c r="W27" s="67">
        <f>IF($J27+$L27=0,,IF($L27&lt;$J27,IF($J27&amp;"-"&amp;$L27&lt;&gt;constPunteggioForfait,1,0),0))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IF(I28="","",HYPERLINK(VLOOKUP(I28,areaCampiSquadre,3,FALSE),VLOOKUP(I28,areaCampiSquadre,2,FALSE)))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81" t="inlineStr">
        <is>
          <t>Gara N.</t>
        </is>
      </c>
      <c r="B29" s="81" t="inlineStr">
        <is>
          <t>Squadra A</t>
        </is>
      </c>
      <c r="C29" s="10" t="n"/>
      <c r="D29" s="81" t="inlineStr">
        <is>
          <t>Squadra B</t>
        </is>
      </c>
      <c r="E29" s="10" t="n"/>
      <c r="F29" s="81" t="inlineStr">
        <is>
          <t>Giorno</t>
        </is>
      </c>
      <c r="G29" s="81" t="inlineStr">
        <is>
          <t>Data</t>
        </is>
      </c>
      <c r="H29" s="81" t="inlineStr">
        <is>
          <t>Ora</t>
        </is>
      </c>
      <c r="I29" s="10" t="n"/>
      <c r="J29" s="81" t="inlineStr">
        <is>
          <t>Risultato</t>
        </is>
      </c>
      <c r="K29" s="9" t="n"/>
      <c r="L29" s="10" t="n"/>
    </row>
    <row r="30" ht="24" customHeight="1">
      <c r="A30" s="83">
        <f>MAX(A$10:A29)+1</f>
        <v/>
      </c>
      <c r="B30" s="61">
        <f>IF(C30="","",IFERROR(VLOOKUP(C30,areaNomiBreviSquadre,7,FALSE),""))</f>
        <v/>
      </c>
      <c r="C30" s="62" t="n"/>
      <c r="D30" s="61">
        <f>IF(E30="","",IFERROR(VLOOKUP(E30,areaNomiBreviSquadre,7,FALSE),""))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IF($J30+$L30=0,,IF($J30&lt;$L30,IF($J30&amp;"-"&amp;$L30=MID(constPunteggioForfait,FIND("-",constPunteggioForfait)+1,LEN(constPunteggioForfait))&amp;"-"&amp;LEFT(constPunteggioForfait,FIND("-",constPunteggioForfait)-1),1,0),0))</f>
        <v/>
      </c>
      <c r="P30" s="67">
        <f>IF($J30+$L30=0,,IF($J30&lt;$L30,IF($J30&amp;"-"&amp;$L30&lt;&gt;MID(constPunteggioForfait,FIND("-",constPunteggioForfait)+1,LEN(constPunteggioForfait))&amp;"-"&amp;LEFT(constPunteggioForfait,FIND("-",constPunteggioForfait)-1),1,0),0))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IF($J30+$L30=0,,IF($L30&lt;$J30,IF($J30&amp;"-"&amp;$L30=constPunteggioForfait,1,0),0))</f>
        <v/>
      </c>
      <c r="W30" s="67">
        <f>IF($J30+$L30=0,,IF($L30&lt;$J30,IF($J30&amp;"-"&amp;$L30&lt;&gt;constPunteggioForfait,1,0),0))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IF(I31="","",HYPERLINK(VLOOKUP(I31,areaCampiSquadre,3,FALSE),VLOOKUP(I31,areaCampiSquadre,2,FALSE)))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81" t="inlineStr">
        <is>
          <t>Gara N.</t>
        </is>
      </c>
      <c r="B32" s="81" t="inlineStr">
        <is>
          <t>Squadra A</t>
        </is>
      </c>
      <c r="C32" s="10" t="n"/>
      <c r="D32" s="81" t="inlineStr">
        <is>
          <t>Squadra B</t>
        </is>
      </c>
      <c r="E32" s="10" t="n"/>
      <c r="F32" s="81" t="inlineStr">
        <is>
          <t>Giorno</t>
        </is>
      </c>
      <c r="G32" s="81" t="inlineStr">
        <is>
          <t>Data</t>
        </is>
      </c>
      <c r="H32" s="81" t="inlineStr">
        <is>
          <t>Ora</t>
        </is>
      </c>
      <c r="I32" s="10" t="n"/>
      <c r="J32" s="81" t="inlineStr">
        <is>
          <t>Risultato</t>
        </is>
      </c>
      <c r="K32" s="9" t="n"/>
      <c r="L32" s="10" t="n"/>
    </row>
    <row r="33" ht="24" customHeight="1">
      <c r="A33" s="83">
        <f>MAX(A$10:A32)+1</f>
        <v/>
      </c>
      <c r="B33" s="61">
        <f>IF(C33="","",IFERROR(VLOOKUP(C33,areaNomiBreviSquadre,7,FALSE),""))</f>
        <v/>
      </c>
      <c r="C33" s="62" t="n"/>
      <c r="D33" s="61">
        <f>IF(E33="","",IFERROR(VLOOKUP(E33,areaNomiBreviSquadre,7,FALSE),""))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IF($J33+$L33=0,,IF($J33&lt;$L33,IF($J33&amp;"-"&amp;$L33=MID(constPunteggioForfait,FIND("-",constPunteggioForfait)+1,LEN(constPunteggioForfait))&amp;"-"&amp;LEFT(constPunteggioForfait,FIND("-",constPunteggioForfait)-1),1,0),0))</f>
        <v/>
      </c>
      <c r="P33" s="67">
        <f>IF($J33+$L33=0,,IF($J33&lt;$L33,IF($J33&amp;"-"&amp;$L33&lt;&gt;MID(constPunteggioForfait,FIND("-",constPunteggioForfait)+1,LEN(constPunteggioForfait))&amp;"-"&amp;LEFT(constPunteggioForfait,FIND("-",constPunteggioForfait)-1),1,0),0))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IF($J33+$L33=0,,IF($L33&lt;$J33,IF($J33&amp;"-"&amp;$L33=constPunteggioForfait,1,0),0))</f>
        <v/>
      </c>
      <c r="W33" s="67">
        <f>IF($J33+$L33=0,,IF($L33&lt;$J33,IF($J33&amp;"-"&amp;$L33&lt;&gt;constPunteggioForfait,1,0),0))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IF(I34="","",HYPERLINK(VLOOKUP(I34,areaCampiSquadre,3,FALSE),VLOOKUP(I34,areaCampiSquadre,2,FALSE)))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81" t="inlineStr">
        <is>
          <t>Gara N.</t>
        </is>
      </c>
      <c r="B35" s="81" t="inlineStr">
        <is>
          <t>Squadra A</t>
        </is>
      </c>
      <c r="C35" s="10" t="n"/>
      <c r="D35" s="81" t="inlineStr">
        <is>
          <t>Squadra B</t>
        </is>
      </c>
      <c r="E35" s="10" t="n"/>
      <c r="F35" s="81" t="inlineStr">
        <is>
          <t>Giorno</t>
        </is>
      </c>
      <c r="G35" s="81" t="inlineStr">
        <is>
          <t>Data</t>
        </is>
      </c>
      <c r="H35" s="81" t="inlineStr">
        <is>
          <t>Ora</t>
        </is>
      </c>
      <c r="I35" s="10" t="n"/>
      <c r="J35" s="81" t="inlineStr">
        <is>
          <t>Risultato</t>
        </is>
      </c>
      <c r="K35" s="9" t="n"/>
      <c r="L35" s="10" t="n"/>
    </row>
    <row r="36" ht="24" customHeight="1">
      <c r="A36" s="83">
        <f>MAX(A$10:A35)+1</f>
        <v/>
      </c>
      <c r="B36" s="61">
        <f>IF(C36="","",IFERROR(VLOOKUP(C36,areaNomiBreviSquadre,7,FALSE),""))</f>
        <v/>
      </c>
      <c r="C36" s="62" t="n"/>
      <c r="D36" s="61">
        <f>IF(E36="","",IFERROR(VLOOKUP(E36,areaNomiBreviSquadre,7,FALSE),""))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IF($J36+$L36=0,,IF($J36&lt;$L36,IF($J36&amp;"-"&amp;$L36=MID(constPunteggioForfait,FIND("-",constPunteggioForfait)+1,LEN(constPunteggioForfait))&amp;"-"&amp;LEFT(constPunteggioForfait,FIND("-",constPunteggioForfait)-1),1,0),0))</f>
        <v/>
      </c>
      <c r="P36" s="67">
        <f>IF($J36+$L36=0,,IF($J36&lt;$L36,IF($J36&amp;"-"&amp;$L36&lt;&gt;MID(constPunteggioForfait,FIND("-",constPunteggioForfait)+1,LEN(constPunteggioForfait))&amp;"-"&amp;LEFT(constPunteggioForfait,FIND("-",constPunteggioForfait)-1),1,0),0))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IF($J36+$L36=0,,IF($L36&lt;$J36,IF($J36&amp;"-"&amp;$L36=constPunteggioForfait,1,0),0))</f>
        <v/>
      </c>
      <c r="W36" s="67">
        <f>IF($J36+$L36=0,,IF($L36&lt;$J36,IF($J36&amp;"-"&amp;$L36&lt;&gt;constPunteggioForfait,1,0),0))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IF(I37="","",HYPERLINK(VLOOKUP(I37,areaCampiSquadre,3,FALSE),VLOOKUP(I37,areaCampiSquadre,2,FALSE)))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81" t="inlineStr">
        <is>
          <t>Gara N.</t>
        </is>
      </c>
      <c r="B38" s="81" t="inlineStr">
        <is>
          <t>Squadra A</t>
        </is>
      </c>
      <c r="C38" s="10" t="n"/>
      <c r="D38" s="81" t="inlineStr">
        <is>
          <t>Squadra B</t>
        </is>
      </c>
      <c r="E38" s="10" t="n"/>
      <c r="F38" s="81" t="inlineStr">
        <is>
          <t>Giorno</t>
        </is>
      </c>
      <c r="G38" s="81" t="inlineStr">
        <is>
          <t>Data</t>
        </is>
      </c>
      <c r="H38" s="81" t="inlineStr">
        <is>
          <t>Ora</t>
        </is>
      </c>
      <c r="I38" s="10" t="n"/>
      <c r="J38" s="81" t="inlineStr">
        <is>
          <t>Risultato</t>
        </is>
      </c>
      <c r="K38" s="9" t="n"/>
      <c r="L38" s="10" t="n"/>
    </row>
    <row r="39" ht="24" customHeight="1">
      <c r="A39" s="83">
        <f>MAX(A$10:A38)+1</f>
        <v/>
      </c>
      <c r="B39" s="61">
        <f>IF(C39="","",IFERROR(VLOOKUP(C39,areaNomiBreviSquadre,7,FALSE),""))</f>
        <v/>
      </c>
      <c r="C39" s="62" t="n"/>
      <c r="D39" s="61">
        <f>IF(E39="","",IFERROR(VLOOKUP(E39,areaNomiBreviSquadre,7,FALSE),""))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IF($J39+$L39=0,,IF($J39&lt;$L39,IF($J39&amp;"-"&amp;$L39=MID(constPunteggioForfait,FIND("-",constPunteggioForfait)+1,LEN(constPunteggioForfait))&amp;"-"&amp;LEFT(constPunteggioForfait,FIND("-",constPunteggioForfait)-1),1,0),0))</f>
        <v/>
      </c>
      <c r="P39" s="67">
        <f>IF($J39+$L39=0,,IF($J39&lt;$L39,IF($J39&amp;"-"&amp;$L39&lt;&gt;MID(constPunteggioForfait,FIND("-",constPunteggioForfait)+1,LEN(constPunteggioForfait))&amp;"-"&amp;LEFT(constPunteggioForfait,FIND("-",constPunteggioForfait)-1),1,0),0))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IF($J39+$L39=0,,IF($L39&lt;$J39,IF($J39&amp;"-"&amp;$L39=constPunteggioForfait,1,0),0))</f>
        <v/>
      </c>
      <c r="W39" s="67">
        <f>IF($J39+$L39=0,,IF($L39&lt;$J39,IF($J39&amp;"-"&amp;$L39&lt;&gt;constPunteggioForfait,1,0),0))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IF(I40="","",HYPERLINK(VLOOKUP(I40,areaCampiSquadre,3,FALSE),VLOOKUP(I40,areaCampiSquadre,2,FALSE)))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78" t="inlineStr">
        <is>
          <t>3C</t>
        </is>
      </c>
      <c r="B42" s="79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81" t="inlineStr">
        <is>
          <t>Gara N.</t>
        </is>
      </c>
      <c r="B43" s="81" t="inlineStr">
        <is>
          <t>Squadra A</t>
        </is>
      </c>
      <c r="C43" s="10" t="n"/>
      <c r="D43" s="81" t="inlineStr">
        <is>
          <t>Squadra B</t>
        </is>
      </c>
      <c r="E43" s="10" t="n"/>
      <c r="F43" s="81" t="inlineStr">
        <is>
          <t>Giorno</t>
        </is>
      </c>
      <c r="G43" s="81" t="inlineStr">
        <is>
          <t>Data</t>
        </is>
      </c>
      <c r="H43" s="81" t="inlineStr">
        <is>
          <t>Ora</t>
        </is>
      </c>
      <c r="I43" s="10" t="n"/>
      <c r="J43" s="81" t="inlineStr">
        <is>
          <t>Risultato</t>
        </is>
      </c>
      <c r="K43" s="9" t="n"/>
      <c r="L43" s="10" t="n"/>
    </row>
    <row r="44" ht="24" customHeight="1">
      <c r="A44" s="83">
        <f>MAX(A$10:A43)+1</f>
        <v/>
      </c>
      <c r="B44" s="61">
        <f>IF(C44="","",IFERROR(VLOOKUP(C44,areaNomiBreviSquadre,7,FALSE),""))</f>
        <v/>
      </c>
      <c r="C44" s="62" t="n"/>
      <c r="D44" s="61">
        <f>IF(E44="","",IFERROR(VLOOKUP(E44,areaNomiBreviSquadre,7,FALSE),""))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IF($J44+$L44=0,,IF($J44&lt;$L44,IF($J44&amp;"-"&amp;$L44=MID(constPunteggioForfait,FIND("-",constPunteggioForfait)+1,LEN(constPunteggioForfait))&amp;"-"&amp;LEFT(constPunteggioForfait,FIND("-",constPunteggioForfait)-1),1,0),0))</f>
        <v/>
      </c>
      <c r="P44" s="67">
        <f>IF($J44+$L44=0,,IF($J44&lt;$L44,IF($J44&amp;"-"&amp;$L44&lt;&gt;MID(constPunteggioForfait,FIND("-",constPunteggioForfait)+1,LEN(constPunteggioForfait))&amp;"-"&amp;LEFT(constPunteggioForfait,FIND("-",constPunteggioForfait)-1),1,0),0))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IF($J44+$L44=0,,IF($L44&lt;$J44,IF($J44&amp;"-"&amp;$L44=constPunteggioForfait,1,0),0))</f>
        <v/>
      </c>
      <c r="W44" s="67">
        <f>IF($J44+$L44=0,,IF($L44&lt;$J44,IF($J44&amp;"-"&amp;$L44&lt;&gt;constPunteggioForfait,1,0),0))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IF(I45="","",HYPERLINK(VLOOKUP(I45,areaCampiSquadre,3,FALSE),VLOOKUP(I45,areaCampiSquadre,2,FALSE)))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81" t="inlineStr">
        <is>
          <t>Gara N.</t>
        </is>
      </c>
      <c r="B46" s="81" t="inlineStr">
        <is>
          <t>Squadra A</t>
        </is>
      </c>
      <c r="C46" s="10" t="n"/>
      <c r="D46" s="81" t="inlineStr">
        <is>
          <t>Squadra B</t>
        </is>
      </c>
      <c r="E46" s="10" t="n"/>
      <c r="F46" s="81" t="inlineStr">
        <is>
          <t>Giorno</t>
        </is>
      </c>
      <c r="G46" s="81" t="inlineStr">
        <is>
          <t>Data</t>
        </is>
      </c>
      <c r="H46" s="81" t="inlineStr">
        <is>
          <t>Ora</t>
        </is>
      </c>
      <c r="I46" s="10" t="n"/>
      <c r="J46" s="81" t="inlineStr">
        <is>
          <t>Risultato</t>
        </is>
      </c>
      <c r="K46" s="9" t="n"/>
      <c r="L46" s="10" t="n"/>
    </row>
    <row r="47" ht="24" customHeight="1">
      <c r="A47" s="83">
        <f>MAX(A$10:A46)+1</f>
        <v/>
      </c>
      <c r="B47" s="61">
        <f>IF(C47="","",IFERROR(VLOOKUP(C47,areaNomiBreviSquadre,7,FALSE),""))</f>
        <v/>
      </c>
      <c r="C47" s="62" t="n"/>
      <c r="D47" s="61">
        <f>IF(E47="","",IFERROR(VLOOKUP(E47,areaNomiBreviSquadre,7,FALSE),""))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IF($J47+$L47=0,,IF($J47&lt;$L47,IF($J47&amp;"-"&amp;$L47=MID(constPunteggioForfait,FIND("-",constPunteggioForfait)+1,LEN(constPunteggioForfait))&amp;"-"&amp;LEFT(constPunteggioForfait,FIND("-",constPunteggioForfait)-1),1,0),0))</f>
        <v/>
      </c>
      <c r="P47" s="67">
        <f>IF($J47+$L47=0,,IF($J47&lt;$L47,IF($J47&amp;"-"&amp;$L47&lt;&gt;MID(constPunteggioForfait,FIND("-",constPunteggioForfait)+1,LEN(constPunteggioForfait))&amp;"-"&amp;LEFT(constPunteggioForfait,FIND("-",constPunteggioForfait)-1),1,0),0))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IF($J47+$L47=0,,IF($L47&lt;$J47,IF($J47&amp;"-"&amp;$L47=constPunteggioForfait,1,0),0))</f>
        <v/>
      </c>
      <c r="W47" s="67">
        <f>IF($J47+$L47=0,,IF($L47&lt;$J47,IF($J47&amp;"-"&amp;$L47&lt;&gt;constPunteggioForfait,1,0),0))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IF(I48="","",HYPERLINK(VLOOKUP(I48,areaCampiSquadre,3,FALSE),VLOOKUP(I48,areaCampiSquadre,2,FALSE)))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81" t="inlineStr">
        <is>
          <t>Gara N.</t>
        </is>
      </c>
      <c r="B49" s="81" t="inlineStr">
        <is>
          <t>Squadra A</t>
        </is>
      </c>
      <c r="C49" s="10" t="n"/>
      <c r="D49" s="81" t="inlineStr">
        <is>
          <t>Squadra B</t>
        </is>
      </c>
      <c r="E49" s="10" t="n"/>
      <c r="F49" s="81" t="inlineStr">
        <is>
          <t>Giorno</t>
        </is>
      </c>
      <c r="G49" s="81" t="inlineStr">
        <is>
          <t>Data</t>
        </is>
      </c>
      <c r="H49" s="81" t="inlineStr">
        <is>
          <t>Ora</t>
        </is>
      </c>
      <c r="I49" s="10" t="n"/>
      <c r="J49" s="81" t="inlineStr">
        <is>
          <t>Risultato</t>
        </is>
      </c>
      <c r="K49" s="9" t="n"/>
      <c r="L49" s="10" t="n"/>
    </row>
    <row r="50" ht="24" customHeight="1">
      <c r="A50" s="83">
        <f>MAX(A$10:A49)+1</f>
        <v/>
      </c>
      <c r="B50" s="61">
        <f>IF(C50="","",IFERROR(VLOOKUP(C50,areaNomiBreviSquadre,7,FALSE),""))</f>
        <v/>
      </c>
      <c r="C50" s="62" t="n"/>
      <c r="D50" s="61">
        <f>IF(E50="","",IFERROR(VLOOKUP(E50,areaNomiBreviSquadre,7,FALSE),""))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IF($J50+$L50=0,,IF($J50&lt;$L50,IF($J50&amp;"-"&amp;$L50=MID(constPunteggioForfait,FIND("-",constPunteggioForfait)+1,LEN(constPunteggioForfait))&amp;"-"&amp;LEFT(constPunteggioForfait,FIND("-",constPunteggioForfait)-1),1,0),0))</f>
        <v/>
      </c>
      <c r="P50" s="67">
        <f>IF($J50+$L50=0,,IF($J50&lt;$L50,IF($J50&amp;"-"&amp;$L50&lt;&gt;MID(constPunteggioForfait,FIND("-",constPunteggioForfait)+1,LEN(constPunteggioForfait))&amp;"-"&amp;LEFT(constPunteggioForfait,FIND("-",constPunteggioForfait)-1),1,0),0))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IF($J50+$L50=0,,IF($L50&lt;$J50,IF($J50&amp;"-"&amp;$L50=constPunteggioForfait,1,0),0))</f>
        <v/>
      </c>
      <c r="W50" s="67">
        <f>IF($J50+$L50=0,,IF($L50&lt;$J50,IF($J50&amp;"-"&amp;$L50&lt;&gt;constPunteggioForfait,1,0),0))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IF(I51="","",HYPERLINK(VLOOKUP(I51,areaCampiSquadre,3,FALSE),VLOOKUP(I51,areaCampiSquadre,2,FALSE)))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81" t="inlineStr">
        <is>
          <t>Gara N.</t>
        </is>
      </c>
      <c r="B52" s="81" t="inlineStr">
        <is>
          <t>Squadra A</t>
        </is>
      </c>
      <c r="C52" s="10" t="n"/>
      <c r="D52" s="81" t="inlineStr">
        <is>
          <t>Squadra B</t>
        </is>
      </c>
      <c r="E52" s="10" t="n"/>
      <c r="F52" s="81" t="inlineStr">
        <is>
          <t>Giorno</t>
        </is>
      </c>
      <c r="G52" s="81" t="inlineStr">
        <is>
          <t>Data</t>
        </is>
      </c>
      <c r="H52" s="81" t="inlineStr">
        <is>
          <t>Ora</t>
        </is>
      </c>
      <c r="I52" s="10" t="n"/>
      <c r="J52" s="81" t="inlineStr">
        <is>
          <t>Risultato</t>
        </is>
      </c>
      <c r="K52" s="9" t="n"/>
      <c r="L52" s="10" t="n"/>
    </row>
    <row r="53" ht="24" customHeight="1">
      <c r="A53" s="83">
        <f>MAX(A$10:A52)+1</f>
        <v/>
      </c>
      <c r="B53" s="61">
        <f>IF(C53="","",IFERROR(VLOOKUP(C53,areaNomiBreviSquadre,7,FALSE),""))</f>
        <v/>
      </c>
      <c r="C53" s="62" t="n"/>
      <c r="D53" s="61">
        <f>IF(E53="","",IFERROR(VLOOKUP(E53,areaNomiBreviSquadre,7,FALSE),""))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IF($J53+$L53=0,,IF($J53&lt;$L53,IF($J53&amp;"-"&amp;$L53=MID(constPunteggioForfait,FIND("-",constPunteggioForfait)+1,LEN(constPunteggioForfait))&amp;"-"&amp;LEFT(constPunteggioForfait,FIND("-",constPunteggioForfait)-1),1,0),0))</f>
        <v/>
      </c>
      <c r="P53" s="67">
        <f>IF($J53+$L53=0,,IF($J53&lt;$L53,IF($J53&amp;"-"&amp;$L53&lt;&gt;MID(constPunteggioForfait,FIND("-",constPunteggioForfait)+1,LEN(constPunteggioForfait))&amp;"-"&amp;LEFT(constPunteggioForfait,FIND("-",constPunteggioForfait)-1),1,0),0))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IF($J53+$L53=0,,IF($L53&lt;$J53,IF($J53&amp;"-"&amp;$L53=constPunteggioForfait,1,0),0))</f>
        <v/>
      </c>
      <c r="W53" s="67">
        <f>IF($J53+$L53=0,,IF($L53&lt;$J53,IF($J53&amp;"-"&amp;$L53&lt;&gt;constPunteggioForfait,1,0),0))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IF(I54="","",HYPERLINK(VLOOKUP(I54,areaCampiSquadre,3,FALSE),VLOOKUP(I54,areaCampiSquadre,2,FALSE)))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81" t="inlineStr">
        <is>
          <t>Gara N.</t>
        </is>
      </c>
      <c r="B55" s="81" t="inlineStr">
        <is>
          <t>Squadra A</t>
        </is>
      </c>
      <c r="C55" s="10" t="n"/>
      <c r="D55" s="81" t="inlineStr">
        <is>
          <t>Squadra B</t>
        </is>
      </c>
      <c r="E55" s="10" t="n"/>
      <c r="F55" s="81" t="inlineStr">
        <is>
          <t>Giorno</t>
        </is>
      </c>
      <c r="G55" s="81" t="inlineStr">
        <is>
          <t>Data</t>
        </is>
      </c>
      <c r="H55" s="81" t="inlineStr">
        <is>
          <t>Ora</t>
        </is>
      </c>
      <c r="I55" s="10" t="n"/>
      <c r="J55" s="81" t="inlineStr">
        <is>
          <t>Risultato</t>
        </is>
      </c>
      <c r="K55" s="9" t="n"/>
      <c r="L55" s="10" t="n"/>
    </row>
    <row r="56" ht="24" customHeight="1">
      <c r="A56" s="83">
        <f>MAX(A$10:A55)+1</f>
        <v/>
      </c>
      <c r="B56" s="61">
        <f>IF(C56="","",IFERROR(VLOOKUP(C56,areaNomiBreviSquadre,7,FALSE),""))</f>
        <v/>
      </c>
      <c r="C56" s="62" t="n"/>
      <c r="D56" s="61">
        <f>IF(E56="","",IFERROR(VLOOKUP(E56,areaNomiBreviSquadre,7,FALSE),""))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IF($J56+$L56=0,,IF($J56&lt;$L56,IF($J56&amp;"-"&amp;$L56=MID(constPunteggioForfait,FIND("-",constPunteggioForfait)+1,LEN(constPunteggioForfait))&amp;"-"&amp;LEFT(constPunteggioForfait,FIND("-",constPunteggioForfait)-1),1,0),0))</f>
        <v/>
      </c>
      <c r="P56" s="67">
        <f>IF($J56+$L56=0,,IF($J56&lt;$L56,IF($J56&amp;"-"&amp;$L56&lt;&gt;MID(constPunteggioForfait,FIND("-",constPunteggioForfait)+1,LEN(constPunteggioForfait))&amp;"-"&amp;LEFT(constPunteggioForfait,FIND("-",constPunteggioForfait)-1),1,0),0))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IF($J56+$L56=0,,IF($L56&lt;$J56,IF($J56&amp;"-"&amp;$L56=constPunteggioForfait,1,0),0))</f>
        <v/>
      </c>
      <c r="W56" s="67">
        <f>IF($J56+$L56=0,,IF($L56&lt;$J56,IF($J56&amp;"-"&amp;$L56&lt;&gt;constPunteggioForfait,1,0),0))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IF(I57="","",HYPERLINK(VLOOKUP(I57,areaCampiSquadre,3,FALSE),VLOOKUP(I57,areaCampiSquadre,2,FALSE)))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78" t="inlineStr">
        <is>
          <t>4C</t>
        </is>
      </c>
      <c r="B59" s="79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81" t="inlineStr">
        <is>
          <t>Gara N.</t>
        </is>
      </c>
      <c r="B60" s="81" t="inlineStr">
        <is>
          <t>Squadra A</t>
        </is>
      </c>
      <c r="C60" s="10" t="n"/>
      <c r="D60" s="81" t="inlineStr">
        <is>
          <t>Squadra B</t>
        </is>
      </c>
      <c r="E60" s="10" t="n"/>
      <c r="F60" s="81" t="inlineStr">
        <is>
          <t>Giorno</t>
        </is>
      </c>
      <c r="G60" s="81" t="inlineStr">
        <is>
          <t>Data</t>
        </is>
      </c>
      <c r="H60" s="81" t="inlineStr">
        <is>
          <t>Ora</t>
        </is>
      </c>
      <c r="I60" s="10" t="n"/>
      <c r="J60" s="81" t="inlineStr">
        <is>
          <t>Risultato</t>
        </is>
      </c>
      <c r="K60" s="9" t="n"/>
      <c r="L60" s="10" t="n"/>
    </row>
    <row r="61" ht="24" customHeight="1">
      <c r="A61" s="83">
        <f>MAX(A$10:A60)+1</f>
        <v/>
      </c>
      <c r="B61" s="61">
        <f>IF(C61="","",IFERROR(VLOOKUP(C61,areaNomiBreviSquadre,7,FALSE),""))</f>
        <v/>
      </c>
      <c r="C61" s="62" t="n"/>
      <c r="D61" s="61">
        <f>IF(E61="","",IFERROR(VLOOKUP(E61,areaNomiBreviSquadre,7,FALSE),""))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IF($J61+$L61=0,,IF($J61&lt;$L61,IF($J61&amp;"-"&amp;$L61=MID(constPunteggioForfait,FIND("-",constPunteggioForfait)+1,LEN(constPunteggioForfait))&amp;"-"&amp;LEFT(constPunteggioForfait,FIND("-",constPunteggioForfait)-1),1,0),0))</f>
        <v/>
      </c>
      <c r="P61" s="67">
        <f>IF($J61+$L61=0,,IF($J61&lt;$L61,IF($J61&amp;"-"&amp;$L61&lt;&gt;MID(constPunteggioForfait,FIND("-",constPunteggioForfait)+1,LEN(constPunteggioForfait))&amp;"-"&amp;LEFT(constPunteggioForfait,FIND("-",constPunteggioForfait)-1),1,0),0))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IF($J61+$L61=0,,IF($L61&lt;$J61,IF($J61&amp;"-"&amp;$L61=constPunteggioForfait,1,0),0))</f>
        <v/>
      </c>
      <c r="W61" s="67">
        <f>IF($J61+$L61=0,,IF($L61&lt;$J61,IF($J61&amp;"-"&amp;$L61&lt;&gt;constPunteggioForfait,1,0),0))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IF(I62="","",HYPERLINK(VLOOKUP(I62,areaCampiSquadre,3,FALSE),VLOOKUP(I62,areaCampiSquadre,2,FALSE)))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81" t="inlineStr">
        <is>
          <t>Gara N.</t>
        </is>
      </c>
      <c r="B63" s="81" t="inlineStr">
        <is>
          <t>Squadra A</t>
        </is>
      </c>
      <c r="C63" s="10" t="n"/>
      <c r="D63" s="81" t="inlineStr">
        <is>
          <t>Squadra B</t>
        </is>
      </c>
      <c r="E63" s="10" t="n"/>
      <c r="F63" s="81" t="inlineStr">
        <is>
          <t>Giorno</t>
        </is>
      </c>
      <c r="G63" s="81" t="inlineStr">
        <is>
          <t>Data</t>
        </is>
      </c>
      <c r="H63" s="81" t="inlineStr">
        <is>
          <t>Ora</t>
        </is>
      </c>
      <c r="I63" s="10" t="n"/>
      <c r="J63" s="81" t="inlineStr">
        <is>
          <t>Risultato</t>
        </is>
      </c>
      <c r="K63" s="9" t="n"/>
      <c r="L63" s="10" t="n"/>
    </row>
    <row r="64" ht="24" customHeight="1">
      <c r="A64" s="83">
        <f>MAX(A$10:A63)+1</f>
        <v/>
      </c>
      <c r="B64" s="61">
        <f>IF(C64="","",IFERROR(VLOOKUP(C64,areaNomiBreviSquadre,7,FALSE),""))</f>
        <v/>
      </c>
      <c r="C64" s="62" t="n"/>
      <c r="D64" s="61">
        <f>IF(E64="","",IFERROR(VLOOKUP(E64,areaNomiBreviSquadre,7,FALSE),""))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IF($J64+$L64=0,,IF($J64&lt;$L64,IF($J64&amp;"-"&amp;$L64=MID(constPunteggioForfait,FIND("-",constPunteggioForfait)+1,LEN(constPunteggioForfait))&amp;"-"&amp;LEFT(constPunteggioForfait,FIND("-",constPunteggioForfait)-1),1,0),0))</f>
        <v/>
      </c>
      <c r="P64" s="67">
        <f>IF($J64+$L64=0,,IF($J64&lt;$L64,IF($J64&amp;"-"&amp;$L64&lt;&gt;MID(constPunteggioForfait,FIND("-",constPunteggioForfait)+1,LEN(constPunteggioForfait))&amp;"-"&amp;LEFT(constPunteggioForfait,FIND("-",constPunteggioForfait)-1),1,0),0))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IF($J64+$L64=0,,IF($L64&lt;$J64,IF($J64&amp;"-"&amp;$L64=constPunteggioForfait,1,0),0))</f>
        <v/>
      </c>
      <c r="W64" s="67">
        <f>IF($J64+$L64=0,,IF($L64&lt;$J64,IF($J64&amp;"-"&amp;$L64&lt;&gt;constPunteggioForfait,1,0),0))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IF(I65="","",HYPERLINK(VLOOKUP(I65,areaCampiSquadre,3,FALSE),VLOOKUP(I65,areaCampiSquadre,2,FALSE)))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81" t="inlineStr">
        <is>
          <t>Gara N.</t>
        </is>
      </c>
      <c r="B66" s="81" t="inlineStr">
        <is>
          <t>Squadra A</t>
        </is>
      </c>
      <c r="C66" s="10" t="n"/>
      <c r="D66" s="81" t="inlineStr">
        <is>
          <t>Squadra B</t>
        </is>
      </c>
      <c r="E66" s="10" t="n"/>
      <c r="F66" s="81" t="inlineStr">
        <is>
          <t>Giorno</t>
        </is>
      </c>
      <c r="G66" s="81" t="inlineStr">
        <is>
          <t>Data</t>
        </is>
      </c>
      <c r="H66" s="81" t="inlineStr">
        <is>
          <t>Ora</t>
        </is>
      </c>
      <c r="I66" s="10" t="n"/>
      <c r="J66" s="81" t="inlineStr">
        <is>
          <t>Risultato</t>
        </is>
      </c>
      <c r="K66" s="9" t="n"/>
      <c r="L66" s="10" t="n"/>
    </row>
    <row r="67" ht="24" customHeight="1">
      <c r="A67" s="83">
        <f>MAX(A$10:A66)+1</f>
        <v/>
      </c>
      <c r="B67" s="61">
        <f>IF(C67="","",IFERROR(VLOOKUP(C67,areaNomiBreviSquadre,7,FALSE),""))</f>
        <v/>
      </c>
      <c r="C67" s="62" t="n"/>
      <c r="D67" s="61">
        <f>IF(E67="","",IFERROR(VLOOKUP(E67,areaNomiBreviSquadre,7,FALSE),""))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IF($J67+$L67=0,,IF($J67&lt;$L67,IF($J67&amp;"-"&amp;$L67=MID(constPunteggioForfait,FIND("-",constPunteggioForfait)+1,LEN(constPunteggioForfait))&amp;"-"&amp;LEFT(constPunteggioForfait,FIND("-",constPunteggioForfait)-1),1,0),0))</f>
        <v/>
      </c>
      <c r="P67" s="67">
        <f>IF($J67+$L67=0,,IF($J67&lt;$L67,IF($J67&amp;"-"&amp;$L67&lt;&gt;MID(constPunteggioForfait,FIND("-",constPunteggioForfait)+1,LEN(constPunteggioForfait))&amp;"-"&amp;LEFT(constPunteggioForfait,FIND("-",constPunteggioForfait)-1),1,0),0))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IF($J67+$L67=0,,IF($L67&lt;$J67,IF($J67&amp;"-"&amp;$L67=constPunteggioForfait,1,0),0))</f>
        <v/>
      </c>
      <c r="W67" s="67">
        <f>IF($J67+$L67=0,,IF($L67&lt;$J67,IF($J67&amp;"-"&amp;$L67&lt;&gt;constPunteggioForfait,1,0),0))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IF(I68="","",HYPERLINK(VLOOKUP(I68,areaCampiSquadre,3,FALSE),VLOOKUP(I68,areaCampiSquadre,2,FALSE)))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81" t="inlineStr">
        <is>
          <t>Gara N.</t>
        </is>
      </c>
      <c r="B69" s="81" t="inlineStr">
        <is>
          <t>Squadra A</t>
        </is>
      </c>
      <c r="C69" s="10" t="n"/>
      <c r="D69" s="81" t="inlineStr">
        <is>
          <t>Squadra B</t>
        </is>
      </c>
      <c r="E69" s="10" t="n"/>
      <c r="F69" s="81" t="inlineStr">
        <is>
          <t>Giorno</t>
        </is>
      </c>
      <c r="G69" s="81" t="inlineStr">
        <is>
          <t>Data</t>
        </is>
      </c>
      <c r="H69" s="81" t="inlineStr">
        <is>
          <t>Ora</t>
        </is>
      </c>
      <c r="I69" s="10" t="n"/>
      <c r="J69" s="81" t="inlineStr">
        <is>
          <t>Risultato</t>
        </is>
      </c>
      <c r="K69" s="9" t="n"/>
      <c r="L69" s="10" t="n"/>
    </row>
    <row r="70" ht="24" customHeight="1">
      <c r="A70" s="83">
        <f>MAX(A$10:A69)+1</f>
        <v/>
      </c>
      <c r="B70" s="61">
        <f>IF(C70="","",IFERROR(VLOOKUP(C70,areaNomiBreviSquadre,7,FALSE),""))</f>
        <v/>
      </c>
      <c r="C70" s="62" t="n"/>
      <c r="D70" s="61">
        <f>IF(E70="","",IFERROR(VLOOKUP(E70,areaNomiBreviSquadre,7,FALSE),""))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IF($J70+$L70=0,,IF($J70&lt;$L70,IF($J70&amp;"-"&amp;$L70=MID(constPunteggioForfait,FIND("-",constPunteggioForfait)+1,LEN(constPunteggioForfait))&amp;"-"&amp;LEFT(constPunteggioForfait,FIND("-",constPunteggioForfait)-1),1,0),0))</f>
        <v/>
      </c>
      <c r="P70" s="67">
        <f>IF($J70+$L70=0,,IF($J70&lt;$L70,IF($J70&amp;"-"&amp;$L70&lt;&gt;MID(constPunteggioForfait,FIND("-",constPunteggioForfait)+1,LEN(constPunteggioForfait))&amp;"-"&amp;LEFT(constPunteggioForfait,FIND("-",constPunteggioForfait)-1),1,0),0))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IF($J70+$L70=0,,IF($L70&lt;$J70,IF($J70&amp;"-"&amp;$L70=constPunteggioForfait,1,0),0))</f>
        <v/>
      </c>
      <c r="W70" s="67">
        <f>IF($J70+$L70=0,,IF($L70&lt;$J70,IF($J70&amp;"-"&amp;$L70&lt;&gt;constPunteggioForfait,1,0),0))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IF(I71="","",HYPERLINK(VLOOKUP(I71,areaCampiSquadre,3,FALSE),VLOOKUP(I71,areaCampiSquadre,2,FALSE)))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81" t="inlineStr">
        <is>
          <t>Gara N.</t>
        </is>
      </c>
      <c r="B72" s="81" t="inlineStr">
        <is>
          <t>Squadra A</t>
        </is>
      </c>
      <c r="C72" s="10" t="n"/>
      <c r="D72" s="81" t="inlineStr">
        <is>
          <t>Squadra B</t>
        </is>
      </c>
      <c r="E72" s="10" t="n"/>
      <c r="F72" s="81" t="inlineStr">
        <is>
          <t>Giorno</t>
        </is>
      </c>
      <c r="G72" s="81" t="inlineStr">
        <is>
          <t>Data</t>
        </is>
      </c>
      <c r="H72" s="81" t="inlineStr">
        <is>
          <t>Ora</t>
        </is>
      </c>
      <c r="I72" s="10" t="n"/>
      <c r="J72" s="81" t="inlineStr">
        <is>
          <t>Risultato</t>
        </is>
      </c>
      <c r="K72" s="9" t="n"/>
      <c r="L72" s="10" t="n"/>
    </row>
    <row r="73" ht="24" customHeight="1">
      <c r="A73" s="83">
        <f>MAX(A$10:A72)+1</f>
        <v/>
      </c>
      <c r="B73" s="61">
        <f>IF(C73="","",IFERROR(VLOOKUP(C73,areaNomiBreviSquadre,7,FALSE),""))</f>
        <v/>
      </c>
      <c r="C73" s="62" t="n"/>
      <c r="D73" s="61">
        <f>IF(E73="","",IFERROR(VLOOKUP(E73,areaNomiBreviSquadre,7,FALSE),""))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IF($J73+$L73=0,,IF($J73&lt;$L73,IF($J73&amp;"-"&amp;$L73=MID(constPunteggioForfait,FIND("-",constPunteggioForfait)+1,LEN(constPunteggioForfait))&amp;"-"&amp;LEFT(constPunteggioForfait,FIND("-",constPunteggioForfait)-1),1,0),0))</f>
        <v/>
      </c>
      <c r="P73" s="67">
        <f>IF($J73+$L73=0,,IF($J73&lt;$L73,IF($J73&amp;"-"&amp;$L73&lt;&gt;MID(constPunteggioForfait,FIND("-",constPunteggioForfait)+1,LEN(constPunteggioForfait))&amp;"-"&amp;LEFT(constPunteggioForfait,FIND("-",constPunteggioForfait)-1),1,0),0))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IF($J73+$L73=0,,IF($L73&lt;$J73,IF($J73&amp;"-"&amp;$L73=constPunteggioForfait,1,0),0))</f>
        <v/>
      </c>
      <c r="W73" s="67">
        <f>IF($J73+$L73=0,,IF($L73&lt;$J73,IF($J73&amp;"-"&amp;$L73&lt;&gt;constPunteggioForfait,1,0),0))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IF(I74="","",HYPERLINK(VLOOKUP(I74,areaCampiSquadre,3,FALSE),VLOOKUP(I74,areaCampiSquadre,2,FALSE)))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78" t="inlineStr">
        <is>
          <t>5C</t>
        </is>
      </c>
      <c r="B76" s="79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81" t="inlineStr">
        <is>
          <t>Gara N.</t>
        </is>
      </c>
      <c r="B77" s="81" t="inlineStr">
        <is>
          <t>Squadra A</t>
        </is>
      </c>
      <c r="C77" s="10" t="n"/>
      <c r="D77" s="81" t="inlineStr">
        <is>
          <t>Squadra B</t>
        </is>
      </c>
      <c r="E77" s="10" t="n"/>
      <c r="F77" s="81" t="inlineStr">
        <is>
          <t>Giorno</t>
        </is>
      </c>
      <c r="G77" s="81" t="inlineStr">
        <is>
          <t>Data</t>
        </is>
      </c>
      <c r="H77" s="81" t="inlineStr">
        <is>
          <t>Ora</t>
        </is>
      </c>
      <c r="I77" s="10" t="n"/>
      <c r="J77" s="81" t="inlineStr">
        <is>
          <t>Risultato</t>
        </is>
      </c>
      <c r="K77" s="9" t="n"/>
      <c r="L77" s="10" t="n"/>
    </row>
    <row r="78" ht="24" customHeight="1">
      <c r="A78" s="83">
        <f>MAX(A$10:A77)+1</f>
        <v/>
      </c>
      <c r="B78" s="61">
        <f>IF(C78="","",IFERROR(VLOOKUP(C78,areaNomiBreviSquadre,7,FALSE),""))</f>
        <v/>
      </c>
      <c r="C78" s="62" t="n"/>
      <c r="D78" s="61">
        <f>IF(E78="","",IFERROR(VLOOKUP(E78,areaNomiBreviSquadre,7,FALSE),""))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IF($J78+$L78=0,,IF($J78&lt;$L78,IF($J78&amp;"-"&amp;$L78=MID(constPunteggioForfait,FIND("-",constPunteggioForfait)+1,LEN(constPunteggioForfait))&amp;"-"&amp;LEFT(constPunteggioForfait,FIND("-",constPunteggioForfait)-1),1,0),0))</f>
        <v/>
      </c>
      <c r="P78" s="67">
        <f>IF($J78+$L78=0,,IF($J78&lt;$L78,IF($J78&amp;"-"&amp;$L78&lt;&gt;MID(constPunteggioForfait,FIND("-",constPunteggioForfait)+1,LEN(constPunteggioForfait))&amp;"-"&amp;LEFT(constPunteggioForfait,FIND("-",constPunteggioForfait)-1),1,0),0))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IF($J78+$L78=0,,IF($L78&lt;$J78,IF($J78&amp;"-"&amp;$L78=constPunteggioForfait,1,0),0))</f>
        <v/>
      </c>
      <c r="W78" s="67">
        <f>IF($J78+$L78=0,,IF($L78&lt;$J78,IF($J78&amp;"-"&amp;$L78&lt;&gt;constPunteggioForfait,1,0),0))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IF(I79="","",HYPERLINK(VLOOKUP(I79,areaCampiSquadre,3,FALSE),VLOOKUP(I79,areaCampiSquadre,2,FALSE)))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81" t="inlineStr">
        <is>
          <t>Gara N.</t>
        </is>
      </c>
      <c r="B80" s="81" t="inlineStr">
        <is>
          <t>Squadra A</t>
        </is>
      </c>
      <c r="C80" s="10" t="n"/>
      <c r="D80" s="81" t="inlineStr">
        <is>
          <t>Squadra B</t>
        </is>
      </c>
      <c r="E80" s="10" t="n"/>
      <c r="F80" s="81" t="inlineStr">
        <is>
          <t>Giorno</t>
        </is>
      </c>
      <c r="G80" s="81" t="inlineStr">
        <is>
          <t>Data</t>
        </is>
      </c>
      <c r="H80" s="81" t="inlineStr">
        <is>
          <t>Ora</t>
        </is>
      </c>
      <c r="I80" s="10" t="n"/>
      <c r="J80" s="81" t="inlineStr">
        <is>
          <t>Risultato</t>
        </is>
      </c>
      <c r="K80" s="9" t="n"/>
      <c r="L80" s="10" t="n"/>
    </row>
    <row r="81" ht="24" customHeight="1">
      <c r="A81" s="83">
        <f>MAX(A$10:A80)+1</f>
        <v/>
      </c>
      <c r="B81" s="61">
        <f>IF(C81="","",IFERROR(VLOOKUP(C81,areaNomiBreviSquadre,7,FALSE),""))</f>
        <v/>
      </c>
      <c r="C81" s="62" t="n"/>
      <c r="D81" s="61">
        <f>IF(E81="","",IFERROR(VLOOKUP(E81,areaNomiBreviSquadre,7,FALSE),""))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IF($J81+$L81=0,,IF($J81&lt;$L81,IF($J81&amp;"-"&amp;$L81=MID(constPunteggioForfait,FIND("-",constPunteggioForfait)+1,LEN(constPunteggioForfait))&amp;"-"&amp;LEFT(constPunteggioForfait,FIND("-",constPunteggioForfait)-1),1,0),0))</f>
        <v/>
      </c>
      <c r="P81" s="67">
        <f>IF($J81+$L81=0,,IF($J81&lt;$L81,IF($J81&amp;"-"&amp;$L81&lt;&gt;MID(constPunteggioForfait,FIND("-",constPunteggioForfait)+1,LEN(constPunteggioForfait))&amp;"-"&amp;LEFT(constPunteggioForfait,FIND("-",constPunteggioForfait)-1),1,0),0))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IF($J81+$L81=0,,IF($L81&lt;$J81,IF($J81&amp;"-"&amp;$L81=constPunteggioForfait,1,0),0))</f>
        <v/>
      </c>
      <c r="W81" s="67">
        <f>IF($J81+$L81=0,,IF($L81&lt;$J81,IF($J81&amp;"-"&amp;$L81&lt;&gt;constPunteggioForfait,1,0),0))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IF(I82="","",HYPERLINK(VLOOKUP(I82,areaCampiSquadre,3,FALSE),VLOOKUP(I82,areaCampiSquadre,2,FALSE)))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81" t="inlineStr">
        <is>
          <t>Gara N.</t>
        </is>
      </c>
      <c r="B83" s="81" t="inlineStr">
        <is>
          <t>Squadra A</t>
        </is>
      </c>
      <c r="C83" s="10" t="n"/>
      <c r="D83" s="81" t="inlineStr">
        <is>
          <t>Squadra B</t>
        </is>
      </c>
      <c r="E83" s="10" t="n"/>
      <c r="F83" s="81" t="inlineStr">
        <is>
          <t>Giorno</t>
        </is>
      </c>
      <c r="G83" s="81" t="inlineStr">
        <is>
          <t>Data</t>
        </is>
      </c>
      <c r="H83" s="81" t="inlineStr">
        <is>
          <t>Ora</t>
        </is>
      </c>
      <c r="I83" s="10" t="n"/>
      <c r="J83" s="81" t="inlineStr">
        <is>
          <t>Risultato</t>
        </is>
      </c>
      <c r="K83" s="9" t="n"/>
      <c r="L83" s="10" t="n"/>
    </row>
    <row r="84" ht="24" customHeight="1">
      <c r="A84" s="83">
        <f>MAX(A$10:A83)+1</f>
        <v/>
      </c>
      <c r="B84" s="61">
        <f>IF(C84="","",IFERROR(VLOOKUP(C84,areaNomiBreviSquadre,7,FALSE),""))</f>
        <v/>
      </c>
      <c r="C84" s="62" t="n"/>
      <c r="D84" s="61">
        <f>IF(E84="","",IFERROR(VLOOKUP(E84,areaNomiBreviSquadre,7,FALSE),""))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IF($J84+$L84=0,,IF($J84&lt;$L84,IF($J84&amp;"-"&amp;$L84=MID(constPunteggioForfait,FIND("-",constPunteggioForfait)+1,LEN(constPunteggioForfait))&amp;"-"&amp;LEFT(constPunteggioForfait,FIND("-",constPunteggioForfait)-1),1,0),0))</f>
        <v/>
      </c>
      <c r="P84" s="67">
        <f>IF($J84+$L84=0,,IF($J84&lt;$L84,IF($J84&amp;"-"&amp;$L84&lt;&gt;MID(constPunteggioForfait,FIND("-",constPunteggioForfait)+1,LEN(constPunteggioForfait))&amp;"-"&amp;LEFT(constPunteggioForfait,FIND("-",constPunteggioForfait)-1),1,0),0))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IF($J84+$L84=0,,IF($L84&lt;$J84,IF($J84&amp;"-"&amp;$L84=constPunteggioForfait,1,0),0))</f>
        <v/>
      </c>
      <c r="W84" s="67">
        <f>IF($J84+$L84=0,,IF($L84&lt;$J84,IF($J84&amp;"-"&amp;$L84&lt;&gt;constPunteggioForfait,1,0),0))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IF(I85="","",HYPERLINK(VLOOKUP(I85,areaCampiSquadre,3,FALSE),VLOOKUP(I85,areaCampiSquadre,2,FALSE)))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81" t="inlineStr">
        <is>
          <t>Gara N.</t>
        </is>
      </c>
      <c r="B86" s="81" t="inlineStr">
        <is>
          <t>Squadra A</t>
        </is>
      </c>
      <c r="C86" s="10" t="n"/>
      <c r="D86" s="81" t="inlineStr">
        <is>
          <t>Squadra B</t>
        </is>
      </c>
      <c r="E86" s="10" t="n"/>
      <c r="F86" s="81" t="inlineStr">
        <is>
          <t>Giorno</t>
        </is>
      </c>
      <c r="G86" s="81" t="inlineStr">
        <is>
          <t>Data</t>
        </is>
      </c>
      <c r="H86" s="81" t="inlineStr">
        <is>
          <t>Ora</t>
        </is>
      </c>
      <c r="I86" s="10" t="n"/>
      <c r="J86" s="81" t="inlineStr">
        <is>
          <t>Risultato</t>
        </is>
      </c>
      <c r="K86" s="9" t="n"/>
      <c r="L86" s="10" t="n"/>
    </row>
    <row r="87" ht="24" customHeight="1">
      <c r="A87" s="83">
        <f>MAX(A$10:A86)+1</f>
        <v/>
      </c>
      <c r="B87" s="61">
        <f>IF(C87="","",IFERROR(VLOOKUP(C87,areaNomiBreviSquadre,7,FALSE),""))</f>
        <v/>
      </c>
      <c r="C87" s="62" t="n"/>
      <c r="D87" s="61">
        <f>IF(E87="","",IFERROR(VLOOKUP(E87,areaNomiBreviSquadre,7,FALSE),""))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IF($J87+$L87=0,,IF($J87&lt;$L87,IF($J87&amp;"-"&amp;$L87=MID(constPunteggioForfait,FIND("-",constPunteggioForfait)+1,LEN(constPunteggioForfait))&amp;"-"&amp;LEFT(constPunteggioForfait,FIND("-",constPunteggioForfait)-1),1,0),0))</f>
        <v/>
      </c>
      <c r="P87" s="67">
        <f>IF($J87+$L87=0,,IF($J87&lt;$L87,IF($J87&amp;"-"&amp;$L87&lt;&gt;MID(constPunteggioForfait,FIND("-",constPunteggioForfait)+1,LEN(constPunteggioForfait))&amp;"-"&amp;LEFT(constPunteggioForfait,FIND("-",constPunteggioForfait)-1),1,0),0))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IF($J87+$L87=0,,IF($L87&lt;$J87,IF($J87&amp;"-"&amp;$L87=constPunteggioForfait,1,0),0))</f>
        <v/>
      </c>
      <c r="W87" s="67">
        <f>IF($J87+$L87=0,,IF($L87&lt;$J87,IF($J87&amp;"-"&amp;$L87&lt;&gt;constPunteggioForfait,1,0),0))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IF(I88="","",HYPERLINK(VLOOKUP(I88,areaCampiSquadre,3,FALSE),VLOOKUP(I88,areaCampiSquadre,2,FALSE)))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81" t="inlineStr">
        <is>
          <t>Gara N.</t>
        </is>
      </c>
      <c r="B89" s="81" t="inlineStr">
        <is>
          <t>Squadra A</t>
        </is>
      </c>
      <c r="C89" s="10" t="n"/>
      <c r="D89" s="81" t="inlineStr">
        <is>
          <t>Squadra B</t>
        </is>
      </c>
      <c r="E89" s="10" t="n"/>
      <c r="F89" s="81" t="inlineStr">
        <is>
          <t>Giorno</t>
        </is>
      </c>
      <c r="G89" s="81" t="inlineStr">
        <is>
          <t>Data</t>
        </is>
      </c>
      <c r="H89" s="81" t="inlineStr">
        <is>
          <t>Ora</t>
        </is>
      </c>
      <c r="I89" s="10" t="n"/>
      <c r="J89" s="81" t="inlineStr">
        <is>
          <t>Risultato</t>
        </is>
      </c>
      <c r="K89" s="9" t="n"/>
      <c r="L89" s="10" t="n"/>
    </row>
    <row r="90" ht="24" customHeight="1">
      <c r="A90" s="83">
        <f>MAX(A$10:A89)+1</f>
        <v/>
      </c>
      <c r="B90" s="61">
        <f>IF(C90="","",IFERROR(VLOOKUP(C90,areaNomiBreviSquadre,7,FALSE),""))</f>
        <v/>
      </c>
      <c r="C90" s="62" t="n"/>
      <c r="D90" s="61">
        <f>IF(E90="","",IFERROR(VLOOKUP(E90,areaNomiBreviSquadre,7,FALSE),""))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IF($J90+$L90=0,,IF($J90&lt;$L90,IF($J90&amp;"-"&amp;$L90=MID(constPunteggioForfait,FIND("-",constPunteggioForfait)+1,LEN(constPunteggioForfait))&amp;"-"&amp;LEFT(constPunteggioForfait,FIND("-",constPunteggioForfait)-1),1,0),0))</f>
        <v/>
      </c>
      <c r="P90" s="67">
        <f>IF($J90+$L90=0,,IF($J90&lt;$L90,IF($J90&amp;"-"&amp;$L90&lt;&gt;MID(constPunteggioForfait,FIND("-",constPunteggioForfait)+1,LEN(constPunteggioForfait))&amp;"-"&amp;LEFT(constPunteggioForfait,FIND("-",constPunteggioForfait)-1),1,0),0))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IF($J90+$L90=0,,IF($L90&lt;$J90,IF($J90&amp;"-"&amp;$L90=constPunteggioForfait,1,0),0))</f>
        <v/>
      </c>
      <c r="W90" s="67">
        <f>IF($J90+$L90=0,,IF($L90&lt;$J90,IF($J90&amp;"-"&amp;$L90&lt;&gt;constPunteggioForfait,1,0),0))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IF(I91="","",HYPERLINK(VLOOKUP(I91,areaCampiSquadre,3,FALSE),VLOOKUP(I91,areaCampiSquadre,2,FALSE)))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78" t="inlineStr">
        <is>
          <t>6C</t>
        </is>
      </c>
      <c r="B93" s="79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81" t="inlineStr">
        <is>
          <t>Gara N.</t>
        </is>
      </c>
      <c r="B94" s="81" t="inlineStr">
        <is>
          <t>Squadra A</t>
        </is>
      </c>
      <c r="C94" s="10" t="n"/>
      <c r="D94" s="81" t="inlineStr">
        <is>
          <t>Squadra B</t>
        </is>
      </c>
      <c r="E94" s="10" t="n"/>
      <c r="F94" s="81" t="inlineStr">
        <is>
          <t>Giorno</t>
        </is>
      </c>
      <c r="G94" s="81" t="inlineStr">
        <is>
          <t>Data</t>
        </is>
      </c>
      <c r="H94" s="81" t="inlineStr">
        <is>
          <t>Ora</t>
        </is>
      </c>
      <c r="I94" s="10" t="n"/>
      <c r="J94" s="81" t="inlineStr">
        <is>
          <t>Risultato</t>
        </is>
      </c>
      <c r="K94" s="9" t="n"/>
      <c r="L94" s="10" t="n"/>
    </row>
    <row r="95" ht="24" customHeight="1">
      <c r="A95" s="83">
        <f>MAX(A$10:A94)+1</f>
        <v/>
      </c>
      <c r="B95" s="61">
        <f>IF(C95="","",IFERROR(VLOOKUP(C95,areaNomiBreviSquadre,7,FALSE),""))</f>
        <v/>
      </c>
      <c r="C95" s="62" t="n"/>
      <c r="D95" s="61">
        <f>IF(E95="","",IFERROR(VLOOKUP(E95,areaNomiBreviSquadre,7,FALSE),""))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81" t="inlineStr">
        <is>
          <t>Gara N.</t>
        </is>
      </c>
      <c r="B97" s="81" t="inlineStr">
        <is>
          <t>Squadra A</t>
        </is>
      </c>
      <c r="C97" s="10" t="n"/>
      <c r="D97" s="81" t="inlineStr">
        <is>
          <t>Squadra B</t>
        </is>
      </c>
      <c r="E97" s="10" t="n"/>
      <c r="F97" s="81" t="inlineStr">
        <is>
          <t>Giorno</t>
        </is>
      </c>
      <c r="G97" s="81" t="inlineStr">
        <is>
          <t>Data</t>
        </is>
      </c>
      <c r="H97" s="81" t="inlineStr">
        <is>
          <t>Ora</t>
        </is>
      </c>
      <c r="I97" s="10" t="n"/>
      <c r="J97" s="81" t="inlineStr">
        <is>
          <t>Risultato</t>
        </is>
      </c>
      <c r="K97" s="9" t="n"/>
      <c r="L97" s="10" t="n"/>
    </row>
    <row r="98" ht="24" customHeight="1">
      <c r="A98" s="83">
        <f>MAX(A$10:A97)+1</f>
        <v/>
      </c>
      <c r="B98" s="61">
        <f>IF(C98="","",IFERROR(VLOOKUP(C98,areaNomiBreviSquadre,7,FALSE),""))</f>
        <v/>
      </c>
      <c r="C98" s="62" t="n"/>
      <c r="D98" s="61">
        <f>IF(E98="","",IFERROR(VLOOKUP(E98,areaNomiBreviSquadre,7,FALSE),""))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81" t="inlineStr">
        <is>
          <t>Gara N.</t>
        </is>
      </c>
      <c r="B100" s="81" t="inlineStr">
        <is>
          <t>Squadra A</t>
        </is>
      </c>
      <c r="C100" s="10" t="n"/>
      <c r="D100" s="81" t="inlineStr">
        <is>
          <t>Squadra B</t>
        </is>
      </c>
      <c r="E100" s="10" t="n"/>
      <c r="F100" s="81" t="inlineStr">
        <is>
          <t>Giorno</t>
        </is>
      </c>
      <c r="G100" s="81" t="inlineStr">
        <is>
          <t>Data</t>
        </is>
      </c>
      <c r="H100" s="81" t="inlineStr">
        <is>
          <t>Ora</t>
        </is>
      </c>
      <c r="I100" s="10" t="n"/>
      <c r="J100" s="81" t="inlineStr">
        <is>
          <t>Risultato</t>
        </is>
      </c>
      <c r="K100" s="9" t="n"/>
      <c r="L100" s="10" t="n"/>
    </row>
    <row r="101" ht="24" customHeight="1">
      <c r="A101" s="83">
        <f>MAX(A$10:A100)+1</f>
        <v/>
      </c>
      <c r="B101" s="61">
        <f>IF(C101="","",IFERROR(VLOOKUP(C101,areaNomiBreviSquadre,7,FALSE),""))</f>
        <v/>
      </c>
      <c r="C101" s="62" t="n"/>
      <c r="D101" s="61">
        <f>IF(E101="","",IFERROR(VLOOKUP(E101,areaNomiBreviSquadre,7,FALSE),""))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81" t="inlineStr">
        <is>
          <t>Gara N.</t>
        </is>
      </c>
      <c r="B103" s="81" t="inlineStr">
        <is>
          <t>Squadra A</t>
        </is>
      </c>
      <c r="C103" s="10" t="n"/>
      <c r="D103" s="81" t="inlineStr">
        <is>
          <t>Squadra B</t>
        </is>
      </c>
      <c r="E103" s="10" t="n"/>
      <c r="F103" s="81" t="inlineStr">
        <is>
          <t>Giorno</t>
        </is>
      </c>
      <c r="G103" s="81" t="inlineStr">
        <is>
          <t>Data</t>
        </is>
      </c>
      <c r="H103" s="81" t="inlineStr">
        <is>
          <t>Ora</t>
        </is>
      </c>
      <c r="I103" s="10" t="n"/>
      <c r="J103" s="81" t="inlineStr">
        <is>
          <t>Risultato</t>
        </is>
      </c>
      <c r="K103" s="9" t="n"/>
      <c r="L103" s="10" t="n"/>
    </row>
    <row r="104" ht="24" customHeight="1">
      <c r="A104" s="83">
        <f>MAX(A$10:A103)+1</f>
        <v/>
      </c>
      <c r="B104" s="61">
        <f>IF(C104="","",IFERROR(VLOOKUP(C104,areaNomiBreviSquadre,7,FALSE),""))</f>
        <v/>
      </c>
      <c r="C104" s="62" t="n"/>
      <c r="D104" s="61">
        <f>IF(E104="","",IFERROR(VLOOKUP(E104,areaNomiBreviSquadre,7,FALSE),""))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IF($J104+$L104=0,,IF($J104&lt;$L104,IF($J104&amp;"-"&amp;$L104=MID(constPunteggioForfait,FIND("-",constPunteggioForfait)+1,LEN(constPunteggioForfait))&amp;"-"&amp;LEFT(constPunteggioForfait,FIND("-",constPunteggioForfait)-1),1,0),0))</f>
        <v/>
      </c>
      <c r="P104" s="67">
        <f>IF($J104+$L104=0,,IF($J104&lt;$L104,IF($J104&amp;"-"&amp;$L104&lt;&gt;MID(constPunteggioForfait,FIND("-",constPunteggioForfait)+1,LEN(constPunteggioForfait))&amp;"-"&amp;LEFT(constPunteggioForfait,FIND("-",constPunteggioForfait)-1),1,0),0))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IF($J104+$L104=0,,IF($L104&lt;$J104,IF($J104&amp;"-"&amp;$L104=constPunteggioForfait,1,0),0))</f>
        <v/>
      </c>
      <c r="W104" s="67">
        <f>IF($J104+$L104=0,,IF($L104&lt;$J104,IF($J104&amp;"-"&amp;$L104&lt;&gt;constPunteggioForfait,1,0),0))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IF(I105="","",HYPERLINK(VLOOKUP(I105,areaCampiSquadre,3,FALSE),VLOOKUP(I105,areaCampiSquadre,2,FALSE)))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81" t="inlineStr">
        <is>
          <t>Gara N.</t>
        </is>
      </c>
      <c r="B106" s="81" t="inlineStr">
        <is>
          <t>Squadra A</t>
        </is>
      </c>
      <c r="C106" s="10" t="n"/>
      <c r="D106" s="81" t="inlineStr">
        <is>
          <t>Squadra B</t>
        </is>
      </c>
      <c r="E106" s="10" t="n"/>
      <c r="F106" s="81" t="inlineStr">
        <is>
          <t>Giorno</t>
        </is>
      </c>
      <c r="G106" s="81" t="inlineStr">
        <is>
          <t>Data</t>
        </is>
      </c>
      <c r="H106" s="81" t="inlineStr">
        <is>
          <t>Ora</t>
        </is>
      </c>
      <c r="I106" s="10" t="n"/>
      <c r="J106" s="81" t="inlineStr">
        <is>
          <t>Risultato</t>
        </is>
      </c>
      <c r="K106" s="9" t="n"/>
      <c r="L106" s="10" t="n"/>
    </row>
    <row r="107" ht="24" customHeight="1">
      <c r="A107" s="83">
        <f>MAX(A$10:A106)+1</f>
        <v/>
      </c>
      <c r="B107" s="61">
        <f>IF(C107="","",IFERROR(VLOOKUP(C107,areaNomiBreviSquadre,7,FALSE),""))</f>
        <v/>
      </c>
      <c r="C107" s="62" t="n"/>
      <c r="D107" s="61">
        <f>IF(E107="","",IFERROR(VLOOKUP(E107,areaNomiBreviSquadre,7,FALSE),""))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IF($J107+$L107=0,,IF($J107&lt;$L107,IF($J107&amp;"-"&amp;$L107=MID(constPunteggioForfait,FIND("-",constPunteggioForfait)+1,LEN(constPunteggioForfait))&amp;"-"&amp;LEFT(constPunteggioForfait,FIND("-",constPunteggioForfait)-1),1,0),0))</f>
        <v/>
      </c>
      <c r="P107" s="67">
        <f>IF($J107+$L107=0,,IF($J107&lt;$L107,IF($J107&amp;"-"&amp;$L107&lt;&gt;MID(constPunteggioForfait,FIND("-",constPunteggioForfait)+1,LEN(constPunteggioForfait))&amp;"-"&amp;LEFT(constPunteggioForfait,FIND("-",constPunteggioForfait)-1),1,0),0))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IF($J107+$L107=0,,IF($L107&lt;$J107,IF($J107&amp;"-"&amp;$L107=constPunteggioForfait,1,0),0))</f>
        <v/>
      </c>
      <c r="W107" s="67">
        <f>IF($J107+$L107=0,,IF($L107&lt;$J107,IF($J107&amp;"-"&amp;$L107&lt;&gt;constPunteggioForfait,1,0),0))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IF(I108="","",HYPERLINK(VLOOKUP(I108,areaCampiSquadre,3,FALSE),VLOOKUP(I108,areaCampiSquadre,2,FALSE)))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78" t="inlineStr">
        <is>
          <t>7C</t>
        </is>
      </c>
      <c r="B110" s="79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81" t="inlineStr">
        <is>
          <t>Gara N.</t>
        </is>
      </c>
      <c r="B111" s="81" t="inlineStr">
        <is>
          <t>Squadra A</t>
        </is>
      </c>
      <c r="C111" s="10" t="n"/>
      <c r="D111" s="81" t="inlineStr">
        <is>
          <t>Squadra B</t>
        </is>
      </c>
      <c r="E111" s="10" t="n"/>
      <c r="F111" s="81" t="inlineStr">
        <is>
          <t>Giorno</t>
        </is>
      </c>
      <c r="G111" s="81" t="inlineStr">
        <is>
          <t>Data</t>
        </is>
      </c>
      <c r="H111" s="81" t="inlineStr">
        <is>
          <t>Ora</t>
        </is>
      </c>
      <c r="I111" s="10" t="n"/>
      <c r="J111" s="81" t="inlineStr">
        <is>
          <t>Risultato</t>
        </is>
      </c>
      <c r="K111" s="9" t="n"/>
      <c r="L111" s="10" t="n"/>
    </row>
    <row r="112" ht="24" customHeight="1">
      <c r="A112" s="83">
        <f>MAX(A$10:A111)+1</f>
        <v/>
      </c>
      <c r="B112" s="61">
        <f>IF(C112="","",IFERROR(VLOOKUP(C112,areaNomiBreviSquadre,7,FALSE),""))</f>
        <v/>
      </c>
      <c r="C112" s="62" t="n"/>
      <c r="D112" s="61">
        <f>IF(E112="","",IFERROR(VLOOKUP(E112,areaNomiBreviSquadre,7,FALSE),""))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81" t="inlineStr">
        <is>
          <t>Gara N.</t>
        </is>
      </c>
      <c r="B114" s="81" t="inlineStr">
        <is>
          <t>Squadra A</t>
        </is>
      </c>
      <c r="C114" s="10" t="n"/>
      <c r="D114" s="81" t="inlineStr">
        <is>
          <t>Squadra B</t>
        </is>
      </c>
      <c r="E114" s="10" t="n"/>
      <c r="F114" s="81" t="inlineStr">
        <is>
          <t>Giorno</t>
        </is>
      </c>
      <c r="G114" s="81" t="inlineStr">
        <is>
          <t>Data</t>
        </is>
      </c>
      <c r="H114" s="81" t="inlineStr">
        <is>
          <t>Ora</t>
        </is>
      </c>
      <c r="I114" s="10" t="n"/>
      <c r="J114" s="81" t="inlineStr">
        <is>
          <t>Risultato</t>
        </is>
      </c>
      <c r="K114" s="9" t="n"/>
      <c r="L114" s="10" t="n"/>
    </row>
    <row r="115" ht="24" customHeight="1">
      <c r="A115" s="83">
        <f>MAX(A$10:A114)+1</f>
        <v/>
      </c>
      <c r="B115" s="61">
        <f>IF(C115="","",IFERROR(VLOOKUP(C115,areaNomiBreviSquadre,7,FALSE),""))</f>
        <v/>
      </c>
      <c r="C115" s="62" t="n"/>
      <c r="D115" s="61">
        <f>IF(E115="","",IFERROR(VLOOKUP(E115,areaNomiBreviSquadre,7,FALSE),""))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81" t="inlineStr">
        <is>
          <t>Gara N.</t>
        </is>
      </c>
      <c r="B117" s="81" t="inlineStr">
        <is>
          <t>Squadra A</t>
        </is>
      </c>
      <c r="C117" s="10" t="n"/>
      <c r="D117" s="81" t="inlineStr">
        <is>
          <t>Squadra B</t>
        </is>
      </c>
      <c r="E117" s="10" t="n"/>
      <c r="F117" s="81" t="inlineStr">
        <is>
          <t>Giorno</t>
        </is>
      </c>
      <c r="G117" s="81" t="inlineStr">
        <is>
          <t>Data</t>
        </is>
      </c>
      <c r="H117" s="81" t="inlineStr">
        <is>
          <t>Ora</t>
        </is>
      </c>
      <c r="I117" s="10" t="n"/>
      <c r="J117" s="81" t="inlineStr">
        <is>
          <t>Risultato</t>
        </is>
      </c>
      <c r="K117" s="9" t="n"/>
      <c r="L117" s="10" t="n"/>
    </row>
    <row r="118" ht="24" customHeight="1">
      <c r="A118" s="83">
        <f>MAX(A$10:A117)+1</f>
        <v/>
      </c>
      <c r="B118" s="61">
        <f>IF(C118="","",IFERROR(VLOOKUP(C118,areaNomiBreviSquadre,7,FALSE),""))</f>
        <v/>
      </c>
      <c r="C118" s="62" t="n"/>
      <c r="D118" s="61">
        <f>IF(E118="","",IFERROR(VLOOKUP(E118,areaNomiBreviSquadre,7,FALSE),""))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81" t="inlineStr">
        <is>
          <t>Gara N.</t>
        </is>
      </c>
      <c r="B120" s="81" t="inlineStr">
        <is>
          <t>Squadra A</t>
        </is>
      </c>
      <c r="C120" s="10" t="n"/>
      <c r="D120" s="81" t="inlineStr">
        <is>
          <t>Squadra B</t>
        </is>
      </c>
      <c r="E120" s="10" t="n"/>
      <c r="F120" s="81" t="inlineStr">
        <is>
          <t>Giorno</t>
        </is>
      </c>
      <c r="G120" s="81" t="inlineStr">
        <is>
          <t>Data</t>
        </is>
      </c>
      <c r="H120" s="81" t="inlineStr">
        <is>
          <t>Ora</t>
        </is>
      </c>
      <c r="I120" s="10" t="n"/>
      <c r="J120" s="81" t="inlineStr">
        <is>
          <t>Risultato</t>
        </is>
      </c>
      <c r="K120" s="9" t="n"/>
      <c r="L120" s="10" t="n"/>
    </row>
    <row r="121" ht="24" customHeight="1">
      <c r="A121" s="83">
        <f>MAX(A$10:A120)+1</f>
        <v/>
      </c>
      <c r="B121" s="61">
        <f>IF(C121="","",IFERROR(VLOOKUP(C121,areaNomiBreviSquadre,7,FALSE),""))</f>
        <v/>
      </c>
      <c r="C121" s="62" t="n"/>
      <c r="D121" s="61">
        <f>IF(E121="","",IFERROR(VLOOKUP(E121,areaNomiBreviSquadre,7,FALSE),""))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81" t="inlineStr">
        <is>
          <t>Gara N.</t>
        </is>
      </c>
      <c r="B123" s="81" t="inlineStr">
        <is>
          <t>Squadra A</t>
        </is>
      </c>
      <c r="C123" s="10" t="n"/>
      <c r="D123" s="81" t="inlineStr">
        <is>
          <t>Squadra B</t>
        </is>
      </c>
      <c r="E123" s="10" t="n"/>
      <c r="F123" s="81" t="inlineStr">
        <is>
          <t>Giorno</t>
        </is>
      </c>
      <c r="G123" s="81" t="inlineStr">
        <is>
          <t>Data</t>
        </is>
      </c>
      <c r="H123" s="81" t="inlineStr">
        <is>
          <t>Ora</t>
        </is>
      </c>
      <c r="I123" s="10" t="n"/>
      <c r="J123" s="81" t="inlineStr">
        <is>
          <t>Risultato</t>
        </is>
      </c>
      <c r="K123" s="9" t="n"/>
      <c r="L123" s="10" t="n"/>
    </row>
    <row r="124" ht="24" customHeight="1">
      <c r="A124" s="83">
        <f>MAX(A$10:A123)+1</f>
        <v/>
      </c>
      <c r="B124" s="61">
        <f>IF(C124="","",IFERROR(VLOOKUP(C124,areaNomiBreviSquadre,7,FALSE),""))</f>
        <v/>
      </c>
      <c r="C124" s="62" t="n"/>
      <c r="D124" s="61">
        <f>IF(E124="","",IFERROR(VLOOKUP(E124,areaNomiBreviSquadre,7,FALSE),""))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78" t="inlineStr">
        <is>
          <t>8C</t>
        </is>
      </c>
      <c r="B127" s="79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81" t="inlineStr">
        <is>
          <t>Gara N.</t>
        </is>
      </c>
      <c r="B128" s="81" t="inlineStr">
        <is>
          <t>Squadra A</t>
        </is>
      </c>
      <c r="C128" s="10" t="n"/>
      <c r="D128" s="81" t="inlineStr">
        <is>
          <t>Squadra B</t>
        </is>
      </c>
      <c r="E128" s="10" t="n"/>
      <c r="F128" s="81" t="inlineStr">
        <is>
          <t>Giorno</t>
        </is>
      </c>
      <c r="G128" s="81" t="inlineStr">
        <is>
          <t>Data</t>
        </is>
      </c>
      <c r="H128" s="81" t="inlineStr">
        <is>
          <t>Ora</t>
        </is>
      </c>
      <c r="I128" s="10" t="n"/>
      <c r="J128" s="81" t="inlineStr">
        <is>
          <t>Risultato</t>
        </is>
      </c>
      <c r="K128" s="9" t="n"/>
      <c r="L128" s="10" t="n"/>
    </row>
    <row r="129" ht="24" customHeight="1">
      <c r="A129" s="83">
        <f>MAX(A$10:A128)+1</f>
        <v/>
      </c>
      <c r="B129" s="61">
        <f>IF(C129="","",IFERROR(VLOOKUP(C129,areaNomiBreviSquadre,7,FALSE),""))</f>
        <v/>
      </c>
      <c r="C129" s="62" t="n"/>
      <c r="D129" s="61">
        <f>IF(E129="","",IFERROR(VLOOKUP(E129,areaNomiBreviSquadre,7,FALSE),""))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IF($J129+$L129=0,,IF($J129&lt;$L129,IF($J129&amp;"-"&amp;$L129=MID(constPunteggioForfait,FIND("-",constPunteggioForfait)+1,LEN(constPunteggioForfait))&amp;"-"&amp;LEFT(constPunteggioForfait,FIND("-",constPunteggioForfait)-1),1,0),0))</f>
        <v/>
      </c>
      <c r="P129" s="67">
        <f>IF($J129+$L129=0,,IF($J129&lt;$L129,IF($J129&amp;"-"&amp;$L129&lt;&gt;MID(constPunteggioForfait,FIND("-",constPunteggioForfait)+1,LEN(constPunteggioForfait))&amp;"-"&amp;LEFT(constPunteggioForfait,FIND("-",constPunteggioForfait)-1),1,0),0))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IF($J129+$L129=0,,IF($L129&lt;$J129,IF($J129&amp;"-"&amp;$L129=constPunteggioForfait,1,0),0))</f>
        <v/>
      </c>
      <c r="W129" s="67">
        <f>IF($J129+$L129=0,,IF($L129&lt;$J129,IF($J129&amp;"-"&amp;$L129&lt;&gt;constPunteggioForfait,1,0),0))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IF(I130="","",HYPERLINK(VLOOKUP(I130,areaCampiSquadre,3,FALSE),VLOOKUP(I130,areaCampiSquadre,2,FALSE)))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81" t="inlineStr">
        <is>
          <t>Gara N.</t>
        </is>
      </c>
      <c r="B131" s="81" t="inlineStr">
        <is>
          <t>Squadra A</t>
        </is>
      </c>
      <c r="C131" s="10" t="n"/>
      <c r="D131" s="81" t="inlineStr">
        <is>
          <t>Squadra B</t>
        </is>
      </c>
      <c r="E131" s="10" t="n"/>
      <c r="F131" s="81" t="inlineStr">
        <is>
          <t>Giorno</t>
        </is>
      </c>
      <c r="G131" s="81" t="inlineStr">
        <is>
          <t>Data</t>
        </is>
      </c>
      <c r="H131" s="81" t="inlineStr">
        <is>
          <t>Ora</t>
        </is>
      </c>
      <c r="I131" s="10" t="n"/>
      <c r="J131" s="81" t="inlineStr">
        <is>
          <t>Risultato</t>
        </is>
      </c>
      <c r="K131" s="9" t="n"/>
      <c r="L131" s="10" t="n"/>
    </row>
    <row r="132" ht="24" customHeight="1">
      <c r="A132" s="83">
        <f>MAX(A$10:A131)+1</f>
        <v/>
      </c>
      <c r="B132" s="61">
        <f>IF(C132="","",IFERROR(VLOOKUP(C132,areaNomiBreviSquadre,7,FALSE),""))</f>
        <v/>
      </c>
      <c r="C132" s="62" t="n"/>
      <c r="D132" s="61">
        <f>IF(E132="","",IFERROR(VLOOKUP(E132,areaNomiBreviSquadre,7,FALSE),""))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IF($J132+$L132=0,,IF($J132&lt;$L132,IF($J132&amp;"-"&amp;$L132=MID(constPunteggioForfait,FIND("-",constPunteggioForfait)+1,LEN(constPunteggioForfait))&amp;"-"&amp;LEFT(constPunteggioForfait,FIND("-",constPunteggioForfait)-1),1,0),0))</f>
        <v/>
      </c>
      <c r="P132" s="67">
        <f>IF($J132+$L132=0,,IF($J132&lt;$L132,IF($J132&amp;"-"&amp;$L132&lt;&gt;MID(constPunteggioForfait,FIND("-",constPunteggioForfait)+1,LEN(constPunteggioForfait))&amp;"-"&amp;LEFT(constPunteggioForfait,FIND("-",constPunteggioForfait)-1),1,0),0))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IF($J132+$L132=0,,IF($L132&lt;$J132,IF($J132&amp;"-"&amp;$L132=constPunteggioForfait,1,0),0))</f>
        <v/>
      </c>
      <c r="W132" s="67">
        <f>IF($J132+$L132=0,,IF($L132&lt;$J132,IF($J132&amp;"-"&amp;$L132&lt;&gt;constPunteggioForfait,1,0),0))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IF(I133="","",HYPERLINK(VLOOKUP(I133,areaCampiSquadre,3,FALSE),VLOOKUP(I133,areaCampiSquadre,2,FALSE)))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81" t="inlineStr">
        <is>
          <t>Gara N.</t>
        </is>
      </c>
      <c r="B134" s="81" t="inlineStr">
        <is>
          <t>Squadra A</t>
        </is>
      </c>
      <c r="C134" s="10" t="n"/>
      <c r="D134" s="81" t="inlineStr">
        <is>
          <t>Squadra B</t>
        </is>
      </c>
      <c r="E134" s="10" t="n"/>
      <c r="F134" s="81" t="inlineStr">
        <is>
          <t>Giorno</t>
        </is>
      </c>
      <c r="G134" s="81" t="inlineStr">
        <is>
          <t>Data</t>
        </is>
      </c>
      <c r="H134" s="81" t="inlineStr">
        <is>
          <t>Ora</t>
        </is>
      </c>
      <c r="I134" s="10" t="n"/>
      <c r="J134" s="81" t="inlineStr">
        <is>
          <t>Risultato</t>
        </is>
      </c>
      <c r="K134" s="9" t="n"/>
      <c r="L134" s="10" t="n"/>
    </row>
    <row r="135" ht="24" customHeight="1">
      <c r="A135" s="83">
        <f>MAX(A$10:A134)+1</f>
        <v/>
      </c>
      <c r="B135" s="61">
        <f>IF(C135="","",IFERROR(VLOOKUP(C135,areaNomiBreviSquadre,7,FALSE),""))</f>
        <v/>
      </c>
      <c r="C135" s="62" t="n"/>
      <c r="D135" s="61">
        <f>IF(E135="","",IFERROR(VLOOKUP(E135,areaNomiBreviSquadre,7,FALSE),""))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IF($J135+$L135=0,,IF($J135&lt;$L135,IF($J135&amp;"-"&amp;$L135=MID(constPunteggioForfait,FIND("-",constPunteggioForfait)+1,LEN(constPunteggioForfait))&amp;"-"&amp;LEFT(constPunteggioForfait,FIND("-",constPunteggioForfait)-1),1,0),0))</f>
        <v/>
      </c>
      <c r="P135" s="67">
        <f>IF($J135+$L135=0,,IF($J135&lt;$L135,IF($J135&amp;"-"&amp;$L135&lt;&gt;MID(constPunteggioForfait,FIND("-",constPunteggioForfait)+1,LEN(constPunteggioForfait))&amp;"-"&amp;LEFT(constPunteggioForfait,FIND("-",constPunteggioForfait)-1),1,0),0))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IF($J135+$L135=0,,IF($L135&lt;$J135,IF($J135&amp;"-"&amp;$L135=constPunteggioForfait,1,0),0))</f>
        <v/>
      </c>
      <c r="W135" s="67">
        <f>IF($J135+$L135=0,,IF($L135&lt;$J135,IF($J135&amp;"-"&amp;$L135&lt;&gt;constPunteggioForfait,1,0),0))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IF(I136="","",HYPERLINK(VLOOKUP(I136,areaCampiSquadre,3,FALSE),VLOOKUP(I136,areaCampiSquadre,2,FALSE)))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81" t="inlineStr">
        <is>
          <t>Gara N.</t>
        </is>
      </c>
      <c r="B137" s="81" t="inlineStr">
        <is>
          <t>Squadra A</t>
        </is>
      </c>
      <c r="C137" s="10" t="n"/>
      <c r="D137" s="81" t="inlineStr">
        <is>
          <t>Squadra B</t>
        </is>
      </c>
      <c r="E137" s="10" t="n"/>
      <c r="F137" s="81" t="inlineStr">
        <is>
          <t>Giorno</t>
        </is>
      </c>
      <c r="G137" s="81" t="inlineStr">
        <is>
          <t>Data</t>
        </is>
      </c>
      <c r="H137" s="81" t="inlineStr">
        <is>
          <t>Ora</t>
        </is>
      </c>
      <c r="I137" s="10" t="n"/>
      <c r="J137" s="81" t="inlineStr">
        <is>
          <t>Risultato</t>
        </is>
      </c>
      <c r="K137" s="9" t="n"/>
      <c r="L137" s="10" t="n"/>
    </row>
    <row r="138" ht="24" customHeight="1">
      <c r="A138" s="83">
        <f>MAX(A$10:A137)+1</f>
        <v/>
      </c>
      <c r="B138" s="61">
        <f>IF(C138="","",IFERROR(VLOOKUP(C138,areaNomiBreviSquadre,7,FALSE),""))</f>
        <v/>
      </c>
      <c r="C138" s="62" t="n"/>
      <c r="D138" s="61">
        <f>IF(E138="","",IFERROR(VLOOKUP(E138,areaNomiBreviSquadre,7,FALSE),""))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81" t="inlineStr">
        <is>
          <t>Gara N.</t>
        </is>
      </c>
      <c r="B140" s="81" t="inlineStr">
        <is>
          <t>Squadra A</t>
        </is>
      </c>
      <c r="C140" s="10" t="n"/>
      <c r="D140" s="81" t="inlineStr">
        <is>
          <t>Squadra B</t>
        </is>
      </c>
      <c r="E140" s="10" t="n"/>
      <c r="F140" s="81" t="inlineStr">
        <is>
          <t>Giorno</t>
        </is>
      </c>
      <c r="G140" s="81" t="inlineStr">
        <is>
          <t>Data</t>
        </is>
      </c>
      <c r="H140" s="81" t="inlineStr">
        <is>
          <t>Ora</t>
        </is>
      </c>
      <c r="I140" s="10" t="n"/>
      <c r="J140" s="81" t="inlineStr">
        <is>
          <t>Risultato</t>
        </is>
      </c>
      <c r="K140" s="9" t="n"/>
      <c r="L140" s="10" t="n"/>
    </row>
    <row r="141" ht="24" customHeight="1">
      <c r="A141" s="83">
        <f>MAX(A$10:A140)+1</f>
        <v/>
      </c>
      <c r="B141" s="61">
        <f>IF(C141="","",IFERROR(VLOOKUP(C141,areaNomiBreviSquadre,7,FALSE),""))</f>
        <v/>
      </c>
      <c r="C141" s="62" t="n"/>
      <c r="D141" s="61">
        <f>IF(E141="","",IFERROR(VLOOKUP(E141,areaNomiBreviSquadre,7,FALSE),""))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78" t="inlineStr">
        <is>
          <t>9C</t>
        </is>
      </c>
      <c r="B144" s="79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81" t="inlineStr">
        <is>
          <t>Gara N.</t>
        </is>
      </c>
      <c r="B145" s="81" t="inlineStr">
        <is>
          <t>Squadra A</t>
        </is>
      </c>
      <c r="C145" s="10" t="n"/>
      <c r="D145" s="81" t="inlineStr">
        <is>
          <t>Squadra B</t>
        </is>
      </c>
      <c r="E145" s="10" t="n"/>
      <c r="F145" s="81" t="inlineStr">
        <is>
          <t>Giorno</t>
        </is>
      </c>
      <c r="G145" s="81" t="inlineStr">
        <is>
          <t>Data</t>
        </is>
      </c>
      <c r="H145" s="81" t="inlineStr">
        <is>
          <t>Ora</t>
        </is>
      </c>
      <c r="I145" s="10" t="n"/>
      <c r="J145" s="81" t="inlineStr">
        <is>
          <t>Risultato</t>
        </is>
      </c>
      <c r="K145" s="9" t="n"/>
      <c r="L145" s="10" t="n"/>
    </row>
    <row r="146" ht="24" customHeight="1">
      <c r="A146" s="83">
        <f>MAX(A$10:A145)+1</f>
        <v/>
      </c>
      <c r="B146" s="61">
        <f>IF(C146="","",IFERROR(VLOOKUP(C146,areaNomiBreviSquadre,7,FALSE),""))</f>
        <v/>
      </c>
      <c r="C146" s="62" t="n"/>
      <c r="D146" s="61">
        <f>IF(E146="","",IFERROR(VLOOKUP(E146,areaNomiBreviSquadre,7,FALSE),""))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IF($J146+$L146=0,,IF($J146&lt;$L146,IF($J146&amp;"-"&amp;$L146=MID(constPunteggioForfait,FIND("-",constPunteggioForfait)+1,LEN(constPunteggioForfait))&amp;"-"&amp;LEFT(constPunteggioForfait,FIND("-",constPunteggioForfait)-1),1,0),0))</f>
        <v/>
      </c>
      <c r="P146" s="67">
        <f>IF($J146+$L146=0,,IF($J146&lt;$L146,IF($J146&amp;"-"&amp;$L146&lt;&gt;MID(constPunteggioForfait,FIND("-",constPunteggioForfait)+1,LEN(constPunteggioForfait))&amp;"-"&amp;LEFT(constPunteggioForfait,FIND("-",constPunteggioForfait)-1),1,0),0))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IF($J146+$L146=0,,IF($L146&lt;$J146,IF($J146&amp;"-"&amp;$L146=constPunteggioForfait,1,0),0))</f>
        <v/>
      </c>
      <c r="W146" s="67">
        <f>IF($J146+$L146=0,,IF($L146&lt;$J146,IF($J146&amp;"-"&amp;$L146&lt;&gt;constPunteggioForfait,1,0),0))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IF(I147="","",HYPERLINK(VLOOKUP(I147,areaCampiSquadre,3,FALSE),VLOOKUP(I147,areaCampiSquadre,2,FALSE)))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81" t="inlineStr">
        <is>
          <t>Gara N.</t>
        </is>
      </c>
      <c r="B148" s="81" t="inlineStr">
        <is>
          <t>Squadra A</t>
        </is>
      </c>
      <c r="C148" s="10" t="n"/>
      <c r="D148" s="81" t="inlineStr">
        <is>
          <t>Squadra B</t>
        </is>
      </c>
      <c r="E148" s="10" t="n"/>
      <c r="F148" s="81" t="inlineStr">
        <is>
          <t>Giorno</t>
        </is>
      </c>
      <c r="G148" s="81" t="inlineStr">
        <is>
          <t>Data</t>
        </is>
      </c>
      <c r="H148" s="81" t="inlineStr">
        <is>
          <t>Ora</t>
        </is>
      </c>
      <c r="I148" s="10" t="n"/>
      <c r="J148" s="81" t="inlineStr">
        <is>
          <t>Risultato</t>
        </is>
      </c>
      <c r="K148" s="9" t="n"/>
      <c r="L148" s="10" t="n"/>
    </row>
    <row r="149" ht="24" customHeight="1">
      <c r="A149" s="83">
        <f>MAX(A$10:A148)+1</f>
        <v/>
      </c>
      <c r="B149" s="61">
        <f>IF(C149="","",IFERROR(VLOOKUP(C149,areaNomiBreviSquadre,7,FALSE),""))</f>
        <v/>
      </c>
      <c r="C149" s="62" t="n"/>
      <c r="D149" s="61">
        <f>IF(E149="","",IFERROR(VLOOKUP(E149,areaNomiBreviSquadre,7,FALSE),""))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IF($J149+$L149=0,,IF($J149&lt;$L149,IF($J149&amp;"-"&amp;$L149=MID(constPunteggioForfait,FIND("-",constPunteggioForfait)+1,LEN(constPunteggioForfait))&amp;"-"&amp;LEFT(constPunteggioForfait,FIND("-",constPunteggioForfait)-1),1,0),0))</f>
        <v/>
      </c>
      <c r="P149" s="67">
        <f>IF($J149+$L149=0,,IF($J149&lt;$L149,IF($J149&amp;"-"&amp;$L149&lt;&gt;MID(constPunteggioForfait,FIND("-",constPunteggioForfait)+1,LEN(constPunteggioForfait))&amp;"-"&amp;LEFT(constPunteggioForfait,FIND("-",constPunteggioForfait)-1),1,0),0))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IF($J149+$L149=0,,IF($L149&lt;$J149,IF($J149&amp;"-"&amp;$L149=constPunteggioForfait,1,0),0))</f>
        <v/>
      </c>
      <c r="W149" s="67">
        <f>IF($J149+$L149=0,,IF($L149&lt;$J149,IF($J149&amp;"-"&amp;$L149&lt;&gt;constPunteggioForfait,1,0),0))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IF(I150="","",HYPERLINK(VLOOKUP(I150,areaCampiSquadre,3,FALSE),VLOOKUP(I150,areaCampiSquadre,2,FALSE)))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81" t="inlineStr">
        <is>
          <t>Gara N.</t>
        </is>
      </c>
      <c r="B151" s="81" t="inlineStr">
        <is>
          <t>Squadra A</t>
        </is>
      </c>
      <c r="C151" s="10" t="n"/>
      <c r="D151" s="81" t="inlineStr">
        <is>
          <t>Squadra B</t>
        </is>
      </c>
      <c r="E151" s="10" t="n"/>
      <c r="F151" s="81" t="inlineStr">
        <is>
          <t>Giorno</t>
        </is>
      </c>
      <c r="G151" s="81" t="inlineStr">
        <is>
          <t>Data</t>
        </is>
      </c>
      <c r="H151" s="81" t="inlineStr">
        <is>
          <t>Ora</t>
        </is>
      </c>
      <c r="I151" s="10" t="n"/>
      <c r="J151" s="81" t="inlineStr">
        <is>
          <t>Risultato</t>
        </is>
      </c>
      <c r="K151" s="9" t="n"/>
      <c r="L151" s="10" t="n"/>
    </row>
    <row r="152" ht="24" customHeight="1">
      <c r="A152" s="83">
        <f>MAX(A$10:A151)+1</f>
        <v/>
      </c>
      <c r="B152" s="61">
        <f>IF(C152="","",IFERROR(VLOOKUP(C152,areaNomiBreviSquadre,7,FALSE),""))</f>
        <v/>
      </c>
      <c r="C152" s="62" t="n"/>
      <c r="D152" s="61">
        <f>IF(E152="","",IFERROR(VLOOKUP(E152,areaNomiBreviSquadre,7,FALSE),""))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IF($J152+$L152=0,,IF($J152&lt;$L152,IF($J152&amp;"-"&amp;$L152=MID(constPunteggioForfait,FIND("-",constPunteggioForfait)+1,LEN(constPunteggioForfait))&amp;"-"&amp;LEFT(constPunteggioForfait,FIND("-",constPunteggioForfait)-1),1,0),0))</f>
        <v/>
      </c>
      <c r="P152" s="67">
        <f>IF($J152+$L152=0,,IF($J152&lt;$L152,IF($J152&amp;"-"&amp;$L152&lt;&gt;MID(constPunteggioForfait,FIND("-",constPunteggioForfait)+1,LEN(constPunteggioForfait))&amp;"-"&amp;LEFT(constPunteggioForfait,FIND("-",constPunteggioForfait)-1),1,0),0))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IF($J152+$L152=0,,IF($L152&lt;$J152,IF($J152&amp;"-"&amp;$L152=constPunteggioForfait,1,0),0))</f>
        <v/>
      </c>
      <c r="W152" s="67">
        <f>IF($J152+$L152=0,,IF($L152&lt;$J152,IF($J152&amp;"-"&amp;$L152&lt;&gt;constPunteggioForfait,1,0),0))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IF(I153="","",HYPERLINK(VLOOKUP(I153,areaCampiSquadre,3,FALSE),VLOOKUP(I153,areaCampiSquadre,2,FALSE)))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81" t="inlineStr">
        <is>
          <t>Gara N.</t>
        </is>
      </c>
      <c r="B154" s="81" t="inlineStr">
        <is>
          <t>Squadra A</t>
        </is>
      </c>
      <c r="C154" s="10" t="n"/>
      <c r="D154" s="81" t="inlineStr">
        <is>
          <t>Squadra B</t>
        </is>
      </c>
      <c r="E154" s="10" t="n"/>
      <c r="F154" s="81" t="inlineStr">
        <is>
          <t>Giorno</t>
        </is>
      </c>
      <c r="G154" s="81" t="inlineStr">
        <is>
          <t>Data</t>
        </is>
      </c>
      <c r="H154" s="81" t="inlineStr">
        <is>
          <t>Ora</t>
        </is>
      </c>
      <c r="I154" s="10" t="n"/>
      <c r="J154" s="81" t="inlineStr">
        <is>
          <t>Risultato</t>
        </is>
      </c>
      <c r="K154" s="9" t="n"/>
      <c r="L154" s="10" t="n"/>
    </row>
    <row r="155" ht="24" customHeight="1">
      <c r="A155" s="83">
        <f>MAX(A$10:A154)+1</f>
        <v/>
      </c>
      <c r="B155" s="61">
        <f>IF(C155="","",IFERROR(VLOOKUP(C155,areaNomiBreviSquadre,7,FALSE),""))</f>
        <v/>
      </c>
      <c r="C155" s="62" t="n"/>
      <c r="D155" s="61">
        <f>IF(E155="","",IFERROR(VLOOKUP(E155,areaNomiBreviSquadre,7,FALSE),""))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IF($J155+$L155=0,,IF($J155&lt;$L155,IF($J155&amp;"-"&amp;$L155=MID(constPunteggioForfait,FIND("-",constPunteggioForfait)+1,LEN(constPunteggioForfait))&amp;"-"&amp;LEFT(constPunteggioForfait,FIND("-",constPunteggioForfait)-1),1,0),0))</f>
        <v/>
      </c>
      <c r="P155" s="67">
        <f>IF($J155+$L155=0,,IF($J155&lt;$L155,IF($J155&amp;"-"&amp;$L155&lt;&gt;MID(constPunteggioForfait,FIND("-",constPunteggioForfait)+1,LEN(constPunteggioForfait))&amp;"-"&amp;LEFT(constPunteggioForfait,FIND("-",constPunteggioForfait)-1),1,0),0))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IF($J155+$L155=0,,IF($L155&lt;$J155,IF($J155&amp;"-"&amp;$L155=constPunteggioForfait,1,0),0))</f>
        <v/>
      </c>
      <c r="W155" s="67">
        <f>IF($J155+$L155=0,,IF($L155&lt;$J155,IF($J155&amp;"-"&amp;$L155&lt;&gt;constPunteggioForfait,1,0),0))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IF(I156="","",HYPERLINK(VLOOKUP(I156,areaCampiSquadre,3,FALSE),VLOOKUP(I156,areaCampiSquadre,2,FALSE)))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81" t="inlineStr">
        <is>
          <t>Gara N.</t>
        </is>
      </c>
      <c r="B157" s="81" t="inlineStr">
        <is>
          <t>Squadra A</t>
        </is>
      </c>
      <c r="C157" s="10" t="n"/>
      <c r="D157" s="81" t="inlineStr">
        <is>
          <t>Squadra B</t>
        </is>
      </c>
      <c r="E157" s="10" t="n"/>
      <c r="F157" s="81" t="inlineStr">
        <is>
          <t>Giorno</t>
        </is>
      </c>
      <c r="G157" s="81" t="inlineStr">
        <is>
          <t>Data</t>
        </is>
      </c>
      <c r="H157" s="81" t="inlineStr">
        <is>
          <t>Ora</t>
        </is>
      </c>
      <c r="I157" s="10" t="n"/>
      <c r="J157" s="81" t="inlineStr">
        <is>
          <t>Risultato</t>
        </is>
      </c>
      <c r="K157" s="9" t="n"/>
      <c r="L157" s="10" t="n"/>
    </row>
    <row r="158" ht="24" customHeight="1">
      <c r="A158" s="83">
        <f>MAX(A$10:A157)+1</f>
        <v/>
      </c>
      <c r="B158" s="61">
        <f>IF(C158="","",IFERROR(VLOOKUP(C158,areaNomiBreviSquadre,7,FALSE),""))</f>
        <v/>
      </c>
      <c r="C158" s="62" t="n"/>
      <c r="D158" s="61">
        <f>IF(E158="","",IFERROR(VLOOKUP(E158,areaNomiBreviSquadre,7,FALSE),""))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IF($J158+$L158=0,,IF($J158&lt;$L158,IF($J158&amp;"-"&amp;$L158=MID(constPunteggioForfait,FIND("-",constPunteggioForfait)+1,LEN(constPunteggioForfait))&amp;"-"&amp;LEFT(constPunteggioForfait,FIND("-",constPunteggioForfait)-1),1,0),0))</f>
        <v/>
      </c>
      <c r="P158" s="67">
        <f>IF($J158+$L158=0,,IF($J158&lt;$L158,IF($J158&amp;"-"&amp;$L158&lt;&gt;MID(constPunteggioForfait,FIND("-",constPunteggioForfait)+1,LEN(constPunteggioForfait))&amp;"-"&amp;LEFT(constPunteggioForfait,FIND("-",constPunteggioForfait)-1),1,0),0))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IF($J158+$L158=0,,IF($L158&lt;$J158,IF($J158&amp;"-"&amp;$L158=constPunteggioForfait,1,0),0))</f>
        <v/>
      </c>
      <c r="W158" s="67">
        <f>IF($J158+$L158=0,,IF($L158&lt;$J158,IF($J158&amp;"-"&amp;$L158&lt;&gt;constPunteggioForfait,1,0),0))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IF(I159="","",HYPERLINK(VLOOKUP(I159,areaCampiSquadre,3,FALSE),VLOOKUP(I159,areaCampiSquadre,2,FALSE)))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tabColor rgb="FF5A7896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 t="str">
        <f>IFERROR(IMAGE(constLogo1),"")</f>
        <v/>
      </c>
      <c r="I1" t="str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84">
        <f>"GIRONE "&amp;UPPER($O$3)&amp;" - Stagione "&amp;constStagionaCampionato</f>
        <v/>
      </c>
      <c r="M3" t="str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85" t="inlineStr">
        <is>
          <t>1D</t>
        </is>
      </c>
      <c r="B8" s="8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88" t="inlineStr">
        <is>
          <t>Gara N.</t>
        </is>
      </c>
      <c r="B9" s="88" t="inlineStr">
        <is>
          <t>Squadra A</t>
        </is>
      </c>
      <c r="C9" s="10" t="n"/>
      <c r="D9" s="88" t="inlineStr">
        <is>
          <t>Squadra B</t>
        </is>
      </c>
      <c r="E9" s="10" t="n"/>
      <c r="F9" s="88" t="inlineStr">
        <is>
          <t>Giorno</t>
        </is>
      </c>
      <c r="G9" s="88" t="inlineStr">
        <is>
          <t>Data</t>
        </is>
      </c>
      <c r="H9" s="88" t="inlineStr">
        <is>
          <t>Ora</t>
        </is>
      </c>
      <c r="I9" s="10" t="n"/>
      <c r="J9" s="88" t="inlineStr">
        <is>
          <t>Risultato</t>
        </is>
      </c>
      <c r="K9" s="9" t="n"/>
      <c r="L9" s="10" t="n"/>
    </row>
    <row r="10" ht="24" customHeight="1">
      <c r="A10" s="90" t="n">
        <v>136</v>
      </c>
      <c r="B10" s="61">
        <f>IF(C10="","",IFERROR(VLOOKUP(C10,areaNomiBreviSquadre,7,FALSE),""))</f>
        <v/>
      </c>
      <c r="C10" s="62" t="n"/>
      <c r="D10" s="61">
        <f>IF(E10="","",IFERROR(VLOOKUP(E10,areaNomiBreviSquadre,7,FALSE),""))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88" t="inlineStr">
        <is>
          <t>Gara N.</t>
        </is>
      </c>
      <c r="B12" s="88" t="inlineStr">
        <is>
          <t>Squadra A</t>
        </is>
      </c>
      <c r="C12" s="10" t="n"/>
      <c r="D12" s="88" t="inlineStr">
        <is>
          <t>Squadra B</t>
        </is>
      </c>
      <c r="E12" s="10" t="n"/>
      <c r="F12" s="88" t="inlineStr">
        <is>
          <t>Giorno</t>
        </is>
      </c>
      <c r="G12" s="88" t="inlineStr">
        <is>
          <t>Data</t>
        </is>
      </c>
      <c r="H12" s="88" t="inlineStr">
        <is>
          <t>Ora</t>
        </is>
      </c>
      <c r="I12" s="10" t="n"/>
      <c r="J12" s="88" t="inlineStr">
        <is>
          <t>Risultato</t>
        </is>
      </c>
      <c r="K12" s="9" t="n"/>
      <c r="L12" s="10" t="n"/>
    </row>
    <row r="13" ht="24" customHeight="1">
      <c r="A13" s="90">
        <f>MAX(A$10:A12)+1</f>
        <v/>
      </c>
      <c r="B13" s="61">
        <f>IF(C13="","",IFERROR(VLOOKUP(C13,areaNomiBreviSquadre,7,FALSE),""))</f>
        <v/>
      </c>
      <c r="C13" s="62" t="n"/>
      <c r="D13" s="61">
        <f>IF(E13="","",IFERROR(VLOOKUP(E13,areaNomiBreviSquadre,7,FALSE),""))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88" t="inlineStr">
        <is>
          <t>Gara N.</t>
        </is>
      </c>
      <c r="B15" s="88" t="inlineStr">
        <is>
          <t>Squadra A</t>
        </is>
      </c>
      <c r="C15" s="10" t="n"/>
      <c r="D15" s="88" t="inlineStr">
        <is>
          <t>Squadra B</t>
        </is>
      </c>
      <c r="E15" s="10" t="n"/>
      <c r="F15" s="88" t="inlineStr">
        <is>
          <t>Giorno</t>
        </is>
      </c>
      <c r="G15" s="88" t="inlineStr">
        <is>
          <t>Data</t>
        </is>
      </c>
      <c r="H15" s="88" t="inlineStr">
        <is>
          <t>Ora</t>
        </is>
      </c>
      <c r="I15" s="10" t="n"/>
      <c r="J15" s="88" t="inlineStr">
        <is>
          <t>Risultato</t>
        </is>
      </c>
      <c r="K15" s="9" t="n"/>
      <c r="L15" s="10" t="n"/>
    </row>
    <row r="16" ht="24" customHeight="1">
      <c r="A16" s="90">
        <f>MAX(A$10:A15)+1</f>
        <v/>
      </c>
      <c r="B16" s="61">
        <f>IF(C16="","",IFERROR(VLOOKUP(C16,areaNomiBreviSquadre,7,FALSE),""))</f>
        <v/>
      </c>
      <c r="C16" s="62" t="n"/>
      <c r="D16" s="61">
        <f>IF(E16="","",IFERROR(VLOOKUP(E16,areaNomiBreviSquadre,7,FALSE),""))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88" t="inlineStr">
        <is>
          <t>Gara N.</t>
        </is>
      </c>
      <c r="B18" s="88" t="inlineStr">
        <is>
          <t>Squadra A</t>
        </is>
      </c>
      <c r="C18" s="10" t="n"/>
      <c r="D18" s="88" t="inlineStr">
        <is>
          <t>Squadra B</t>
        </is>
      </c>
      <c r="E18" s="10" t="n"/>
      <c r="F18" s="88" t="inlineStr">
        <is>
          <t>Giorno</t>
        </is>
      </c>
      <c r="G18" s="88" t="inlineStr">
        <is>
          <t>Data</t>
        </is>
      </c>
      <c r="H18" s="88" t="inlineStr">
        <is>
          <t>Ora</t>
        </is>
      </c>
      <c r="I18" s="10" t="n"/>
      <c r="J18" s="88" t="inlineStr">
        <is>
          <t>Risultato</t>
        </is>
      </c>
      <c r="K18" s="9" t="n"/>
      <c r="L18" s="10" t="n"/>
    </row>
    <row r="19" ht="24" customHeight="1">
      <c r="A19" s="90">
        <f>MAX(A$10:A18)+1</f>
        <v/>
      </c>
      <c r="B19" s="61">
        <f>IF(C19="","",IFERROR(VLOOKUP(C19,areaNomiBreviSquadre,7,FALSE),""))</f>
        <v/>
      </c>
      <c r="C19" s="62" t="n"/>
      <c r="D19" s="61">
        <f>IF(E19="","",IFERROR(VLOOKUP(E19,areaNomiBreviSquadre,7,FALSE),""))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88" t="inlineStr">
        <is>
          <t>Gara N.</t>
        </is>
      </c>
      <c r="B21" s="88" t="inlineStr">
        <is>
          <t>Squadra A</t>
        </is>
      </c>
      <c r="C21" s="10" t="n"/>
      <c r="D21" s="88" t="inlineStr">
        <is>
          <t>Squadra B</t>
        </is>
      </c>
      <c r="E21" s="10" t="n"/>
      <c r="F21" s="88" t="inlineStr">
        <is>
          <t>Giorno</t>
        </is>
      </c>
      <c r="G21" s="88" t="inlineStr">
        <is>
          <t>Data</t>
        </is>
      </c>
      <c r="H21" s="88" t="inlineStr">
        <is>
          <t>Ora</t>
        </is>
      </c>
      <c r="I21" s="10" t="n"/>
      <c r="J21" s="88" t="inlineStr">
        <is>
          <t>Risultato</t>
        </is>
      </c>
      <c r="K21" s="9" t="n"/>
      <c r="L21" s="10" t="n"/>
    </row>
    <row r="22" ht="24" customHeight="1">
      <c r="A22" s="90">
        <f>MAX(A$10:A21)+1</f>
        <v/>
      </c>
      <c r="B22" s="61">
        <f>IF(C22="","",IFERROR(VLOOKUP(C22,areaNomiBreviSquadre,7,FALSE),""))</f>
        <v/>
      </c>
      <c r="C22" s="62" t="n"/>
      <c r="D22" s="61">
        <f>IF(E22="","",IFERROR(VLOOKUP(E22,areaNomiBreviSquadre,7,FALSE),""))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85" t="inlineStr">
        <is>
          <t>2D</t>
        </is>
      </c>
      <c r="B25" s="86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88" t="inlineStr">
        <is>
          <t>Gara N.</t>
        </is>
      </c>
      <c r="B26" s="88" t="inlineStr">
        <is>
          <t>Squadra A</t>
        </is>
      </c>
      <c r="C26" s="10" t="n"/>
      <c r="D26" s="88" t="inlineStr">
        <is>
          <t>Squadra B</t>
        </is>
      </c>
      <c r="E26" s="10" t="n"/>
      <c r="F26" s="88" t="inlineStr">
        <is>
          <t>Giorno</t>
        </is>
      </c>
      <c r="G26" s="88" t="inlineStr">
        <is>
          <t>Data</t>
        </is>
      </c>
      <c r="H26" s="88" t="inlineStr">
        <is>
          <t>Ora</t>
        </is>
      </c>
      <c r="I26" s="10" t="n"/>
      <c r="J26" s="88" t="inlineStr">
        <is>
          <t>Risultato</t>
        </is>
      </c>
      <c r="K26" s="9" t="n"/>
      <c r="L26" s="10" t="n"/>
    </row>
    <row r="27" ht="24" customHeight="1">
      <c r="A27" s="90">
        <f>MAX(A$10:A26)+1</f>
        <v/>
      </c>
      <c r="B27" s="61">
        <f>IF(C27="","",IFERROR(VLOOKUP(C27,areaNomiBreviSquadre,7,FALSE),""))</f>
        <v/>
      </c>
      <c r="C27" s="62" t="n"/>
      <c r="D27" s="61">
        <f>IF(E27="","",IFERROR(VLOOKUP(E27,areaNomiBreviSquadre,7,FALSE),""))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IF($J27+$L27=0,,IF($J27&lt;$L27,IF($J27&amp;"-"&amp;$L27=MID(constPunteggioForfait,FIND("-",constPunteggioForfait)+1,LEN(constPunteggioForfait))&amp;"-"&amp;LEFT(constPunteggioForfait,FIND("-",constPunteggioForfait)-1),1,0),0))</f>
        <v/>
      </c>
      <c r="P27" s="67">
        <f>IF($J27+$L27=0,,IF($J27&lt;$L27,IF($J27&amp;"-"&amp;$L27&lt;&gt;MID(constPunteggioForfait,FIND("-",constPunteggioForfait)+1,LEN(constPunteggioForfait))&amp;"-"&amp;LEFT(constPunteggioForfait,FIND("-",constPunteggioForfait)-1),1,0),0))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IF($J27+$L27=0,,IF($L27&lt;$J27,IF($J27&amp;"-"&amp;$L27=constPunteggioForfait,1,0),0))</f>
        <v/>
      </c>
      <c r="W27" s="67">
        <f>IF($J27+$L27=0,,IF($L27&lt;$J27,IF($J27&amp;"-"&amp;$L27&lt;&gt;constPunteggioForfait,1,0),0))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IF(I28="","",HYPERLINK(VLOOKUP(I28,areaCampiSquadre,3,FALSE),VLOOKUP(I28,areaCampiSquadre,2,FALSE)))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88" t="inlineStr">
        <is>
          <t>Gara N.</t>
        </is>
      </c>
      <c r="B29" s="88" t="inlineStr">
        <is>
          <t>Squadra A</t>
        </is>
      </c>
      <c r="C29" s="10" t="n"/>
      <c r="D29" s="88" t="inlineStr">
        <is>
          <t>Squadra B</t>
        </is>
      </c>
      <c r="E29" s="10" t="n"/>
      <c r="F29" s="88" t="inlineStr">
        <is>
          <t>Giorno</t>
        </is>
      </c>
      <c r="G29" s="88" t="inlineStr">
        <is>
          <t>Data</t>
        </is>
      </c>
      <c r="H29" s="88" t="inlineStr">
        <is>
          <t>Ora</t>
        </is>
      </c>
      <c r="I29" s="10" t="n"/>
      <c r="J29" s="88" t="inlineStr">
        <is>
          <t>Risultato</t>
        </is>
      </c>
      <c r="K29" s="9" t="n"/>
      <c r="L29" s="10" t="n"/>
    </row>
    <row r="30" ht="24" customHeight="1">
      <c r="A30" s="90">
        <f>MAX(A$10:A29)+1</f>
        <v/>
      </c>
      <c r="B30" s="61">
        <f>IF(C30="","",IFERROR(VLOOKUP(C30,areaNomiBreviSquadre,7,FALSE),""))</f>
        <v/>
      </c>
      <c r="C30" s="62" t="n"/>
      <c r="D30" s="61">
        <f>IF(E30="","",IFERROR(VLOOKUP(E30,areaNomiBreviSquadre,7,FALSE),""))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IF($J30+$L30=0,,IF($J30&lt;$L30,IF($J30&amp;"-"&amp;$L30=MID(constPunteggioForfait,FIND("-",constPunteggioForfait)+1,LEN(constPunteggioForfait))&amp;"-"&amp;LEFT(constPunteggioForfait,FIND("-",constPunteggioForfait)-1),1,0),0))</f>
        <v/>
      </c>
      <c r="P30" s="67">
        <f>IF($J30+$L30=0,,IF($J30&lt;$L30,IF($J30&amp;"-"&amp;$L30&lt;&gt;MID(constPunteggioForfait,FIND("-",constPunteggioForfait)+1,LEN(constPunteggioForfait))&amp;"-"&amp;LEFT(constPunteggioForfait,FIND("-",constPunteggioForfait)-1),1,0),0))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IF($J30+$L30=0,,IF($L30&lt;$J30,IF($J30&amp;"-"&amp;$L30=constPunteggioForfait,1,0),0))</f>
        <v/>
      </c>
      <c r="W30" s="67">
        <f>IF($J30+$L30=0,,IF($L30&lt;$J30,IF($J30&amp;"-"&amp;$L30&lt;&gt;constPunteggioForfait,1,0),0))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IF(I31="","",HYPERLINK(VLOOKUP(I31,areaCampiSquadre,3,FALSE),VLOOKUP(I31,areaCampiSquadre,2,FALSE)))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88" t="inlineStr">
        <is>
          <t>Gara N.</t>
        </is>
      </c>
      <c r="B32" s="88" t="inlineStr">
        <is>
          <t>Squadra A</t>
        </is>
      </c>
      <c r="C32" s="10" t="n"/>
      <c r="D32" s="88" t="inlineStr">
        <is>
          <t>Squadra B</t>
        </is>
      </c>
      <c r="E32" s="10" t="n"/>
      <c r="F32" s="88" t="inlineStr">
        <is>
          <t>Giorno</t>
        </is>
      </c>
      <c r="G32" s="88" t="inlineStr">
        <is>
          <t>Data</t>
        </is>
      </c>
      <c r="H32" s="88" t="inlineStr">
        <is>
          <t>Ora</t>
        </is>
      </c>
      <c r="I32" s="10" t="n"/>
      <c r="J32" s="88" t="inlineStr">
        <is>
          <t>Risultato</t>
        </is>
      </c>
      <c r="K32" s="9" t="n"/>
      <c r="L32" s="10" t="n"/>
    </row>
    <row r="33" ht="24" customHeight="1">
      <c r="A33" s="90">
        <f>MAX(A$10:A32)+1</f>
        <v/>
      </c>
      <c r="B33" s="61">
        <f>IF(C33="","",IFERROR(VLOOKUP(C33,areaNomiBreviSquadre,7,FALSE),""))</f>
        <v/>
      </c>
      <c r="C33" s="62" t="n"/>
      <c r="D33" s="61">
        <f>IF(E33="","",IFERROR(VLOOKUP(E33,areaNomiBreviSquadre,7,FALSE),""))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IF($J33+$L33=0,,IF($J33&lt;$L33,IF($J33&amp;"-"&amp;$L33=MID(constPunteggioForfait,FIND("-",constPunteggioForfait)+1,LEN(constPunteggioForfait))&amp;"-"&amp;LEFT(constPunteggioForfait,FIND("-",constPunteggioForfait)-1),1,0),0))</f>
        <v/>
      </c>
      <c r="P33" s="67">
        <f>IF($J33+$L33=0,,IF($J33&lt;$L33,IF($J33&amp;"-"&amp;$L33&lt;&gt;MID(constPunteggioForfait,FIND("-",constPunteggioForfait)+1,LEN(constPunteggioForfait))&amp;"-"&amp;LEFT(constPunteggioForfait,FIND("-",constPunteggioForfait)-1),1,0),0))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IF($J33+$L33=0,,IF($L33&lt;$J33,IF($J33&amp;"-"&amp;$L33=constPunteggioForfait,1,0),0))</f>
        <v/>
      </c>
      <c r="W33" s="67">
        <f>IF($J33+$L33=0,,IF($L33&lt;$J33,IF($J33&amp;"-"&amp;$L33&lt;&gt;constPunteggioForfait,1,0),0))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IF(I34="","",HYPERLINK(VLOOKUP(I34,areaCampiSquadre,3,FALSE),VLOOKUP(I34,areaCampiSquadre,2,FALSE)))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88" t="inlineStr">
        <is>
          <t>Gara N.</t>
        </is>
      </c>
      <c r="B35" s="88" t="inlineStr">
        <is>
          <t>Squadra A</t>
        </is>
      </c>
      <c r="C35" s="10" t="n"/>
      <c r="D35" s="88" t="inlineStr">
        <is>
          <t>Squadra B</t>
        </is>
      </c>
      <c r="E35" s="10" t="n"/>
      <c r="F35" s="88" t="inlineStr">
        <is>
          <t>Giorno</t>
        </is>
      </c>
      <c r="G35" s="88" t="inlineStr">
        <is>
          <t>Data</t>
        </is>
      </c>
      <c r="H35" s="88" t="inlineStr">
        <is>
          <t>Ora</t>
        </is>
      </c>
      <c r="I35" s="10" t="n"/>
      <c r="J35" s="88" t="inlineStr">
        <is>
          <t>Risultato</t>
        </is>
      </c>
      <c r="K35" s="9" t="n"/>
      <c r="L35" s="10" t="n"/>
    </row>
    <row r="36" ht="24" customHeight="1">
      <c r="A36" s="90">
        <f>MAX(A$10:A35)+1</f>
        <v/>
      </c>
      <c r="B36" s="61">
        <f>IF(C36="","",IFERROR(VLOOKUP(C36,areaNomiBreviSquadre,7,FALSE),""))</f>
        <v/>
      </c>
      <c r="C36" s="62" t="n"/>
      <c r="D36" s="61">
        <f>IF(E36="","",IFERROR(VLOOKUP(E36,areaNomiBreviSquadre,7,FALSE),""))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IF($J36+$L36=0,,IF($J36&lt;$L36,IF($J36&amp;"-"&amp;$L36=MID(constPunteggioForfait,FIND("-",constPunteggioForfait)+1,LEN(constPunteggioForfait))&amp;"-"&amp;LEFT(constPunteggioForfait,FIND("-",constPunteggioForfait)-1),1,0),0))</f>
        <v/>
      </c>
      <c r="P36" s="67">
        <f>IF($J36+$L36=0,,IF($J36&lt;$L36,IF($J36&amp;"-"&amp;$L36&lt;&gt;MID(constPunteggioForfait,FIND("-",constPunteggioForfait)+1,LEN(constPunteggioForfait))&amp;"-"&amp;LEFT(constPunteggioForfait,FIND("-",constPunteggioForfait)-1),1,0),0))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IF($J36+$L36=0,,IF($L36&lt;$J36,IF($J36&amp;"-"&amp;$L36=constPunteggioForfait,1,0),0))</f>
        <v/>
      </c>
      <c r="W36" s="67">
        <f>IF($J36+$L36=0,,IF($L36&lt;$J36,IF($J36&amp;"-"&amp;$L36&lt;&gt;constPunteggioForfait,1,0),0))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IF(I37="","",HYPERLINK(VLOOKUP(I37,areaCampiSquadre,3,FALSE),VLOOKUP(I37,areaCampiSquadre,2,FALSE)))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88" t="inlineStr">
        <is>
          <t>Gara N.</t>
        </is>
      </c>
      <c r="B38" s="88" t="inlineStr">
        <is>
          <t>Squadra A</t>
        </is>
      </c>
      <c r="C38" s="10" t="n"/>
      <c r="D38" s="88" t="inlineStr">
        <is>
          <t>Squadra B</t>
        </is>
      </c>
      <c r="E38" s="10" t="n"/>
      <c r="F38" s="88" t="inlineStr">
        <is>
          <t>Giorno</t>
        </is>
      </c>
      <c r="G38" s="88" t="inlineStr">
        <is>
          <t>Data</t>
        </is>
      </c>
      <c r="H38" s="88" t="inlineStr">
        <is>
          <t>Ora</t>
        </is>
      </c>
      <c r="I38" s="10" t="n"/>
      <c r="J38" s="88" t="inlineStr">
        <is>
          <t>Risultato</t>
        </is>
      </c>
      <c r="K38" s="9" t="n"/>
      <c r="L38" s="10" t="n"/>
    </row>
    <row r="39" ht="24" customHeight="1">
      <c r="A39" s="90">
        <f>MAX(A$10:A38)+1</f>
        <v/>
      </c>
      <c r="B39" s="61">
        <f>IF(C39="","",IFERROR(VLOOKUP(C39,areaNomiBreviSquadre,7,FALSE),""))</f>
        <v/>
      </c>
      <c r="C39" s="62" t="n"/>
      <c r="D39" s="61">
        <f>IF(E39="","",IFERROR(VLOOKUP(E39,areaNomiBreviSquadre,7,FALSE),""))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IF($J39+$L39=0,,IF($J39&lt;$L39,IF($J39&amp;"-"&amp;$L39=MID(constPunteggioForfait,FIND("-",constPunteggioForfait)+1,LEN(constPunteggioForfait))&amp;"-"&amp;LEFT(constPunteggioForfait,FIND("-",constPunteggioForfait)-1),1,0),0))</f>
        <v/>
      </c>
      <c r="P39" s="67">
        <f>IF($J39+$L39=0,,IF($J39&lt;$L39,IF($J39&amp;"-"&amp;$L39&lt;&gt;MID(constPunteggioForfait,FIND("-",constPunteggioForfait)+1,LEN(constPunteggioForfait))&amp;"-"&amp;LEFT(constPunteggioForfait,FIND("-",constPunteggioForfait)-1),1,0),0))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IF($J39+$L39=0,,IF($L39&lt;$J39,IF($J39&amp;"-"&amp;$L39=constPunteggioForfait,1,0),0))</f>
        <v/>
      </c>
      <c r="W39" s="67">
        <f>IF($J39+$L39=0,,IF($L39&lt;$J39,IF($J39&amp;"-"&amp;$L39&lt;&gt;constPunteggioForfait,1,0),0))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IF(I40="","",HYPERLINK(VLOOKUP(I40,areaCampiSquadre,3,FALSE),VLOOKUP(I40,areaCampiSquadre,2,FALSE)))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85" t="inlineStr">
        <is>
          <t>3D</t>
        </is>
      </c>
      <c r="B42" s="86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88" t="inlineStr">
        <is>
          <t>Gara N.</t>
        </is>
      </c>
      <c r="B43" s="88" t="inlineStr">
        <is>
          <t>Squadra A</t>
        </is>
      </c>
      <c r="C43" s="10" t="n"/>
      <c r="D43" s="88" t="inlineStr">
        <is>
          <t>Squadra B</t>
        </is>
      </c>
      <c r="E43" s="10" t="n"/>
      <c r="F43" s="88" t="inlineStr">
        <is>
          <t>Giorno</t>
        </is>
      </c>
      <c r="G43" s="88" t="inlineStr">
        <is>
          <t>Data</t>
        </is>
      </c>
      <c r="H43" s="88" t="inlineStr">
        <is>
          <t>Ora</t>
        </is>
      </c>
      <c r="I43" s="10" t="n"/>
      <c r="J43" s="88" t="inlineStr">
        <is>
          <t>Risultato</t>
        </is>
      </c>
      <c r="K43" s="9" t="n"/>
      <c r="L43" s="10" t="n"/>
    </row>
    <row r="44" ht="24" customHeight="1">
      <c r="A44" s="90">
        <f>MAX(A$10:A43)+1</f>
        <v/>
      </c>
      <c r="B44" s="61">
        <f>IF(C44="","",IFERROR(VLOOKUP(C44,areaNomiBreviSquadre,7,FALSE),""))</f>
        <v/>
      </c>
      <c r="C44" s="62" t="n"/>
      <c r="D44" s="61">
        <f>IF(E44="","",IFERROR(VLOOKUP(E44,areaNomiBreviSquadre,7,FALSE),""))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IF($J44+$L44=0,,IF($J44&lt;$L44,IF($J44&amp;"-"&amp;$L44=MID(constPunteggioForfait,FIND("-",constPunteggioForfait)+1,LEN(constPunteggioForfait))&amp;"-"&amp;LEFT(constPunteggioForfait,FIND("-",constPunteggioForfait)-1),1,0),0))</f>
        <v/>
      </c>
      <c r="P44" s="67">
        <f>IF($J44+$L44=0,,IF($J44&lt;$L44,IF($J44&amp;"-"&amp;$L44&lt;&gt;MID(constPunteggioForfait,FIND("-",constPunteggioForfait)+1,LEN(constPunteggioForfait))&amp;"-"&amp;LEFT(constPunteggioForfait,FIND("-",constPunteggioForfait)-1),1,0),0))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IF($J44+$L44=0,,IF($L44&lt;$J44,IF($J44&amp;"-"&amp;$L44=constPunteggioForfait,1,0),0))</f>
        <v/>
      </c>
      <c r="W44" s="67">
        <f>IF($J44+$L44=0,,IF($L44&lt;$J44,IF($J44&amp;"-"&amp;$L44&lt;&gt;constPunteggioForfait,1,0),0))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IF(I45="","",HYPERLINK(VLOOKUP(I45,areaCampiSquadre,3,FALSE),VLOOKUP(I45,areaCampiSquadre,2,FALSE)))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88" t="inlineStr">
        <is>
          <t>Gara N.</t>
        </is>
      </c>
      <c r="B46" s="88" t="inlineStr">
        <is>
          <t>Squadra A</t>
        </is>
      </c>
      <c r="C46" s="10" t="n"/>
      <c r="D46" s="88" t="inlineStr">
        <is>
          <t>Squadra B</t>
        </is>
      </c>
      <c r="E46" s="10" t="n"/>
      <c r="F46" s="88" t="inlineStr">
        <is>
          <t>Giorno</t>
        </is>
      </c>
      <c r="G46" s="88" t="inlineStr">
        <is>
          <t>Data</t>
        </is>
      </c>
      <c r="H46" s="88" t="inlineStr">
        <is>
          <t>Ora</t>
        </is>
      </c>
      <c r="I46" s="10" t="n"/>
      <c r="J46" s="88" t="inlineStr">
        <is>
          <t>Risultato</t>
        </is>
      </c>
      <c r="K46" s="9" t="n"/>
      <c r="L46" s="10" t="n"/>
    </row>
    <row r="47" ht="24" customHeight="1">
      <c r="A47" s="90">
        <f>MAX(A$10:A46)+1</f>
        <v/>
      </c>
      <c r="B47" s="61">
        <f>IF(C47="","",IFERROR(VLOOKUP(C47,areaNomiBreviSquadre,7,FALSE),""))</f>
        <v/>
      </c>
      <c r="C47" s="62" t="n"/>
      <c r="D47" s="61">
        <f>IF(E47="","",IFERROR(VLOOKUP(E47,areaNomiBreviSquadre,7,FALSE),""))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IF($J47+$L47=0,,IF($J47&lt;$L47,IF($J47&amp;"-"&amp;$L47=MID(constPunteggioForfait,FIND("-",constPunteggioForfait)+1,LEN(constPunteggioForfait))&amp;"-"&amp;LEFT(constPunteggioForfait,FIND("-",constPunteggioForfait)-1),1,0),0))</f>
        <v/>
      </c>
      <c r="P47" s="67">
        <f>IF($J47+$L47=0,,IF($J47&lt;$L47,IF($J47&amp;"-"&amp;$L47&lt;&gt;MID(constPunteggioForfait,FIND("-",constPunteggioForfait)+1,LEN(constPunteggioForfait))&amp;"-"&amp;LEFT(constPunteggioForfait,FIND("-",constPunteggioForfait)-1),1,0),0))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IF($J47+$L47=0,,IF($L47&lt;$J47,IF($J47&amp;"-"&amp;$L47=constPunteggioForfait,1,0),0))</f>
        <v/>
      </c>
      <c r="W47" s="67">
        <f>IF($J47+$L47=0,,IF($L47&lt;$J47,IF($J47&amp;"-"&amp;$L47&lt;&gt;constPunteggioForfait,1,0),0))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IF(I48="","",HYPERLINK(VLOOKUP(I48,areaCampiSquadre,3,FALSE),VLOOKUP(I48,areaCampiSquadre,2,FALSE)))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88" t="inlineStr">
        <is>
          <t>Gara N.</t>
        </is>
      </c>
      <c r="B49" s="88" t="inlineStr">
        <is>
          <t>Squadra A</t>
        </is>
      </c>
      <c r="C49" s="10" t="n"/>
      <c r="D49" s="88" t="inlineStr">
        <is>
          <t>Squadra B</t>
        </is>
      </c>
      <c r="E49" s="10" t="n"/>
      <c r="F49" s="88" t="inlineStr">
        <is>
          <t>Giorno</t>
        </is>
      </c>
      <c r="G49" s="88" t="inlineStr">
        <is>
          <t>Data</t>
        </is>
      </c>
      <c r="H49" s="88" t="inlineStr">
        <is>
          <t>Ora</t>
        </is>
      </c>
      <c r="I49" s="10" t="n"/>
      <c r="J49" s="88" t="inlineStr">
        <is>
          <t>Risultato</t>
        </is>
      </c>
      <c r="K49" s="9" t="n"/>
      <c r="L49" s="10" t="n"/>
    </row>
    <row r="50" ht="24" customHeight="1">
      <c r="A50" s="90">
        <f>MAX(A$10:A49)+1</f>
        <v/>
      </c>
      <c r="B50" s="61">
        <f>IF(C50="","",IFERROR(VLOOKUP(C50,areaNomiBreviSquadre,7,FALSE),""))</f>
        <v/>
      </c>
      <c r="C50" s="62" t="n"/>
      <c r="D50" s="61">
        <f>IF(E50="","",IFERROR(VLOOKUP(E50,areaNomiBreviSquadre,7,FALSE),""))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IF($J50+$L50=0,,IF($J50&lt;$L50,IF($J50&amp;"-"&amp;$L50=MID(constPunteggioForfait,FIND("-",constPunteggioForfait)+1,LEN(constPunteggioForfait))&amp;"-"&amp;LEFT(constPunteggioForfait,FIND("-",constPunteggioForfait)-1),1,0),0))</f>
        <v/>
      </c>
      <c r="P50" s="67">
        <f>IF($J50+$L50=0,,IF($J50&lt;$L50,IF($J50&amp;"-"&amp;$L50&lt;&gt;MID(constPunteggioForfait,FIND("-",constPunteggioForfait)+1,LEN(constPunteggioForfait))&amp;"-"&amp;LEFT(constPunteggioForfait,FIND("-",constPunteggioForfait)-1),1,0),0))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IF($J50+$L50=0,,IF($L50&lt;$J50,IF($J50&amp;"-"&amp;$L50=constPunteggioForfait,1,0),0))</f>
        <v/>
      </c>
      <c r="W50" s="67">
        <f>IF($J50+$L50=0,,IF($L50&lt;$J50,IF($J50&amp;"-"&amp;$L50&lt;&gt;constPunteggioForfait,1,0),0))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IF(I51="","",HYPERLINK(VLOOKUP(I51,areaCampiSquadre,3,FALSE),VLOOKUP(I51,areaCampiSquadre,2,FALSE)))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88" t="inlineStr">
        <is>
          <t>Gara N.</t>
        </is>
      </c>
      <c r="B52" s="88" t="inlineStr">
        <is>
          <t>Squadra A</t>
        </is>
      </c>
      <c r="C52" s="10" t="n"/>
      <c r="D52" s="88" t="inlineStr">
        <is>
          <t>Squadra B</t>
        </is>
      </c>
      <c r="E52" s="10" t="n"/>
      <c r="F52" s="88" t="inlineStr">
        <is>
          <t>Giorno</t>
        </is>
      </c>
      <c r="G52" s="88" t="inlineStr">
        <is>
          <t>Data</t>
        </is>
      </c>
      <c r="H52" s="88" t="inlineStr">
        <is>
          <t>Ora</t>
        </is>
      </c>
      <c r="I52" s="10" t="n"/>
      <c r="J52" s="88" t="inlineStr">
        <is>
          <t>Risultato</t>
        </is>
      </c>
      <c r="K52" s="9" t="n"/>
      <c r="L52" s="10" t="n"/>
    </row>
    <row r="53" ht="24" customHeight="1">
      <c r="A53" s="90">
        <f>MAX(A$10:A52)+1</f>
        <v/>
      </c>
      <c r="B53" s="61">
        <f>IF(C53="","",IFERROR(VLOOKUP(C53,areaNomiBreviSquadre,7,FALSE),""))</f>
        <v/>
      </c>
      <c r="C53" s="62" t="n"/>
      <c r="D53" s="61">
        <f>IF(E53="","",IFERROR(VLOOKUP(E53,areaNomiBreviSquadre,7,FALSE),""))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IF($J53+$L53=0,,IF($J53&lt;$L53,IF($J53&amp;"-"&amp;$L53=MID(constPunteggioForfait,FIND("-",constPunteggioForfait)+1,LEN(constPunteggioForfait))&amp;"-"&amp;LEFT(constPunteggioForfait,FIND("-",constPunteggioForfait)-1),1,0),0))</f>
        <v/>
      </c>
      <c r="P53" s="67">
        <f>IF($J53+$L53=0,,IF($J53&lt;$L53,IF($J53&amp;"-"&amp;$L53&lt;&gt;MID(constPunteggioForfait,FIND("-",constPunteggioForfait)+1,LEN(constPunteggioForfait))&amp;"-"&amp;LEFT(constPunteggioForfait,FIND("-",constPunteggioForfait)-1),1,0),0))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IF($J53+$L53=0,,IF($L53&lt;$J53,IF($J53&amp;"-"&amp;$L53=constPunteggioForfait,1,0),0))</f>
        <v/>
      </c>
      <c r="W53" s="67">
        <f>IF($J53+$L53=0,,IF($L53&lt;$J53,IF($J53&amp;"-"&amp;$L53&lt;&gt;constPunteggioForfait,1,0),0))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IF(I54="","",HYPERLINK(VLOOKUP(I54,areaCampiSquadre,3,FALSE),VLOOKUP(I54,areaCampiSquadre,2,FALSE)))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88" t="inlineStr">
        <is>
          <t>Gara N.</t>
        </is>
      </c>
      <c r="B55" s="88" t="inlineStr">
        <is>
          <t>Squadra A</t>
        </is>
      </c>
      <c r="C55" s="10" t="n"/>
      <c r="D55" s="88" t="inlineStr">
        <is>
          <t>Squadra B</t>
        </is>
      </c>
      <c r="E55" s="10" t="n"/>
      <c r="F55" s="88" t="inlineStr">
        <is>
          <t>Giorno</t>
        </is>
      </c>
      <c r="G55" s="88" t="inlineStr">
        <is>
          <t>Data</t>
        </is>
      </c>
      <c r="H55" s="88" t="inlineStr">
        <is>
          <t>Ora</t>
        </is>
      </c>
      <c r="I55" s="10" t="n"/>
      <c r="J55" s="88" t="inlineStr">
        <is>
          <t>Risultato</t>
        </is>
      </c>
      <c r="K55" s="9" t="n"/>
      <c r="L55" s="10" t="n"/>
    </row>
    <row r="56" ht="24" customHeight="1">
      <c r="A56" s="90">
        <f>MAX(A$10:A55)+1</f>
        <v/>
      </c>
      <c r="B56" s="61">
        <f>IF(C56="","",IFERROR(VLOOKUP(C56,areaNomiBreviSquadre,7,FALSE),""))</f>
        <v/>
      </c>
      <c r="C56" s="62" t="n"/>
      <c r="D56" s="61">
        <f>IF(E56="","",IFERROR(VLOOKUP(E56,areaNomiBreviSquadre,7,FALSE),""))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IF($J56+$L56=0,,IF($J56&lt;$L56,IF($J56&amp;"-"&amp;$L56=MID(constPunteggioForfait,FIND("-",constPunteggioForfait)+1,LEN(constPunteggioForfait))&amp;"-"&amp;LEFT(constPunteggioForfait,FIND("-",constPunteggioForfait)-1),1,0),0))</f>
        <v/>
      </c>
      <c r="P56" s="67">
        <f>IF($J56+$L56=0,,IF($J56&lt;$L56,IF($J56&amp;"-"&amp;$L56&lt;&gt;MID(constPunteggioForfait,FIND("-",constPunteggioForfait)+1,LEN(constPunteggioForfait))&amp;"-"&amp;LEFT(constPunteggioForfait,FIND("-",constPunteggioForfait)-1),1,0),0))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IF($J56+$L56=0,,IF($L56&lt;$J56,IF($J56&amp;"-"&amp;$L56=constPunteggioForfait,1,0),0))</f>
        <v/>
      </c>
      <c r="W56" s="67">
        <f>IF($J56+$L56=0,,IF($L56&lt;$J56,IF($J56&amp;"-"&amp;$L56&lt;&gt;constPunteggioForfait,1,0),0))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IF(I57="","",HYPERLINK(VLOOKUP(I57,areaCampiSquadre,3,FALSE),VLOOKUP(I57,areaCampiSquadre,2,FALSE)))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85" t="inlineStr">
        <is>
          <t>4D</t>
        </is>
      </c>
      <c r="B59" s="86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88" t="inlineStr">
        <is>
          <t>Gara N.</t>
        </is>
      </c>
      <c r="B60" s="88" t="inlineStr">
        <is>
          <t>Squadra A</t>
        </is>
      </c>
      <c r="C60" s="10" t="n"/>
      <c r="D60" s="88" t="inlineStr">
        <is>
          <t>Squadra B</t>
        </is>
      </c>
      <c r="E60" s="10" t="n"/>
      <c r="F60" s="88" t="inlineStr">
        <is>
          <t>Giorno</t>
        </is>
      </c>
      <c r="G60" s="88" t="inlineStr">
        <is>
          <t>Data</t>
        </is>
      </c>
      <c r="H60" s="88" t="inlineStr">
        <is>
          <t>Ora</t>
        </is>
      </c>
      <c r="I60" s="10" t="n"/>
      <c r="J60" s="88" t="inlineStr">
        <is>
          <t>Risultato</t>
        </is>
      </c>
      <c r="K60" s="9" t="n"/>
      <c r="L60" s="10" t="n"/>
    </row>
    <row r="61" ht="24" customHeight="1">
      <c r="A61" s="90">
        <f>MAX(A$10:A60)+1</f>
        <v/>
      </c>
      <c r="B61" s="61">
        <f>IF(C61="","",IFERROR(VLOOKUP(C61,areaNomiBreviSquadre,7,FALSE),""))</f>
        <v/>
      </c>
      <c r="C61" s="62" t="n"/>
      <c r="D61" s="61">
        <f>IF(E61="","",IFERROR(VLOOKUP(E61,areaNomiBreviSquadre,7,FALSE),""))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IF($J61+$L61=0,,IF($J61&lt;$L61,IF($J61&amp;"-"&amp;$L61=MID(constPunteggioForfait,FIND("-",constPunteggioForfait)+1,LEN(constPunteggioForfait))&amp;"-"&amp;LEFT(constPunteggioForfait,FIND("-",constPunteggioForfait)-1),1,0),0))</f>
        <v/>
      </c>
      <c r="P61" s="67">
        <f>IF($J61+$L61=0,,IF($J61&lt;$L61,IF($J61&amp;"-"&amp;$L61&lt;&gt;MID(constPunteggioForfait,FIND("-",constPunteggioForfait)+1,LEN(constPunteggioForfait))&amp;"-"&amp;LEFT(constPunteggioForfait,FIND("-",constPunteggioForfait)-1),1,0),0))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IF($J61+$L61=0,,IF($L61&lt;$J61,IF($J61&amp;"-"&amp;$L61=constPunteggioForfait,1,0),0))</f>
        <v/>
      </c>
      <c r="W61" s="67">
        <f>IF($J61+$L61=0,,IF($L61&lt;$J61,IF($J61&amp;"-"&amp;$L61&lt;&gt;constPunteggioForfait,1,0),0))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IF(I62="","",HYPERLINK(VLOOKUP(I62,areaCampiSquadre,3,FALSE),VLOOKUP(I62,areaCampiSquadre,2,FALSE)))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88" t="inlineStr">
        <is>
          <t>Gara N.</t>
        </is>
      </c>
      <c r="B63" s="88" t="inlineStr">
        <is>
          <t>Squadra A</t>
        </is>
      </c>
      <c r="C63" s="10" t="n"/>
      <c r="D63" s="88" t="inlineStr">
        <is>
          <t>Squadra B</t>
        </is>
      </c>
      <c r="E63" s="10" t="n"/>
      <c r="F63" s="88" t="inlineStr">
        <is>
          <t>Giorno</t>
        </is>
      </c>
      <c r="G63" s="88" t="inlineStr">
        <is>
          <t>Data</t>
        </is>
      </c>
      <c r="H63" s="88" t="inlineStr">
        <is>
          <t>Ora</t>
        </is>
      </c>
      <c r="I63" s="10" t="n"/>
      <c r="J63" s="88" t="inlineStr">
        <is>
          <t>Risultato</t>
        </is>
      </c>
      <c r="K63" s="9" t="n"/>
      <c r="L63" s="10" t="n"/>
    </row>
    <row r="64" ht="24" customHeight="1">
      <c r="A64" s="90">
        <f>MAX(A$10:A63)+1</f>
        <v/>
      </c>
      <c r="B64" s="61">
        <f>IF(C64="","",IFERROR(VLOOKUP(C64,areaNomiBreviSquadre,7,FALSE),""))</f>
        <v/>
      </c>
      <c r="C64" s="62" t="n"/>
      <c r="D64" s="61">
        <f>IF(E64="","",IFERROR(VLOOKUP(E64,areaNomiBreviSquadre,7,FALSE),""))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IF($J64+$L64=0,,IF($J64&lt;$L64,IF($J64&amp;"-"&amp;$L64=MID(constPunteggioForfait,FIND("-",constPunteggioForfait)+1,LEN(constPunteggioForfait))&amp;"-"&amp;LEFT(constPunteggioForfait,FIND("-",constPunteggioForfait)-1),1,0),0))</f>
        <v/>
      </c>
      <c r="P64" s="67">
        <f>IF($J64+$L64=0,,IF($J64&lt;$L64,IF($J64&amp;"-"&amp;$L64&lt;&gt;MID(constPunteggioForfait,FIND("-",constPunteggioForfait)+1,LEN(constPunteggioForfait))&amp;"-"&amp;LEFT(constPunteggioForfait,FIND("-",constPunteggioForfait)-1),1,0),0))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IF($J64+$L64=0,,IF($L64&lt;$J64,IF($J64&amp;"-"&amp;$L64=constPunteggioForfait,1,0),0))</f>
        <v/>
      </c>
      <c r="W64" s="67">
        <f>IF($J64+$L64=0,,IF($L64&lt;$J64,IF($J64&amp;"-"&amp;$L64&lt;&gt;constPunteggioForfait,1,0),0))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IF(I65="","",HYPERLINK(VLOOKUP(I65,areaCampiSquadre,3,FALSE),VLOOKUP(I65,areaCampiSquadre,2,FALSE)))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88" t="inlineStr">
        <is>
          <t>Gara N.</t>
        </is>
      </c>
      <c r="B66" s="88" t="inlineStr">
        <is>
          <t>Squadra A</t>
        </is>
      </c>
      <c r="C66" s="10" t="n"/>
      <c r="D66" s="88" t="inlineStr">
        <is>
          <t>Squadra B</t>
        </is>
      </c>
      <c r="E66" s="10" t="n"/>
      <c r="F66" s="88" t="inlineStr">
        <is>
          <t>Giorno</t>
        </is>
      </c>
      <c r="G66" s="88" t="inlineStr">
        <is>
          <t>Data</t>
        </is>
      </c>
      <c r="H66" s="88" t="inlineStr">
        <is>
          <t>Ora</t>
        </is>
      </c>
      <c r="I66" s="10" t="n"/>
      <c r="J66" s="88" t="inlineStr">
        <is>
          <t>Risultato</t>
        </is>
      </c>
      <c r="K66" s="9" t="n"/>
      <c r="L66" s="10" t="n"/>
    </row>
    <row r="67" ht="24" customHeight="1">
      <c r="A67" s="90">
        <f>MAX(A$10:A66)+1</f>
        <v/>
      </c>
      <c r="B67" s="61">
        <f>IF(C67="","",IFERROR(VLOOKUP(C67,areaNomiBreviSquadre,7,FALSE),""))</f>
        <v/>
      </c>
      <c r="C67" s="62" t="n"/>
      <c r="D67" s="61">
        <f>IF(E67="","",IFERROR(VLOOKUP(E67,areaNomiBreviSquadre,7,FALSE),""))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IF($J67+$L67=0,,IF($J67&lt;$L67,IF($J67&amp;"-"&amp;$L67=MID(constPunteggioForfait,FIND("-",constPunteggioForfait)+1,LEN(constPunteggioForfait))&amp;"-"&amp;LEFT(constPunteggioForfait,FIND("-",constPunteggioForfait)-1),1,0),0))</f>
        <v/>
      </c>
      <c r="P67" s="67">
        <f>IF($J67+$L67=0,,IF($J67&lt;$L67,IF($J67&amp;"-"&amp;$L67&lt;&gt;MID(constPunteggioForfait,FIND("-",constPunteggioForfait)+1,LEN(constPunteggioForfait))&amp;"-"&amp;LEFT(constPunteggioForfait,FIND("-",constPunteggioForfait)-1),1,0),0))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IF($J67+$L67=0,,IF($L67&lt;$J67,IF($J67&amp;"-"&amp;$L67=constPunteggioForfait,1,0),0))</f>
        <v/>
      </c>
      <c r="W67" s="67">
        <f>IF($J67+$L67=0,,IF($L67&lt;$J67,IF($J67&amp;"-"&amp;$L67&lt;&gt;constPunteggioForfait,1,0),0))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IF(I68="","",HYPERLINK(VLOOKUP(I68,areaCampiSquadre,3,FALSE),VLOOKUP(I68,areaCampiSquadre,2,FALSE)))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88" t="inlineStr">
        <is>
          <t>Gara N.</t>
        </is>
      </c>
      <c r="B69" s="88" t="inlineStr">
        <is>
          <t>Squadra A</t>
        </is>
      </c>
      <c r="C69" s="10" t="n"/>
      <c r="D69" s="88" t="inlineStr">
        <is>
          <t>Squadra B</t>
        </is>
      </c>
      <c r="E69" s="10" t="n"/>
      <c r="F69" s="88" t="inlineStr">
        <is>
          <t>Giorno</t>
        </is>
      </c>
      <c r="G69" s="88" t="inlineStr">
        <is>
          <t>Data</t>
        </is>
      </c>
      <c r="H69" s="88" t="inlineStr">
        <is>
          <t>Ora</t>
        </is>
      </c>
      <c r="I69" s="10" t="n"/>
      <c r="J69" s="88" t="inlineStr">
        <is>
          <t>Risultato</t>
        </is>
      </c>
      <c r="K69" s="9" t="n"/>
      <c r="L69" s="10" t="n"/>
    </row>
    <row r="70" ht="24" customHeight="1">
      <c r="A70" s="90">
        <f>MAX(A$10:A69)+1</f>
        <v/>
      </c>
      <c r="B70" s="61">
        <f>IF(C70="","",IFERROR(VLOOKUP(C70,areaNomiBreviSquadre,7,FALSE),""))</f>
        <v/>
      </c>
      <c r="C70" s="62" t="n"/>
      <c r="D70" s="61">
        <f>IF(E70="","",IFERROR(VLOOKUP(E70,areaNomiBreviSquadre,7,FALSE),""))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IF($J70+$L70=0,,IF($J70&lt;$L70,IF($J70&amp;"-"&amp;$L70=MID(constPunteggioForfait,FIND("-",constPunteggioForfait)+1,LEN(constPunteggioForfait))&amp;"-"&amp;LEFT(constPunteggioForfait,FIND("-",constPunteggioForfait)-1),1,0),0))</f>
        <v/>
      </c>
      <c r="P70" s="67">
        <f>IF($J70+$L70=0,,IF($J70&lt;$L70,IF($J70&amp;"-"&amp;$L70&lt;&gt;MID(constPunteggioForfait,FIND("-",constPunteggioForfait)+1,LEN(constPunteggioForfait))&amp;"-"&amp;LEFT(constPunteggioForfait,FIND("-",constPunteggioForfait)-1),1,0),0))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IF($J70+$L70=0,,IF($L70&lt;$J70,IF($J70&amp;"-"&amp;$L70=constPunteggioForfait,1,0),0))</f>
        <v/>
      </c>
      <c r="W70" s="67">
        <f>IF($J70+$L70=0,,IF($L70&lt;$J70,IF($J70&amp;"-"&amp;$L70&lt;&gt;constPunteggioForfait,1,0),0))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IF(I71="","",HYPERLINK(VLOOKUP(I71,areaCampiSquadre,3,FALSE),VLOOKUP(I71,areaCampiSquadre,2,FALSE)))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88" t="inlineStr">
        <is>
          <t>Gara N.</t>
        </is>
      </c>
      <c r="B72" s="88" t="inlineStr">
        <is>
          <t>Squadra A</t>
        </is>
      </c>
      <c r="C72" s="10" t="n"/>
      <c r="D72" s="88" t="inlineStr">
        <is>
          <t>Squadra B</t>
        </is>
      </c>
      <c r="E72" s="10" t="n"/>
      <c r="F72" s="88" t="inlineStr">
        <is>
          <t>Giorno</t>
        </is>
      </c>
      <c r="G72" s="88" t="inlineStr">
        <is>
          <t>Data</t>
        </is>
      </c>
      <c r="H72" s="88" t="inlineStr">
        <is>
          <t>Ora</t>
        </is>
      </c>
      <c r="I72" s="10" t="n"/>
      <c r="J72" s="88" t="inlineStr">
        <is>
          <t>Risultato</t>
        </is>
      </c>
      <c r="K72" s="9" t="n"/>
      <c r="L72" s="10" t="n"/>
    </row>
    <row r="73" ht="24" customHeight="1">
      <c r="A73" s="90">
        <f>MAX(A$10:A72)+1</f>
        <v/>
      </c>
      <c r="B73" s="61">
        <f>IF(C73="","",IFERROR(VLOOKUP(C73,areaNomiBreviSquadre,7,FALSE),""))</f>
        <v/>
      </c>
      <c r="C73" s="62" t="n"/>
      <c r="D73" s="61">
        <f>IF(E73="","",IFERROR(VLOOKUP(E73,areaNomiBreviSquadre,7,FALSE),""))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IF($J73+$L73=0,,IF($J73&lt;$L73,IF($J73&amp;"-"&amp;$L73=MID(constPunteggioForfait,FIND("-",constPunteggioForfait)+1,LEN(constPunteggioForfait))&amp;"-"&amp;LEFT(constPunteggioForfait,FIND("-",constPunteggioForfait)-1),1,0),0))</f>
        <v/>
      </c>
      <c r="P73" s="67">
        <f>IF($J73+$L73=0,,IF($J73&lt;$L73,IF($J73&amp;"-"&amp;$L73&lt;&gt;MID(constPunteggioForfait,FIND("-",constPunteggioForfait)+1,LEN(constPunteggioForfait))&amp;"-"&amp;LEFT(constPunteggioForfait,FIND("-",constPunteggioForfait)-1),1,0),0))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IF($J73+$L73=0,,IF($L73&lt;$J73,IF($J73&amp;"-"&amp;$L73=constPunteggioForfait,1,0),0))</f>
        <v/>
      </c>
      <c r="W73" s="67">
        <f>IF($J73+$L73=0,,IF($L73&lt;$J73,IF($J73&amp;"-"&amp;$L73&lt;&gt;constPunteggioForfait,1,0),0))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IF(I74="","",HYPERLINK(VLOOKUP(I74,areaCampiSquadre,3,FALSE),VLOOKUP(I74,areaCampiSquadre,2,FALSE)))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85" t="inlineStr">
        <is>
          <t>5D</t>
        </is>
      </c>
      <c r="B76" s="86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88" t="inlineStr">
        <is>
          <t>Gara N.</t>
        </is>
      </c>
      <c r="B77" s="88" t="inlineStr">
        <is>
          <t>Squadra A</t>
        </is>
      </c>
      <c r="C77" s="10" t="n"/>
      <c r="D77" s="88" t="inlineStr">
        <is>
          <t>Squadra B</t>
        </is>
      </c>
      <c r="E77" s="10" t="n"/>
      <c r="F77" s="88" t="inlineStr">
        <is>
          <t>Giorno</t>
        </is>
      </c>
      <c r="G77" s="88" t="inlineStr">
        <is>
          <t>Data</t>
        </is>
      </c>
      <c r="H77" s="88" t="inlineStr">
        <is>
          <t>Ora</t>
        </is>
      </c>
      <c r="I77" s="10" t="n"/>
      <c r="J77" s="88" t="inlineStr">
        <is>
          <t>Risultato</t>
        </is>
      </c>
      <c r="K77" s="9" t="n"/>
      <c r="L77" s="10" t="n"/>
    </row>
    <row r="78" ht="24" customHeight="1">
      <c r="A78" s="90">
        <f>MAX(A$10:A77)+1</f>
        <v/>
      </c>
      <c r="B78" s="61">
        <f>IF(C78="","",IFERROR(VLOOKUP(C78,areaNomiBreviSquadre,7,FALSE),""))</f>
        <v/>
      </c>
      <c r="C78" s="62" t="n"/>
      <c r="D78" s="61">
        <f>IF(E78="","",IFERROR(VLOOKUP(E78,areaNomiBreviSquadre,7,FALSE),""))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IF($J78+$L78=0,,IF($J78&lt;$L78,IF($J78&amp;"-"&amp;$L78=MID(constPunteggioForfait,FIND("-",constPunteggioForfait)+1,LEN(constPunteggioForfait))&amp;"-"&amp;LEFT(constPunteggioForfait,FIND("-",constPunteggioForfait)-1),1,0),0))</f>
        <v/>
      </c>
      <c r="P78" s="67">
        <f>IF($J78+$L78=0,,IF($J78&lt;$L78,IF($J78&amp;"-"&amp;$L78&lt;&gt;MID(constPunteggioForfait,FIND("-",constPunteggioForfait)+1,LEN(constPunteggioForfait))&amp;"-"&amp;LEFT(constPunteggioForfait,FIND("-",constPunteggioForfait)-1),1,0),0))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IF($J78+$L78=0,,IF($L78&lt;$J78,IF($J78&amp;"-"&amp;$L78=constPunteggioForfait,1,0),0))</f>
        <v/>
      </c>
      <c r="W78" s="67">
        <f>IF($J78+$L78=0,,IF($L78&lt;$J78,IF($J78&amp;"-"&amp;$L78&lt;&gt;constPunteggioForfait,1,0),0))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IF(I79="","",HYPERLINK(VLOOKUP(I79,areaCampiSquadre,3,FALSE),VLOOKUP(I79,areaCampiSquadre,2,FALSE)))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88" t="inlineStr">
        <is>
          <t>Gara N.</t>
        </is>
      </c>
      <c r="B80" s="88" t="inlineStr">
        <is>
          <t>Squadra A</t>
        </is>
      </c>
      <c r="C80" s="10" t="n"/>
      <c r="D80" s="88" t="inlineStr">
        <is>
          <t>Squadra B</t>
        </is>
      </c>
      <c r="E80" s="10" t="n"/>
      <c r="F80" s="88" t="inlineStr">
        <is>
          <t>Giorno</t>
        </is>
      </c>
      <c r="G80" s="88" t="inlineStr">
        <is>
          <t>Data</t>
        </is>
      </c>
      <c r="H80" s="88" t="inlineStr">
        <is>
          <t>Ora</t>
        </is>
      </c>
      <c r="I80" s="10" t="n"/>
      <c r="J80" s="88" t="inlineStr">
        <is>
          <t>Risultato</t>
        </is>
      </c>
      <c r="K80" s="9" t="n"/>
      <c r="L80" s="10" t="n"/>
    </row>
    <row r="81" ht="24" customHeight="1">
      <c r="A81" s="90">
        <f>MAX(A$10:A80)+1</f>
        <v/>
      </c>
      <c r="B81" s="61">
        <f>IF(C81="","",IFERROR(VLOOKUP(C81,areaNomiBreviSquadre,7,FALSE),""))</f>
        <v/>
      </c>
      <c r="C81" s="62" t="n"/>
      <c r="D81" s="61">
        <f>IF(E81="","",IFERROR(VLOOKUP(E81,areaNomiBreviSquadre,7,FALSE),""))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IF($J81+$L81=0,,IF($J81&lt;$L81,IF($J81&amp;"-"&amp;$L81=MID(constPunteggioForfait,FIND("-",constPunteggioForfait)+1,LEN(constPunteggioForfait))&amp;"-"&amp;LEFT(constPunteggioForfait,FIND("-",constPunteggioForfait)-1),1,0),0))</f>
        <v/>
      </c>
      <c r="P81" s="67">
        <f>IF($J81+$L81=0,,IF($J81&lt;$L81,IF($J81&amp;"-"&amp;$L81&lt;&gt;MID(constPunteggioForfait,FIND("-",constPunteggioForfait)+1,LEN(constPunteggioForfait))&amp;"-"&amp;LEFT(constPunteggioForfait,FIND("-",constPunteggioForfait)-1),1,0),0))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IF($J81+$L81=0,,IF($L81&lt;$J81,IF($J81&amp;"-"&amp;$L81=constPunteggioForfait,1,0),0))</f>
        <v/>
      </c>
      <c r="W81" s="67">
        <f>IF($J81+$L81=0,,IF($L81&lt;$J81,IF($J81&amp;"-"&amp;$L81&lt;&gt;constPunteggioForfait,1,0),0))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IF(I82="","",HYPERLINK(VLOOKUP(I82,areaCampiSquadre,3,FALSE),VLOOKUP(I82,areaCampiSquadre,2,FALSE)))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88" t="inlineStr">
        <is>
          <t>Gara N.</t>
        </is>
      </c>
      <c r="B83" s="88" t="inlineStr">
        <is>
          <t>Squadra A</t>
        </is>
      </c>
      <c r="C83" s="10" t="n"/>
      <c r="D83" s="88" t="inlineStr">
        <is>
          <t>Squadra B</t>
        </is>
      </c>
      <c r="E83" s="10" t="n"/>
      <c r="F83" s="88" t="inlineStr">
        <is>
          <t>Giorno</t>
        </is>
      </c>
      <c r="G83" s="88" t="inlineStr">
        <is>
          <t>Data</t>
        </is>
      </c>
      <c r="H83" s="88" t="inlineStr">
        <is>
          <t>Ora</t>
        </is>
      </c>
      <c r="I83" s="10" t="n"/>
      <c r="J83" s="88" t="inlineStr">
        <is>
          <t>Risultato</t>
        </is>
      </c>
      <c r="K83" s="9" t="n"/>
      <c r="L83" s="10" t="n"/>
    </row>
    <row r="84" ht="24" customHeight="1">
      <c r="A84" s="90">
        <f>MAX(A$10:A83)+1</f>
        <v/>
      </c>
      <c r="B84" s="61">
        <f>IF(C84="","",IFERROR(VLOOKUP(C84,areaNomiBreviSquadre,7,FALSE),""))</f>
        <v/>
      </c>
      <c r="C84" s="62" t="n"/>
      <c r="D84" s="61">
        <f>IF(E84="","",IFERROR(VLOOKUP(E84,areaNomiBreviSquadre,7,FALSE),""))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IF($J84+$L84=0,,IF($J84&lt;$L84,IF($J84&amp;"-"&amp;$L84=MID(constPunteggioForfait,FIND("-",constPunteggioForfait)+1,LEN(constPunteggioForfait))&amp;"-"&amp;LEFT(constPunteggioForfait,FIND("-",constPunteggioForfait)-1),1,0),0))</f>
        <v/>
      </c>
      <c r="P84" s="67">
        <f>IF($J84+$L84=0,,IF($J84&lt;$L84,IF($J84&amp;"-"&amp;$L84&lt;&gt;MID(constPunteggioForfait,FIND("-",constPunteggioForfait)+1,LEN(constPunteggioForfait))&amp;"-"&amp;LEFT(constPunteggioForfait,FIND("-",constPunteggioForfait)-1),1,0),0))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IF($J84+$L84=0,,IF($L84&lt;$J84,IF($J84&amp;"-"&amp;$L84=constPunteggioForfait,1,0),0))</f>
        <v/>
      </c>
      <c r="W84" s="67">
        <f>IF($J84+$L84=0,,IF($L84&lt;$J84,IF($J84&amp;"-"&amp;$L84&lt;&gt;constPunteggioForfait,1,0),0))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IF(I85="","",HYPERLINK(VLOOKUP(I85,areaCampiSquadre,3,FALSE),VLOOKUP(I85,areaCampiSquadre,2,FALSE)))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88" t="inlineStr">
        <is>
          <t>Gara N.</t>
        </is>
      </c>
      <c r="B86" s="88" t="inlineStr">
        <is>
          <t>Squadra A</t>
        </is>
      </c>
      <c r="C86" s="10" t="n"/>
      <c r="D86" s="88" t="inlineStr">
        <is>
          <t>Squadra B</t>
        </is>
      </c>
      <c r="E86" s="10" t="n"/>
      <c r="F86" s="88" t="inlineStr">
        <is>
          <t>Giorno</t>
        </is>
      </c>
      <c r="G86" s="88" t="inlineStr">
        <is>
          <t>Data</t>
        </is>
      </c>
      <c r="H86" s="88" t="inlineStr">
        <is>
          <t>Ora</t>
        </is>
      </c>
      <c r="I86" s="10" t="n"/>
      <c r="J86" s="88" t="inlineStr">
        <is>
          <t>Risultato</t>
        </is>
      </c>
      <c r="K86" s="9" t="n"/>
      <c r="L86" s="10" t="n"/>
    </row>
    <row r="87" ht="24" customHeight="1">
      <c r="A87" s="90">
        <f>MAX(A$10:A86)+1</f>
        <v/>
      </c>
      <c r="B87" s="61">
        <f>IF(C87="","",IFERROR(VLOOKUP(C87,areaNomiBreviSquadre,7,FALSE),""))</f>
        <v/>
      </c>
      <c r="C87" s="62" t="n"/>
      <c r="D87" s="61">
        <f>IF(E87="","",IFERROR(VLOOKUP(E87,areaNomiBreviSquadre,7,FALSE),""))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IF($J87+$L87=0,,IF($J87&lt;$L87,IF($J87&amp;"-"&amp;$L87=MID(constPunteggioForfait,FIND("-",constPunteggioForfait)+1,LEN(constPunteggioForfait))&amp;"-"&amp;LEFT(constPunteggioForfait,FIND("-",constPunteggioForfait)-1),1,0),0))</f>
        <v/>
      </c>
      <c r="P87" s="67">
        <f>IF($J87+$L87=0,,IF($J87&lt;$L87,IF($J87&amp;"-"&amp;$L87&lt;&gt;MID(constPunteggioForfait,FIND("-",constPunteggioForfait)+1,LEN(constPunteggioForfait))&amp;"-"&amp;LEFT(constPunteggioForfait,FIND("-",constPunteggioForfait)-1),1,0),0))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IF($J87+$L87=0,,IF($L87&lt;$J87,IF($J87&amp;"-"&amp;$L87=constPunteggioForfait,1,0),0))</f>
        <v/>
      </c>
      <c r="W87" s="67">
        <f>IF($J87+$L87=0,,IF($L87&lt;$J87,IF($J87&amp;"-"&amp;$L87&lt;&gt;constPunteggioForfait,1,0),0))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IF(I88="","",HYPERLINK(VLOOKUP(I88,areaCampiSquadre,3,FALSE),VLOOKUP(I88,areaCampiSquadre,2,FALSE)))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88" t="inlineStr">
        <is>
          <t>Gara N.</t>
        </is>
      </c>
      <c r="B89" s="88" t="inlineStr">
        <is>
          <t>Squadra A</t>
        </is>
      </c>
      <c r="C89" s="10" t="n"/>
      <c r="D89" s="88" t="inlineStr">
        <is>
          <t>Squadra B</t>
        </is>
      </c>
      <c r="E89" s="10" t="n"/>
      <c r="F89" s="88" t="inlineStr">
        <is>
          <t>Giorno</t>
        </is>
      </c>
      <c r="G89" s="88" t="inlineStr">
        <is>
          <t>Data</t>
        </is>
      </c>
      <c r="H89" s="88" t="inlineStr">
        <is>
          <t>Ora</t>
        </is>
      </c>
      <c r="I89" s="10" t="n"/>
      <c r="J89" s="88" t="inlineStr">
        <is>
          <t>Risultato</t>
        </is>
      </c>
      <c r="K89" s="9" t="n"/>
      <c r="L89" s="10" t="n"/>
    </row>
    <row r="90" ht="24" customHeight="1">
      <c r="A90" s="90">
        <f>MAX(A$10:A89)+1</f>
        <v/>
      </c>
      <c r="B90" s="61">
        <f>IF(C90="","",IFERROR(VLOOKUP(C90,areaNomiBreviSquadre,7,FALSE),""))</f>
        <v/>
      </c>
      <c r="C90" s="62" t="n"/>
      <c r="D90" s="61">
        <f>IF(E90="","",IFERROR(VLOOKUP(E90,areaNomiBreviSquadre,7,FALSE),""))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IF($J90+$L90=0,,IF($J90&lt;$L90,IF($J90&amp;"-"&amp;$L90=MID(constPunteggioForfait,FIND("-",constPunteggioForfait)+1,LEN(constPunteggioForfait))&amp;"-"&amp;LEFT(constPunteggioForfait,FIND("-",constPunteggioForfait)-1),1,0),0))</f>
        <v/>
      </c>
      <c r="P90" s="67">
        <f>IF($J90+$L90=0,,IF($J90&lt;$L90,IF($J90&amp;"-"&amp;$L90&lt;&gt;MID(constPunteggioForfait,FIND("-",constPunteggioForfait)+1,LEN(constPunteggioForfait))&amp;"-"&amp;LEFT(constPunteggioForfait,FIND("-",constPunteggioForfait)-1),1,0),0))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IF($J90+$L90=0,,IF($L90&lt;$J90,IF($J90&amp;"-"&amp;$L90=constPunteggioForfait,1,0),0))</f>
        <v/>
      </c>
      <c r="W90" s="67">
        <f>IF($J90+$L90=0,,IF($L90&lt;$J90,IF($J90&amp;"-"&amp;$L90&lt;&gt;constPunteggioForfait,1,0),0))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IF(I91="","",HYPERLINK(VLOOKUP(I91,areaCampiSquadre,3,FALSE),VLOOKUP(I91,areaCampiSquadre,2,FALSE)))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85" t="inlineStr">
        <is>
          <t>6D</t>
        </is>
      </c>
      <c r="B93" s="86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88" t="inlineStr">
        <is>
          <t>Gara N.</t>
        </is>
      </c>
      <c r="B94" s="88" t="inlineStr">
        <is>
          <t>Squadra A</t>
        </is>
      </c>
      <c r="C94" s="10" t="n"/>
      <c r="D94" s="88" t="inlineStr">
        <is>
          <t>Squadra B</t>
        </is>
      </c>
      <c r="E94" s="10" t="n"/>
      <c r="F94" s="88" t="inlineStr">
        <is>
          <t>Giorno</t>
        </is>
      </c>
      <c r="G94" s="88" t="inlineStr">
        <is>
          <t>Data</t>
        </is>
      </c>
      <c r="H94" s="88" t="inlineStr">
        <is>
          <t>Ora</t>
        </is>
      </c>
      <c r="I94" s="10" t="n"/>
      <c r="J94" s="88" t="inlineStr">
        <is>
          <t>Risultato</t>
        </is>
      </c>
      <c r="K94" s="9" t="n"/>
      <c r="L94" s="10" t="n"/>
    </row>
    <row r="95" ht="24" customHeight="1">
      <c r="A95" s="90">
        <f>MAX(A$10:A94)+1</f>
        <v/>
      </c>
      <c r="B95" s="61">
        <f>IF(C95="","",IFERROR(VLOOKUP(C95,areaNomiBreviSquadre,7,FALSE),""))</f>
        <v/>
      </c>
      <c r="C95" s="62" t="n"/>
      <c r="D95" s="61">
        <f>IF(E95="","",IFERROR(VLOOKUP(E95,areaNomiBreviSquadre,7,FALSE),""))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88" t="inlineStr">
        <is>
          <t>Gara N.</t>
        </is>
      </c>
      <c r="B97" s="88" t="inlineStr">
        <is>
          <t>Squadra A</t>
        </is>
      </c>
      <c r="C97" s="10" t="n"/>
      <c r="D97" s="88" t="inlineStr">
        <is>
          <t>Squadra B</t>
        </is>
      </c>
      <c r="E97" s="10" t="n"/>
      <c r="F97" s="88" t="inlineStr">
        <is>
          <t>Giorno</t>
        </is>
      </c>
      <c r="G97" s="88" t="inlineStr">
        <is>
          <t>Data</t>
        </is>
      </c>
      <c r="H97" s="88" t="inlineStr">
        <is>
          <t>Ora</t>
        </is>
      </c>
      <c r="I97" s="10" t="n"/>
      <c r="J97" s="88" t="inlineStr">
        <is>
          <t>Risultato</t>
        </is>
      </c>
      <c r="K97" s="9" t="n"/>
      <c r="L97" s="10" t="n"/>
    </row>
    <row r="98" ht="24" customHeight="1">
      <c r="A98" s="90">
        <f>MAX(A$10:A97)+1</f>
        <v/>
      </c>
      <c r="B98" s="61">
        <f>IF(C98="","",IFERROR(VLOOKUP(C98,areaNomiBreviSquadre,7,FALSE),""))</f>
        <v/>
      </c>
      <c r="C98" s="62" t="n"/>
      <c r="D98" s="61">
        <f>IF(E98="","",IFERROR(VLOOKUP(E98,areaNomiBreviSquadre,7,FALSE),""))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88" t="inlineStr">
        <is>
          <t>Gara N.</t>
        </is>
      </c>
      <c r="B100" s="88" t="inlineStr">
        <is>
          <t>Squadra A</t>
        </is>
      </c>
      <c r="C100" s="10" t="n"/>
      <c r="D100" s="88" t="inlineStr">
        <is>
          <t>Squadra B</t>
        </is>
      </c>
      <c r="E100" s="10" t="n"/>
      <c r="F100" s="88" t="inlineStr">
        <is>
          <t>Giorno</t>
        </is>
      </c>
      <c r="G100" s="88" t="inlineStr">
        <is>
          <t>Data</t>
        </is>
      </c>
      <c r="H100" s="88" t="inlineStr">
        <is>
          <t>Ora</t>
        </is>
      </c>
      <c r="I100" s="10" t="n"/>
      <c r="J100" s="88" t="inlineStr">
        <is>
          <t>Risultato</t>
        </is>
      </c>
      <c r="K100" s="9" t="n"/>
      <c r="L100" s="10" t="n"/>
    </row>
    <row r="101" ht="24" customHeight="1">
      <c r="A101" s="90">
        <f>MAX(A$10:A100)+1</f>
        <v/>
      </c>
      <c r="B101" s="61">
        <f>IF(C101="","",IFERROR(VLOOKUP(C101,areaNomiBreviSquadre,7,FALSE),""))</f>
        <v/>
      </c>
      <c r="C101" s="62" t="n"/>
      <c r="D101" s="61">
        <f>IF(E101="","",IFERROR(VLOOKUP(E101,areaNomiBreviSquadre,7,FALSE),""))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88" t="inlineStr">
        <is>
          <t>Gara N.</t>
        </is>
      </c>
      <c r="B103" s="88" t="inlineStr">
        <is>
          <t>Squadra A</t>
        </is>
      </c>
      <c r="C103" s="10" t="n"/>
      <c r="D103" s="88" t="inlineStr">
        <is>
          <t>Squadra B</t>
        </is>
      </c>
      <c r="E103" s="10" t="n"/>
      <c r="F103" s="88" t="inlineStr">
        <is>
          <t>Giorno</t>
        </is>
      </c>
      <c r="G103" s="88" t="inlineStr">
        <is>
          <t>Data</t>
        </is>
      </c>
      <c r="H103" s="88" t="inlineStr">
        <is>
          <t>Ora</t>
        </is>
      </c>
      <c r="I103" s="10" t="n"/>
      <c r="J103" s="88" t="inlineStr">
        <is>
          <t>Risultato</t>
        </is>
      </c>
      <c r="K103" s="9" t="n"/>
      <c r="L103" s="10" t="n"/>
    </row>
    <row r="104" ht="24" customHeight="1">
      <c r="A104" s="90">
        <f>MAX(A$10:A103)+1</f>
        <v/>
      </c>
      <c r="B104" s="61">
        <f>IF(C104="","",IFERROR(VLOOKUP(C104,areaNomiBreviSquadre,7,FALSE),""))</f>
        <v/>
      </c>
      <c r="C104" s="62" t="n"/>
      <c r="D104" s="61">
        <f>IF(E104="","",IFERROR(VLOOKUP(E104,areaNomiBreviSquadre,7,FALSE),""))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IF($J104+$L104=0,,IF($J104&lt;$L104,IF($J104&amp;"-"&amp;$L104=MID(constPunteggioForfait,FIND("-",constPunteggioForfait)+1,LEN(constPunteggioForfait))&amp;"-"&amp;LEFT(constPunteggioForfait,FIND("-",constPunteggioForfait)-1),1,0),0))</f>
        <v/>
      </c>
      <c r="P104" s="67">
        <f>IF($J104+$L104=0,,IF($J104&lt;$L104,IF($J104&amp;"-"&amp;$L104&lt;&gt;MID(constPunteggioForfait,FIND("-",constPunteggioForfait)+1,LEN(constPunteggioForfait))&amp;"-"&amp;LEFT(constPunteggioForfait,FIND("-",constPunteggioForfait)-1),1,0),0))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IF($J104+$L104=0,,IF($L104&lt;$J104,IF($J104&amp;"-"&amp;$L104=constPunteggioForfait,1,0),0))</f>
        <v/>
      </c>
      <c r="W104" s="67">
        <f>IF($J104+$L104=0,,IF($L104&lt;$J104,IF($J104&amp;"-"&amp;$L104&lt;&gt;constPunteggioForfait,1,0),0))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IF(I105="","",HYPERLINK(VLOOKUP(I105,areaCampiSquadre,3,FALSE),VLOOKUP(I105,areaCampiSquadre,2,FALSE)))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88" t="inlineStr">
        <is>
          <t>Gara N.</t>
        </is>
      </c>
      <c r="B106" s="88" t="inlineStr">
        <is>
          <t>Squadra A</t>
        </is>
      </c>
      <c r="C106" s="10" t="n"/>
      <c r="D106" s="88" t="inlineStr">
        <is>
          <t>Squadra B</t>
        </is>
      </c>
      <c r="E106" s="10" t="n"/>
      <c r="F106" s="88" t="inlineStr">
        <is>
          <t>Giorno</t>
        </is>
      </c>
      <c r="G106" s="88" t="inlineStr">
        <is>
          <t>Data</t>
        </is>
      </c>
      <c r="H106" s="88" t="inlineStr">
        <is>
          <t>Ora</t>
        </is>
      </c>
      <c r="I106" s="10" t="n"/>
      <c r="J106" s="88" t="inlineStr">
        <is>
          <t>Risultato</t>
        </is>
      </c>
      <c r="K106" s="9" t="n"/>
      <c r="L106" s="10" t="n"/>
    </row>
    <row r="107" ht="24" customHeight="1">
      <c r="A107" s="90">
        <f>MAX(A$10:A106)+1</f>
        <v/>
      </c>
      <c r="B107" s="61">
        <f>IF(C107="","",IFERROR(VLOOKUP(C107,areaNomiBreviSquadre,7,FALSE),""))</f>
        <v/>
      </c>
      <c r="C107" s="62" t="n"/>
      <c r="D107" s="61">
        <f>IF(E107="","",IFERROR(VLOOKUP(E107,areaNomiBreviSquadre,7,FALSE),""))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IF($J107+$L107=0,,IF($J107&lt;$L107,IF($J107&amp;"-"&amp;$L107=MID(constPunteggioForfait,FIND("-",constPunteggioForfait)+1,LEN(constPunteggioForfait))&amp;"-"&amp;LEFT(constPunteggioForfait,FIND("-",constPunteggioForfait)-1),1,0),0))</f>
        <v/>
      </c>
      <c r="P107" s="67">
        <f>IF($J107+$L107=0,,IF($J107&lt;$L107,IF($J107&amp;"-"&amp;$L107&lt;&gt;MID(constPunteggioForfait,FIND("-",constPunteggioForfait)+1,LEN(constPunteggioForfait))&amp;"-"&amp;LEFT(constPunteggioForfait,FIND("-",constPunteggioForfait)-1),1,0),0))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IF($J107+$L107=0,,IF($L107&lt;$J107,IF($J107&amp;"-"&amp;$L107=constPunteggioForfait,1,0),0))</f>
        <v/>
      </c>
      <c r="W107" s="67">
        <f>IF($J107+$L107=0,,IF($L107&lt;$J107,IF($J107&amp;"-"&amp;$L107&lt;&gt;constPunteggioForfait,1,0),0))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IF(I108="","",HYPERLINK(VLOOKUP(I108,areaCampiSquadre,3,FALSE),VLOOKUP(I108,areaCampiSquadre,2,FALSE)))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85" t="inlineStr">
        <is>
          <t>7D</t>
        </is>
      </c>
      <c r="B110" s="86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88" t="inlineStr">
        <is>
          <t>Gara N.</t>
        </is>
      </c>
      <c r="B111" s="88" t="inlineStr">
        <is>
          <t>Squadra A</t>
        </is>
      </c>
      <c r="C111" s="10" t="n"/>
      <c r="D111" s="88" t="inlineStr">
        <is>
          <t>Squadra B</t>
        </is>
      </c>
      <c r="E111" s="10" t="n"/>
      <c r="F111" s="88" t="inlineStr">
        <is>
          <t>Giorno</t>
        </is>
      </c>
      <c r="G111" s="88" t="inlineStr">
        <is>
          <t>Data</t>
        </is>
      </c>
      <c r="H111" s="88" t="inlineStr">
        <is>
          <t>Ora</t>
        </is>
      </c>
      <c r="I111" s="10" t="n"/>
      <c r="J111" s="88" t="inlineStr">
        <is>
          <t>Risultato</t>
        </is>
      </c>
      <c r="K111" s="9" t="n"/>
      <c r="L111" s="10" t="n"/>
    </row>
    <row r="112" ht="24" customHeight="1">
      <c r="A112" s="90">
        <f>MAX(A$10:A111)+1</f>
        <v/>
      </c>
      <c r="B112" s="61">
        <f>IF(C112="","",IFERROR(VLOOKUP(C112,areaNomiBreviSquadre,7,FALSE),""))</f>
        <v/>
      </c>
      <c r="C112" s="62" t="n"/>
      <c r="D112" s="61">
        <f>IF(E112="","",IFERROR(VLOOKUP(E112,areaNomiBreviSquadre,7,FALSE),""))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88" t="inlineStr">
        <is>
          <t>Gara N.</t>
        </is>
      </c>
      <c r="B114" s="88" t="inlineStr">
        <is>
          <t>Squadra A</t>
        </is>
      </c>
      <c r="C114" s="10" t="n"/>
      <c r="D114" s="88" t="inlineStr">
        <is>
          <t>Squadra B</t>
        </is>
      </c>
      <c r="E114" s="10" t="n"/>
      <c r="F114" s="88" t="inlineStr">
        <is>
          <t>Giorno</t>
        </is>
      </c>
      <c r="G114" s="88" t="inlineStr">
        <is>
          <t>Data</t>
        </is>
      </c>
      <c r="H114" s="88" t="inlineStr">
        <is>
          <t>Ora</t>
        </is>
      </c>
      <c r="I114" s="10" t="n"/>
      <c r="J114" s="88" t="inlineStr">
        <is>
          <t>Risultato</t>
        </is>
      </c>
      <c r="K114" s="9" t="n"/>
      <c r="L114" s="10" t="n"/>
    </row>
    <row r="115" ht="24" customHeight="1">
      <c r="A115" s="90">
        <f>MAX(A$10:A114)+1</f>
        <v/>
      </c>
      <c r="B115" s="61">
        <f>IF(C115="","",IFERROR(VLOOKUP(C115,areaNomiBreviSquadre,7,FALSE),""))</f>
        <v/>
      </c>
      <c r="C115" s="62" t="n"/>
      <c r="D115" s="61">
        <f>IF(E115="","",IFERROR(VLOOKUP(E115,areaNomiBreviSquadre,7,FALSE),""))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88" t="inlineStr">
        <is>
          <t>Gara N.</t>
        </is>
      </c>
      <c r="B117" s="88" t="inlineStr">
        <is>
          <t>Squadra A</t>
        </is>
      </c>
      <c r="C117" s="10" t="n"/>
      <c r="D117" s="88" t="inlineStr">
        <is>
          <t>Squadra B</t>
        </is>
      </c>
      <c r="E117" s="10" t="n"/>
      <c r="F117" s="88" t="inlineStr">
        <is>
          <t>Giorno</t>
        </is>
      </c>
      <c r="G117" s="88" t="inlineStr">
        <is>
          <t>Data</t>
        </is>
      </c>
      <c r="H117" s="88" t="inlineStr">
        <is>
          <t>Ora</t>
        </is>
      </c>
      <c r="I117" s="10" t="n"/>
      <c r="J117" s="88" t="inlineStr">
        <is>
          <t>Risultato</t>
        </is>
      </c>
      <c r="K117" s="9" t="n"/>
      <c r="L117" s="10" t="n"/>
    </row>
    <row r="118" ht="24" customHeight="1">
      <c r="A118" s="90">
        <f>MAX(A$10:A117)+1</f>
        <v/>
      </c>
      <c r="B118" s="61">
        <f>IF(C118="","",IFERROR(VLOOKUP(C118,areaNomiBreviSquadre,7,FALSE),""))</f>
        <v/>
      </c>
      <c r="C118" s="62" t="n"/>
      <c r="D118" s="61">
        <f>IF(E118="","",IFERROR(VLOOKUP(E118,areaNomiBreviSquadre,7,FALSE),""))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88" t="inlineStr">
        <is>
          <t>Gara N.</t>
        </is>
      </c>
      <c r="B120" s="88" t="inlineStr">
        <is>
          <t>Squadra A</t>
        </is>
      </c>
      <c r="C120" s="10" t="n"/>
      <c r="D120" s="88" t="inlineStr">
        <is>
          <t>Squadra B</t>
        </is>
      </c>
      <c r="E120" s="10" t="n"/>
      <c r="F120" s="88" t="inlineStr">
        <is>
          <t>Giorno</t>
        </is>
      </c>
      <c r="G120" s="88" t="inlineStr">
        <is>
          <t>Data</t>
        </is>
      </c>
      <c r="H120" s="88" t="inlineStr">
        <is>
          <t>Ora</t>
        </is>
      </c>
      <c r="I120" s="10" t="n"/>
      <c r="J120" s="88" t="inlineStr">
        <is>
          <t>Risultato</t>
        </is>
      </c>
      <c r="K120" s="9" t="n"/>
      <c r="L120" s="10" t="n"/>
    </row>
    <row r="121" ht="24" customHeight="1">
      <c r="A121" s="90">
        <f>MAX(A$10:A120)+1</f>
        <v/>
      </c>
      <c r="B121" s="61">
        <f>IF(C121="","",IFERROR(VLOOKUP(C121,areaNomiBreviSquadre,7,FALSE),""))</f>
        <v/>
      </c>
      <c r="C121" s="62" t="n"/>
      <c r="D121" s="61">
        <f>IF(E121="","",IFERROR(VLOOKUP(E121,areaNomiBreviSquadre,7,FALSE),""))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88" t="inlineStr">
        <is>
          <t>Gara N.</t>
        </is>
      </c>
      <c r="B123" s="88" t="inlineStr">
        <is>
          <t>Squadra A</t>
        </is>
      </c>
      <c r="C123" s="10" t="n"/>
      <c r="D123" s="88" t="inlineStr">
        <is>
          <t>Squadra B</t>
        </is>
      </c>
      <c r="E123" s="10" t="n"/>
      <c r="F123" s="88" t="inlineStr">
        <is>
          <t>Giorno</t>
        </is>
      </c>
      <c r="G123" s="88" t="inlineStr">
        <is>
          <t>Data</t>
        </is>
      </c>
      <c r="H123" s="88" t="inlineStr">
        <is>
          <t>Ora</t>
        </is>
      </c>
      <c r="I123" s="10" t="n"/>
      <c r="J123" s="88" t="inlineStr">
        <is>
          <t>Risultato</t>
        </is>
      </c>
      <c r="K123" s="9" t="n"/>
      <c r="L123" s="10" t="n"/>
    </row>
    <row r="124" ht="24" customHeight="1">
      <c r="A124" s="90">
        <f>MAX(A$10:A123)+1</f>
        <v/>
      </c>
      <c r="B124" s="61">
        <f>IF(C124="","",IFERROR(VLOOKUP(C124,areaNomiBreviSquadre,7,FALSE),""))</f>
        <v/>
      </c>
      <c r="C124" s="62" t="n"/>
      <c r="D124" s="61">
        <f>IF(E124="","",IFERROR(VLOOKUP(E124,areaNomiBreviSquadre,7,FALSE),""))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85" t="inlineStr">
        <is>
          <t>8D</t>
        </is>
      </c>
      <c r="B127" s="86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88" t="inlineStr">
        <is>
          <t>Gara N.</t>
        </is>
      </c>
      <c r="B128" s="88" t="inlineStr">
        <is>
          <t>Squadra A</t>
        </is>
      </c>
      <c r="C128" s="10" t="n"/>
      <c r="D128" s="88" t="inlineStr">
        <is>
          <t>Squadra B</t>
        </is>
      </c>
      <c r="E128" s="10" t="n"/>
      <c r="F128" s="88" t="inlineStr">
        <is>
          <t>Giorno</t>
        </is>
      </c>
      <c r="G128" s="88" t="inlineStr">
        <is>
          <t>Data</t>
        </is>
      </c>
      <c r="H128" s="88" t="inlineStr">
        <is>
          <t>Ora</t>
        </is>
      </c>
      <c r="I128" s="10" t="n"/>
      <c r="J128" s="88" t="inlineStr">
        <is>
          <t>Risultato</t>
        </is>
      </c>
      <c r="K128" s="9" t="n"/>
      <c r="L128" s="10" t="n"/>
    </row>
    <row r="129" ht="24" customHeight="1">
      <c r="A129" s="90">
        <f>MAX(A$10:A128)+1</f>
        <v/>
      </c>
      <c r="B129" s="61">
        <f>IF(C129="","",IFERROR(VLOOKUP(C129,areaNomiBreviSquadre,7,FALSE),""))</f>
        <v/>
      </c>
      <c r="C129" s="62" t="n"/>
      <c r="D129" s="61">
        <f>IF(E129="","",IFERROR(VLOOKUP(E129,areaNomiBreviSquadre,7,FALSE),""))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IF($J129+$L129=0,,IF($J129&lt;$L129,IF($J129&amp;"-"&amp;$L129=MID(constPunteggioForfait,FIND("-",constPunteggioForfait)+1,LEN(constPunteggioForfait))&amp;"-"&amp;LEFT(constPunteggioForfait,FIND("-",constPunteggioForfait)-1),1,0),0))</f>
        <v/>
      </c>
      <c r="P129" s="67">
        <f>IF($J129+$L129=0,,IF($J129&lt;$L129,IF($J129&amp;"-"&amp;$L129&lt;&gt;MID(constPunteggioForfait,FIND("-",constPunteggioForfait)+1,LEN(constPunteggioForfait))&amp;"-"&amp;LEFT(constPunteggioForfait,FIND("-",constPunteggioForfait)-1),1,0),0))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IF($J129+$L129=0,,IF($L129&lt;$J129,IF($J129&amp;"-"&amp;$L129=constPunteggioForfait,1,0),0))</f>
        <v/>
      </c>
      <c r="W129" s="67">
        <f>IF($J129+$L129=0,,IF($L129&lt;$J129,IF($J129&amp;"-"&amp;$L129&lt;&gt;constPunteggioForfait,1,0),0))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IF(I130="","",HYPERLINK(VLOOKUP(I130,areaCampiSquadre,3,FALSE),VLOOKUP(I130,areaCampiSquadre,2,FALSE)))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88" t="inlineStr">
        <is>
          <t>Gara N.</t>
        </is>
      </c>
      <c r="B131" s="88" t="inlineStr">
        <is>
          <t>Squadra A</t>
        </is>
      </c>
      <c r="C131" s="10" t="n"/>
      <c r="D131" s="88" t="inlineStr">
        <is>
          <t>Squadra B</t>
        </is>
      </c>
      <c r="E131" s="10" t="n"/>
      <c r="F131" s="88" t="inlineStr">
        <is>
          <t>Giorno</t>
        </is>
      </c>
      <c r="G131" s="88" t="inlineStr">
        <is>
          <t>Data</t>
        </is>
      </c>
      <c r="H131" s="88" t="inlineStr">
        <is>
          <t>Ora</t>
        </is>
      </c>
      <c r="I131" s="10" t="n"/>
      <c r="J131" s="88" t="inlineStr">
        <is>
          <t>Risultato</t>
        </is>
      </c>
      <c r="K131" s="9" t="n"/>
      <c r="L131" s="10" t="n"/>
    </row>
    <row r="132" ht="24" customHeight="1">
      <c r="A132" s="90">
        <f>MAX(A$10:A131)+1</f>
        <v/>
      </c>
      <c r="B132" s="61">
        <f>IF(C132="","",IFERROR(VLOOKUP(C132,areaNomiBreviSquadre,7,FALSE),""))</f>
        <v/>
      </c>
      <c r="C132" s="62" t="n"/>
      <c r="D132" s="61">
        <f>IF(E132="","",IFERROR(VLOOKUP(E132,areaNomiBreviSquadre,7,FALSE),""))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IF($J132+$L132=0,,IF($J132&lt;$L132,IF($J132&amp;"-"&amp;$L132=MID(constPunteggioForfait,FIND("-",constPunteggioForfait)+1,LEN(constPunteggioForfait))&amp;"-"&amp;LEFT(constPunteggioForfait,FIND("-",constPunteggioForfait)-1),1,0),0))</f>
        <v/>
      </c>
      <c r="P132" s="67">
        <f>IF($J132+$L132=0,,IF($J132&lt;$L132,IF($J132&amp;"-"&amp;$L132&lt;&gt;MID(constPunteggioForfait,FIND("-",constPunteggioForfait)+1,LEN(constPunteggioForfait))&amp;"-"&amp;LEFT(constPunteggioForfait,FIND("-",constPunteggioForfait)-1),1,0),0))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IF($J132+$L132=0,,IF($L132&lt;$J132,IF($J132&amp;"-"&amp;$L132=constPunteggioForfait,1,0),0))</f>
        <v/>
      </c>
      <c r="W132" s="67">
        <f>IF($J132+$L132=0,,IF($L132&lt;$J132,IF($J132&amp;"-"&amp;$L132&lt;&gt;constPunteggioForfait,1,0),0))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IF(I133="","",HYPERLINK(VLOOKUP(I133,areaCampiSquadre,3,FALSE),VLOOKUP(I133,areaCampiSquadre,2,FALSE)))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88" t="inlineStr">
        <is>
          <t>Gara N.</t>
        </is>
      </c>
      <c r="B134" s="88" t="inlineStr">
        <is>
          <t>Squadra A</t>
        </is>
      </c>
      <c r="C134" s="10" t="n"/>
      <c r="D134" s="88" t="inlineStr">
        <is>
          <t>Squadra B</t>
        </is>
      </c>
      <c r="E134" s="10" t="n"/>
      <c r="F134" s="88" t="inlineStr">
        <is>
          <t>Giorno</t>
        </is>
      </c>
      <c r="G134" s="88" t="inlineStr">
        <is>
          <t>Data</t>
        </is>
      </c>
      <c r="H134" s="88" t="inlineStr">
        <is>
          <t>Ora</t>
        </is>
      </c>
      <c r="I134" s="10" t="n"/>
      <c r="J134" s="88" t="inlineStr">
        <is>
          <t>Risultato</t>
        </is>
      </c>
      <c r="K134" s="9" t="n"/>
      <c r="L134" s="10" t="n"/>
    </row>
    <row r="135" ht="24" customHeight="1">
      <c r="A135" s="90">
        <f>MAX(A$10:A134)+1</f>
        <v/>
      </c>
      <c r="B135" s="61">
        <f>IF(C135="","",IFERROR(VLOOKUP(C135,areaNomiBreviSquadre,7,FALSE),""))</f>
        <v/>
      </c>
      <c r="C135" s="62" t="n"/>
      <c r="D135" s="61">
        <f>IF(E135="","",IFERROR(VLOOKUP(E135,areaNomiBreviSquadre,7,FALSE),""))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IF($J135+$L135=0,,IF($J135&lt;$L135,IF($J135&amp;"-"&amp;$L135=MID(constPunteggioForfait,FIND("-",constPunteggioForfait)+1,LEN(constPunteggioForfait))&amp;"-"&amp;LEFT(constPunteggioForfait,FIND("-",constPunteggioForfait)-1),1,0),0))</f>
        <v/>
      </c>
      <c r="P135" s="67">
        <f>IF($J135+$L135=0,,IF($J135&lt;$L135,IF($J135&amp;"-"&amp;$L135&lt;&gt;MID(constPunteggioForfait,FIND("-",constPunteggioForfait)+1,LEN(constPunteggioForfait))&amp;"-"&amp;LEFT(constPunteggioForfait,FIND("-",constPunteggioForfait)-1),1,0),0))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IF($J135+$L135=0,,IF($L135&lt;$J135,IF($J135&amp;"-"&amp;$L135=constPunteggioForfait,1,0),0))</f>
        <v/>
      </c>
      <c r="W135" s="67">
        <f>IF($J135+$L135=0,,IF($L135&lt;$J135,IF($J135&amp;"-"&amp;$L135&lt;&gt;constPunteggioForfait,1,0),0))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IF(I136="","",HYPERLINK(VLOOKUP(I136,areaCampiSquadre,3,FALSE),VLOOKUP(I136,areaCampiSquadre,2,FALSE)))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88" t="inlineStr">
        <is>
          <t>Gara N.</t>
        </is>
      </c>
      <c r="B137" s="88" t="inlineStr">
        <is>
          <t>Squadra A</t>
        </is>
      </c>
      <c r="C137" s="10" t="n"/>
      <c r="D137" s="88" t="inlineStr">
        <is>
          <t>Squadra B</t>
        </is>
      </c>
      <c r="E137" s="10" t="n"/>
      <c r="F137" s="88" t="inlineStr">
        <is>
          <t>Giorno</t>
        </is>
      </c>
      <c r="G137" s="88" t="inlineStr">
        <is>
          <t>Data</t>
        </is>
      </c>
      <c r="H137" s="88" t="inlineStr">
        <is>
          <t>Ora</t>
        </is>
      </c>
      <c r="I137" s="10" t="n"/>
      <c r="J137" s="88" t="inlineStr">
        <is>
          <t>Risultato</t>
        </is>
      </c>
      <c r="K137" s="9" t="n"/>
      <c r="L137" s="10" t="n"/>
    </row>
    <row r="138" ht="24" customHeight="1">
      <c r="A138" s="90">
        <f>MAX(A$10:A137)+1</f>
        <v/>
      </c>
      <c r="B138" s="61">
        <f>IF(C138="","",IFERROR(VLOOKUP(C138,areaNomiBreviSquadre,7,FALSE),""))</f>
        <v/>
      </c>
      <c r="C138" s="62" t="n"/>
      <c r="D138" s="61">
        <f>IF(E138="","",IFERROR(VLOOKUP(E138,areaNomiBreviSquadre,7,FALSE),""))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88" t="inlineStr">
        <is>
          <t>Gara N.</t>
        </is>
      </c>
      <c r="B140" s="88" t="inlineStr">
        <is>
          <t>Squadra A</t>
        </is>
      </c>
      <c r="C140" s="10" t="n"/>
      <c r="D140" s="88" t="inlineStr">
        <is>
          <t>Squadra B</t>
        </is>
      </c>
      <c r="E140" s="10" t="n"/>
      <c r="F140" s="88" t="inlineStr">
        <is>
          <t>Giorno</t>
        </is>
      </c>
      <c r="G140" s="88" t="inlineStr">
        <is>
          <t>Data</t>
        </is>
      </c>
      <c r="H140" s="88" t="inlineStr">
        <is>
          <t>Ora</t>
        </is>
      </c>
      <c r="I140" s="10" t="n"/>
      <c r="J140" s="88" t="inlineStr">
        <is>
          <t>Risultato</t>
        </is>
      </c>
      <c r="K140" s="9" t="n"/>
      <c r="L140" s="10" t="n"/>
    </row>
    <row r="141" ht="24" customHeight="1">
      <c r="A141" s="90">
        <f>MAX(A$10:A140)+1</f>
        <v/>
      </c>
      <c r="B141" s="61">
        <f>IF(C141="","",IFERROR(VLOOKUP(C141,areaNomiBreviSquadre,7,FALSE),""))</f>
        <v/>
      </c>
      <c r="C141" s="62" t="n"/>
      <c r="D141" s="61">
        <f>IF(E141="","",IFERROR(VLOOKUP(E141,areaNomiBreviSquadre,7,FALSE),""))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85" t="inlineStr">
        <is>
          <t>9D</t>
        </is>
      </c>
      <c r="B144" s="86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88" t="inlineStr">
        <is>
          <t>Gara N.</t>
        </is>
      </c>
      <c r="B145" s="88" t="inlineStr">
        <is>
          <t>Squadra A</t>
        </is>
      </c>
      <c r="C145" s="10" t="n"/>
      <c r="D145" s="88" t="inlineStr">
        <is>
          <t>Squadra B</t>
        </is>
      </c>
      <c r="E145" s="10" t="n"/>
      <c r="F145" s="88" t="inlineStr">
        <is>
          <t>Giorno</t>
        </is>
      </c>
      <c r="G145" s="88" t="inlineStr">
        <is>
          <t>Data</t>
        </is>
      </c>
      <c r="H145" s="88" t="inlineStr">
        <is>
          <t>Ora</t>
        </is>
      </c>
      <c r="I145" s="10" t="n"/>
      <c r="J145" s="88" t="inlineStr">
        <is>
          <t>Risultato</t>
        </is>
      </c>
      <c r="K145" s="9" t="n"/>
      <c r="L145" s="10" t="n"/>
    </row>
    <row r="146" ht="24" customHeight="1">
      <c r="A146" s="90">
        <f>MAX(A$10:A145)+1</f>
        <v/>
      </c>
      <c r="B146" s="61">
        <f>IF(C146="","",IFERROR(VLOOKUP(C146,areaNomiBreviSquadre,7,FALSE),""))</f>
        <v/>
      </c>
      <c r="C146" s="62" t="n"/>
      <c r="D146" s="61">
        <f>IF(E146="","",IFERROR(VLOOKUP(E146,areaNomiBreviSquadre,7,FALSE),""))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IF($J146+$L146=0,,IF($J146&lt;$L146,IF($J146&amp;"-"&amp;$L146=MID(constPunteggioForfait,FIND("-",constPunteggioForfait)+1,LEN(constPunteggioForfait))&amp;"-"&amp;LEFT(constPunteggioForfait,FIND("-",constPunteggioForfait)-1),1,0),0))</f>
        <v/>
      </c>
      <c r="P146" s="67">
        <f>IF($J146+$L146=0,,IF($J146&lt;$L146,IF($J146&amp;"-"&amp;$L146&lt;&gt;MID(constPunteggioForfait,FIND("-",constPunteggioForfait)+1,LEN(constPunteggioForfait))&amp;"-"&amp;LEFT(constPunteggioForfait,FIND("-",constPunteggioForfait)-1),1,0),0))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IF($J146+$L146=0,,IF($L146&lt;$J146,IF($J146&amp;"-"&amp;$L146=constPunteggioForfait,1,0),0))</f>
        <v/>
      </c>
      <c r="W146" s="67">
        <f>IF($J146+$L146=0,,IF($L146&lt;$J146,IF($J146&amp;"-"&amp;$L146&lt;&gt;constPunteggioForfait,1,0),0))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IF(I147="","",HYPERLINK(VLOOKUP(I147,areaCampiSquadre,3,FALSE),VLOOKUP(I147,areaCampiSquadre,2,FALSE)))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88" t="inlineStr">
        <is>
          <t>Gara N.</t>
        </is>
      </c>
      <c r="B148" s="88" t="inlineStr">
        <is>
          <t>Squadra A</t>
        </is>
      </c>
      <c r="C148" s="10" t="n"/>
      <c r="D148" s="88" t="inlineStr">
        <is>
          <t>Squadra B</t>
        </is>
      </c>
      <c r="E148" s="10" t="n"/>
      <c r="F148" s="88" t="inlineStr">
        <is>
          <t>Giorno</t>
        </is>
      </c>
      <c r="G148" s="88" t="inlineStr">
        <is>
          <t>Data</t>
        </is>
      </c>
      <c r="H148" s="88" t="inlineStr">
        <is>
          <t>Ora</t>
        </is>
      </c>
      <c r="I148" s="10" t="n"/>
      <c r="J148" s="88" t="inlineStr">
        <is>
          <t>Risultato</t>
        </is>
      </c>
      <c r="K148" s="9" t="n"/>
      <c r="L148" s="10" t="n"/>
    </row>
    <row r="149" ht="24" customHeight="1">
      <c r="A149" s="90">
        <f>MAX(A$10:A148)+1</f>
        <v/>
      </c>
      <c r="B149" s="61">
        <f>IF(C149="","",IFERROR(VLOOKUP(C149,areaNomiBreviSquadre,7,FALSE),""))</f>
        <v/>
      </c>
      <c r="C149" s="62" t="n"/>
      <c r="D149" s="61">
        <f>IF(E149="","",IFERROR(VLOOKUP(E149,areaNomiBreviSquadre,7,FALSE),""))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IF($J149+$L149=0,,IF($J149&lt;$L149,IF($J149&amp;"-"&amp;$L149=MID(constPunteggioForfait,FIND("-",constPunteggioForfait)+1,LEN(constPunteggioForfait))&amp;"-"&amp;LEFT(constPunteggioForfait,FIND("-",constPunteggioForfait)-1),1,0),0))</f>
        <v/>
      </c>
      <c r="P149" s="67">
        <f>IF($J149+$L149=0,,IF($J149&lt;$L149,IF($J149&amp;"-"&amp;$L149&lt;&gt;MID(constPunteggioForfait,FIND("-",constPunteggioForfait)+1,LEN(constPunteggioForfait))&amp;"-"&amp;LEFT(constPunteggioForfait,FIND("-",constPunteggioForfait)-1),1,0),0))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IF($J149+$L149=0,,IF($L149&lt;$J149,IF($J149&amp;"-"&amp;$L149=constPunteggioForfait,1,0),0))</f>
        <v/>
      </c>
      <c r="W149" s="67">
        <f>IF($J149+$L149=0,,IF($L149&lt;$J149,IF($J149&amp;"-"&amp;$L149&lt;&gt;constPunteggioForfait,1,0),0))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IF(I150="","",HYPERLINK(VLOOKUP(I150,areaCampiSquadre,3,FALSE),VLOOKUP(I150,areaCampiSquadre,2,FALSE)))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88" t="inlineStr">
        <is>
          <t>Gara N.</t>
        </is>
      </c>
      <c r="B151" s="88" t="inlineStr">
        <is>
          <t>Squadra A</t>
        </is>
      </c>
      <c r="C151" s="10" t="n"/>
      <c r="D151" s="88" t="inlineStr">
        <is>
          <t>Squadra B</t>
        </is>
      </c>
      <c r="E151" s="10" t="n"/>
      <c r="F151" s="88" t="inlineStr">
        <is>
          <t>Giorno</t>
        </is>
      </c>
      <c r="G151" s="88" t="inlineStr">
        <is>
          <t>Data</t>
        </is>
      </c>
      <c r="H151" s="88" t="inlineStr">
        <is>
          <t>Ora</t>
        </is>
      </c>
      <c r="I151" s="10" t="n"/>
      <c r="J151" s="88" t="inlineStr">
        <is>
          <t>Risultato</t>
        </is>
      </c>
      <c r="K151" s="9" t="n"/>
      <c r="L151" s="10" t="n"/>
    </row>
    <row r="152" ht="24" customHeight="1">
      <c r="A152" s="90">
        <f>MAX(A$10:A151)+1</f>
        <v/>
      </c>
      <c r="B152" s="61">
        <f>IF(C152="","",IFERROR(VLOOKUP(C152,areaNomiBreviSquadre,7,FALSE),""))</f>
        <v/>
      </c>
      <c r="C152" s="62" t="n"/>
      <c r="D152" s="61">
        <f>IF(E152="","",IFERROR(VLOOKUP(E152,areaNomiBreviSquadre,7,FALSE),""))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IF($J152+$L152=0,,IF($J152&lt;$L152,IF($J152&amp;"-"&amp;$L152=MID(constPunteggioForfait,FIND("-",constPunteggioForfait)+1,LEN(constPunteggioForfait))&amp;"-"&amp;LEFT(constPunteggioForfait,FIND("-",constPunteggioForfait)-1),1,0),0))</f>
        <v/>
      </c>
      <c r="P152" s="67">
        <f>IF($J152+$L152=0,,IF($J152&lt;$L152,IF($J152&amp;"-"&amp;$L152&lt;&gt;MID(constPunteggioForfait,FIND("-",constPunteggioForfait)+1,LEN(constPunteggioForfait))&amp;"-"&amp;LEFT(constPunteggioForfait,FIND("-",constPunteggioForfait)-1),1,0),0))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IF($J152+$L152=0,,IF($L152&lt;$J152,IF($J152&amp;"-"&amp;$L152=constPunteggioForfait,1,0),0))</f>
        <v/>
      </c>
      <c r="W152" s="67">
        <f>IF($J152+$L152=0,,IF($L152&lt;$J152,IF($J152&amp;"-"&amp;$L152&lt;&gt;constPunteggioForfait,1,0),0))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IF(I153="","",HYPERLINK(VLOOKUP(I153,areaCampiSquadre,3,FALSE),VLOOKUP(I153,areaCampiSquadre,2,FALSE)))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88" t="inlineStr">
        <is>
          <t>Gara N.</t>
        </is>
      </c>
      <c r="B154" s="88" t="inlineStr">
        <is>
          <t>Squadra A</t>
        </is>
      </c>
      <c r="C154" s="10" t="n"/>
      <c r="D154" s="88" t="inlineStr">
        <is>
          <t>Squadra B</t>
        </is>
      </c>
      <c r="E154" s="10" t="n"/>
      <c r="F154" s="88" t="inlineStr">
        <is>
          <t>Giorno</t>
        </is>
      </c>
      <c r="G154" s="88" t="inlineStr">
        <is>
          <t>Data</t>
        </is>
      </c>
      <c r="H154" s="88" t="inlineStr">
        <is>
          <t>Ora</t>
        </is>
      </c>
      <c r="I154" s="10" t="n"/>
      <c r="J154" s="88" t="inlineStr">
        <is>
          <t>Risultato</t>
        </is>
      </c>
      <c r="K154" s="9" t="n"/>
      <c r="L154" s="10" t="n"/>
    </row>
    <row r="155" ht="24" customHeight="1">
      <c r="A155" s="90">
        <f>MAX(A$10:A154)+1</f>
        <v/>
      </c>
      <c r="B155" s="61">
        <f>IF(C155="","",IFERROR(VLOOKUP(C155,areaNomiBreviSquadre,7,FALSE),""))</f>
        <v/>
      </c>
      <c r="C155" s="62" t="n"/>
      <c r="D155" s="61">
        <f>IF(E155="","",IFERROR(VLOOKUP(E155,areaNomiBreviSquadre,7,FALSE),""))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IF($J155+$L155=0,,IF($J155&lt;$L155,IF($J155&amp;"-"&amp;$L155=MID(constPunteggioForfait,FIND("-",constPunteggioForfait)+1,LEN(constPunteggioForfait))&amp;"-"&amp;LEFT(constPunteggioForfait,FIND("-",constPunteggioForfait)-1),1,0),0))</f>
        <v/>
      </c>
      <c r="P155" s="67">
        <f>IF($J155+$L155=0,,IF($J155&lt;$L155,IF($J155&amp;"-"&amp;$L155&lt;&gt;MID(constPunteggioForfait,FIND("-",constPunteggioForfait)+1,LEN(constPunteggioForfait))&amp;"-"&amp;LEFT(constPunteggioForfait,FIND("-",constPunteggioForfait)-1),1,0),0))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IF($J155+$L155=0,,IF($L155&lt;$J155,IF($J155&amp;"-"&amp;$L155=constPunteggioForfait,1,0),0))</f>
        <v/>
      </c>
      <c r="W155" s="67">
        <f>IF($J155+$L155=0,,IF($L155&lt;$J155,IF($J155&amp;"-"&amp;$L155&lt;&gt;constPunteggioForfait,1,0),0))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IF(I156="","",HYPERLINK(VLOOKUP(I156,areaCampiSquadre,3,FALSE),VLOOKUP(I156,areaCampiSquadre,2,FALSE)))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88" t="inlineStr">
        <is>
          <t>Gara N.</t>
        </is>
      </c>
      <c r="B157" s="88" t="inlineStr">
        <is>
          <t>Squadra A</t>
        </is>
      </c>
      <c r="C157" s="10" t="n"/>
      <c r="D157" s="88" t="inlineStr">
        <is>
          <t>Squadra B</t>
        </is>
      </c>
      <c r="E157" s="10" t="n"/>
      <c r="F157" s="88" t="inlineStr">
        <is>
          <t>Giorno</t>
        </is>
      </c>
      <c r="G157" s="88" t="inlineStr">
        <is>
          <t>Data</t>
        </is>
      </c>
      <c r="H157" s="88" t="inlineStr">
        <is>
          <t>Ora</t>
        </is>
      </c>
      <c r="I157" s="10" t="n"/>
      <c r="J157" s="88" t="inlineStr">
        <is>
          <t>Risultato</t>
        </is>
      </c>
      <c r="K157" s="9" t="n"/>
      <c r="L157" s="10" t="n"/>
    </row>
    <row r="158" ht="24" customHeight="1">
      <c r="A158" s="90">
        <f>MAX(A$10:A157)+1</f>
        <v/>
      </c>
      <c r="B158" s="61">
        <f>IF(C158="","",IFERROR(VLOOKUP(C158,areaNomiBreviSquadre,7,FALSE),""))</f>
        <v/>
      </c>
      <c r="C158" s="62" t="n"/>
      <c r="D158" s="61">
        <f>IF(E158="","",IFERROR(VLOOKUP(E158,areaNomiBreviSquadre,7,FALSE),""))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IF($J158+$L158=0,,IF($J158&lt;$L158,IF($J158&amp;"-"&amp;$L158=MID(constPunteggioForfait,FIND("-",constPunteggioForfait)+1,LEN(constPunteggioForfait))&amp;"-"&amp;LEFT(constPunteggioForfait,FIND("-",constPunteggioForfait)-1),1,0),0))</f>
        <v/>
      </c>
      <c r="P158" s="67">
        <f>IF($J158+$L158=0,,IF($J158&lt;$L158,IF($J158&amp;"-"&amp;$L158&lt;&gt;MID(constPunteggioForfait,FIND("-",constPunteggioForfait)+1,LEN(constPunteggioForfait))&amp;"-"&amp;LEFT(constPunteggioForfait,FIND("-",constPunteggioForfait)-1),1,0),0))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IF($J158+$L158=0,,IF($L158&lt;$J158,IF($J158&amp;"-"&amp;$L158=constPunteggioForfait,1,0),0))</f>
        <v/>
      </c>
      <c r="W158" s="67">
        <f>IF($J158+$L158=0,,IF($L158&lt;$J158,IF($J158&amp;"-"&amp;$L158&lt;&gt;constPunteggioForfait,1,0),0))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IF(I159="","",HYPERLINK(VLOOKUP(I159,areaCampiSquadre,3,FALSE),VLOOKUP(I159,areaCampiSquadre,2,FALSE)))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tabColor rgb="FF7D3C98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 t="str">
        <f>IFERROR(IMAGE(constLogo1),"")</f>
        <v/>
      </c>
      <c r="I1" t="str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91">
        <f>"GIRONE "&amp;UPPER($O$3)&amp;" - Stagione "&amp;constStagionaCampionato</f>
        <v/>
      </c>
      <c r="M3" t="str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92" t="inlineStr">
        <is>
          <t>1E</t>
        </is>
      </c>
      <c r="B8" s="93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95" t="inlineStr">
        <is>
          <t>Gara N.</t>
        </is>
      </c>
      <c r="B9" s="95" t="inlineStr">
        <is>
          <t>Squadra A</t>
        </is>
      </c>
      <c r="C9" s="10" t="n"/>
      <c r="D9" s="95" t="inlineStr">
        <is>
          <t>Squadra B</t>
        </is>
      </c>
      <c r="E9" s="10" t="n"/>
      <c r="F9" s="95" t="inlineStr">
        <is>
          <t>Giorno</t>
        </is>
      </c>
      <c r="G9" s="95" t="inlineStr">
        <is>
          <t>Data</t>
        </is>
      </c>
      <c r="H9" s="95" t="inlineStr">
        <is>
          <t>Ora</t>
        </is>
      </c>
      <c r="I9" s="10" t="n"/>
      <c r="J9" s="95" t="inlineStr">
        <is>
          <t>Risultato</t>
        </is>
      </c>
      <c r="K9" s="9" t="n"/>
      <c r="L9" s="10" t="n"/>
    </row>
    <row r="10" ht="24" customHeight="1">
      <c r="A10" s="97" t="n">
        <v>181</v>
      </c>
      <c r="B10" s="61">
        <f>IF(C10="","",IFERROR(VLOOKUP(C10,areaNomiBreviSquadre,7,FALSE),""))</f>
        <v/>
      </c>
      <c r="C10" s="62" t="n"/>
      <c r="D10" s="61">
        <f>IF(E10="","",IFERROR(VLOOKUP(E10,areaNomiBreviSquadre,7,FALSE),""))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95" t="inlineStr">
        <is>
          <t>Gara N.</t>
        </is>
      </c>
      <c r="B12" s="95" t="inlineStr">
        <is>
          <t>Squadra A</t>
        </is>
      </c>
      <c r="C12" s="10" t="n"/>
      <c r="D12" s="95" t="inlineStr">
        <is>
          <t>Squadra B</t>
        </is>
      </c>
      <c r="E12" s="10" t="n"/>
      <c r="F12" s="95" t="inlineStr">
        <is>
          <t>Giorno</t>
        </is>
      </c>
      <c r="G12" s="95" t="inlineStr">
        <is>
          <t>Data</t>
        </is>
      </c>
      <c r="H12" s="95" t="inlineStr">
        <is>
          <t>Ora</t>
        </is>
      </c>
      <c r="I12" s="10" t="n"/>
      <c r="J12" s="95" t="inlineStr">
        <is>
          <t>Risultato</t>
        </is>
      </c>
      <c r="K12" s="9" t="n"/>
      <c r="L12" s="10" t="n"/>
    </row>
    <row r="13" ht="24" customHeight="1">
      <c r="A13" s="97">
        <f>MAX(A$10:A12)+1</f>
        <v/>
      </c>
      <c r="B13" s="61">
        <f>IF(C13="","",IFERROR(VLOOKUP(C13,areaNomiBreviSquadre,7,FALSE),""))</f>
        <v/>
      </c>
      <c r="C13" s="62" t="n"/>
      <c r="D13" s="61">
        <f>IF(E13="","",IFERROR(VLOOKUP(E13,areaNomiBreviSquadre,7,FALSE),""))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95" t="inlineStr">
        <is>
          <t>Gara N.</t>
        </is>
      </c>
      <c r="B15" s="95" t="inlineStr">
        <is>
          <t>Squadra A</t>
        </is>
      </c>
      <c r="C15" s="10" t="n"/>
      <c r="D15" s="95" t="inlineStr">
        <is>
          <t>Squadra B</t>
        </is>
      </c>
      <c r="E15" s="10" t="n"/>
      <c r="F15" s="95" t="inlineStr">
        <is>
          <t>Giorno</t>
        </is>
      </c>
      <c r="G15" s="95" t="inlineStr">
        <is>
          <t>Data</t>
        </is>
      </c>
      <c r="H15" s="95" t="inlineStr">
        <is>
          <t>Ora</t>
        </is>
      </c>
      <c r="I15" s="10" t="n"/>
      <c r="J15" s="95" t="inlineStr">
        <is>
          <t>Risultato</t>
        </is>
      </c>
      <c r="K15" s="9" t="n"/>
      <c r="L15" s="10" t="n"/>
    </row>
    <row r="16" ht="24" customHeight="1">
      <c r="A16" s="97">
        <f>MAX(A$10:A15)+1</f>
        <v/>
      </c>
      <c r="B16" s="61">
        <f>IF(C16="","",IFERROR(VLOOKUP(C16,areaNomiBreviSquadre,7,FALSE),""))</f>
        <v/>
      </c>
      <c r="C16" s="62" t="n"/>
      <c r="D16" s="61">
        <f>IF(E16="","",IFERROR(VLOOKUP(E16,areaNomiBreviSquadre,7,FALSE),""))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95" t="inlineStr">
        <is>
          <t>Gara N.</t>
        </is>
      </c>
      <c r="B18" s="95" t="inlineStr">
        <is>
          <t>Squadra A</t>
        </is>
      </c>
      <c r="C18" s="10" t="n"/>
      <c r="D18" s="95" t="inlineStr">
        <is>
          <t>Squadra B</t>
        </is>
      </c>
      <c r="E18" s="10" t="n"/>
      <c r="F18" s="95" t="inlineStr">
        <is>
          <t>Giorno</t>
        </is>
      </c>
      <c r="G18" s="95" t="inlineStr">
        <is>
          <t>Data</t>
        </is>
      </c>
      <c r="H18" s="95" t="inlineStr">
        <is>
          <t>Ora</t>
        </is>
      </c>
      <c r="I18" s="10" t="n"/>
      <c r="J18" s="95" t="inlineStr">
        <is>
          <t>Risultato</t>
        </is>
      </c>
      <c r="K18" s="9" t="n"/>
      <c r="L18" s="10" t="n"/>
    </row>
    <row r="19" ht="24" customHeight="1">
      <c r="A19" s="97">
        <f>MAX(A$10:A18)+1</f>
        <v/>
      </c>
      <c r="B19" s="61">
        <f>IF(C19="","",IFERROR(VLOOKUP(C19,areaNomiBreviSquadre,7,FALSE),""))</f>
        <v/>
      </c>
      <c r="C19" s="62" t="n"/>
      <c r="D19" s="61">
        <f>IF(E19="","",IFERROR(VLOOKUP(E19,areaNomiBreviSquadre,7,FALSE),""))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95" t="inlineStr">
        <is>
          <t>Gara N.</t>
        </is>
      </c>
      <c r="B21" s="95" t="inlineStr">
        <is>
          <t>Squadra A</t>
        </is>
      </c>
      <c r="C21" s="10" t="n"/>
      <c r="D21" s="95" t="inlineStr">
        <is>
          <t>Squadra B</t>
        </is>
      </c>
      <c r="E21" s="10" t="n"/>
      <c r="F21" s="95" t="inlineStr">
        <is>
          <t>Giorno</t>
        </is>
      </c>
      <c r="G21" s="95" t="inlineStr">
        <is>
          <t>Data</t>
        </is>
      </c>
      <c r="H21" s="95" t="inlineStr">
        <is>
          <t>Ora</t>
        </is>
      </c>
      <c r="I21" s="10" t="n"/>
      <c r="J21" s="95" t="inlineStr">
        <is>
          <t>Risultato</t>
        </is>
      </c>
      <c r="K21" s="9" t="n"/>
      <c r="L21" s="10" t="n"/>
    </row>
    <row r="22" ht="24" customHeight="1">
      <c r="A22" s="97">
        <f>MAX(A$10:A21)+1</f>
        <v/>
      </c>
      <c r="B22" s="61">
        <f>IF(C22="","",IFERROR(VLOOKUP(C22,areaNomiBreviSquadre,7,FALSE),""))</f>
        <v/>
      </c>
      <c r="C22" s="62" t="n"/>
      <c r="D22" s="61">
        <f>IF(E22="","",IFERROR(VLOOKUP(E22,areaNomiBreviSquadre,7,FALSE),""))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92" t="inlineStr">
        <is>
          <t>2E</t>
        </is>
      </c>
      <c r="B25" s="93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95" t="inlineStr">
        <is>
          <t>Gara N.</t>
        </is>
      </c>
      <c r="B26" s="95" t="inlineStr">
        <is>
          <t>Squadra A</t>
        </is>
      </c>
      <c r="C26" s="10" t="n"/>
      <c r="D26" s="95" t="inlineStr">
        <is>
          <t>Squadra B</t>
        </is>
      </c>
      <c r="E26" s="10" t="n"/>
      <c r="F26" s="95" t="inlineStr">
        <is>
          <t>Giorno</t>
        </is>
      </c>
      <c r="G26" s="95" t="inlineStr">
        <is>
          <t>Data</t>
        </is>
      </c>
      <c r="H26" s="95" t="inlineStr">
        <is>
          <t>Ora</t>
        </is>
      </c>
      <c r="I26" s="10" t="n"/>
      <c r="J26" s="95" t="inlineStr">
        <is>
          <t>Risultato</t>
        </is>
      </c>
      <c r="K26" s="9" t="n"/>
      <c r="L26" s="10" t="n"/>
    </row>
    <row r="27" ht="24" customHeight="1">
      <c r="A27" s="97">
        <f>MAX(A$10:A26)+1</f>
        <v/>
      </c>
      <c r="B27" s="61">
        <f>IF(C27="","",IFERROR(VLOOKUP(C27,areaNomiBreviSquadre,7,FALSE),""))</f>
        <v/>
      </c>
      <c r="C27" s="62" t="n"/>
      <c r="D27" s="61">
        <f>IF(E27="","",IFERROR(VLOOKUP(E27,areaNomiBreviSquadre,7,FALSE),""))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IF($J27+$L27=0,,IF($J27&lt;$L27,IF($J27&amp;"-"&amp;$L27=MID(constPunteggioForfait,FIND("-",constPunteggioForfait)+1,LEN(constPunteggioForfait))&amp;"-"&amp;LEFT(constPunteggioForfait,FIND("-",constPunteggioForfait)-1),1,0),0))</f>
        <v/>
      </c>
      <c r="P27" s="67">
        <f>IF($J27+$L27=0,,IF($J27&lt;$L27,IF($J27&amp;"-"&amp;$L27&lt;&gt;MID(constPunteggioForfait,FIND("-",constPunteggioForfait)+1,LEN(constPunteggioForfait))&amp;"-"&amp;LEFT(constPunteggioForfait,FIND("-",constPunteggioForfait)-1),1,0),0))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IF($J27+$L27=0,,IF($L27&lt;$J27,IF($J27&amp;"-"&amp;$L27=constPunteggioForfait,1,0),0))</f>
        <v/>
      </c>
      <c r="W27" s="67">
        <f>IF($J27+$L27=0,,IF($L27&lt;$J27,IF($J27&amp;"-"&amp;$L27&lt;&gt;constPunteggioForfait,1,0),0))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IF(I28="","",HYPERLINK(VLOOKUP(I28,areaCampiSquadre,3,FALSE),VLOOKUP(I28,areaCampiSquadre,2,FALSE)))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95" t="inlineStr">
        <is>
          <t>Gara N.</t>
        </is>
      </c>
      <c r="B29" s="95" t="inlineStr">
        <is>
          <t>Squadra A</t>
        </is>
      </c>
      <c r="C29" s="10" t="n"/>
      <c r="D29" s="95" t="inlineStr">
        <is>
          <t>Squadra B</t>
        </is>
      </c>
      <c r="E29" s="10" t="n"/>
      <c r="F29" s="95" t="inlineStr">
        <is>
          <t>Giorno</t>
        </is>
      </c>
      <c r="G29" s="95" t="inlineStr">
        <is>
          <t>Data</t>
        </is>
      </c>
      <c r="H29" s="95" t="inlineStr">
        <is>
          <t>Ora</t>
        </is>
      </c>
      <c r="I29" s="10" t="n"/>
      <c r="J29" s="95" t="inlineStr">
        <is>
          <t>Risultato</t>
        </is>
      </c>
      <c r="K29" s="9" t="n"/>
      <c r="L29" s="10" t="n"/>
    </row>
    <row r="30" ht="24" customHeight="1">
      <c r="A30" s="97">
        <f>MAX(A$10:A29)+1</f>
        <v/>
      </c>
      <c r="B30" s="61">
        <f>IF(C30="","",IFERROR(VLOOKUP(C30,areaNomiBreviSquadre,7,FALSE),""))</f>
        <v/>
      </c>
      <c r="C30" s="62" t="n"/>
      <c r="D30" s="61">
        <f>IF(E30="","",IFERROR(VLOOKUP(E30,areaNomiBreviSquadre,7,FALSE),""))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IF($J30+$L30=0,,IF($J30&lt;$L30,IF($J30&amp;"-"&amp;$L30=MID(constPunteggioForfait,FIND("-",constPunteggioForfait)+1,LEN(constPunteggioForfait))&amp;"-"&amp;LEFT(constPunteggioForfait,FIND("-",constPunteggioForfait)-1),1,0),0))</f>
        <v/>
      </c>
      <c r="P30" s="67">
        <f>IF($J30+$L30=0,,IF($J30&lt;$L30,IF($J30&amp;"-"&amp;$L30&lt;&gt;MID(constPunteggioForfait,FIND("-",constPunteggioForfait)+1,LEN(constPunteggioForfait))&amp;"-"&amp;LEFT(constPunteggioForfait,FIND("-",constPunteggioForfait)-1),1,0),0))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IF($J30+$L30=0,,IF($L30&lt;$J30,IF($J30&amp;"-"&amp;$L30=constPunteggioForfait,1,0),0))</f>
        <v/>
      </c>
      <c r="W30" s="67">
        <f>IF($J30+$L30=0,,IF($L30&lt;$J30,IF($J30&amp;"-"&amp;$L30&lt;&gt;constPunteggioForfait,1,0),0))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IF(I31="","",HYPERLINK(VLOOKUP(I31,areaCampiSquadre,3,FALSE),VLOOKUP(I31,areaCampiSquadre,2,FALSE)))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95" t="inlineStr">
        <is>
          <t>Gara N.</t>
        </is>
      </c>
      <c r="B32" s="95" t="inlineStr">
        <is>
          <t>Squadra A</t>
        </is>
      </c>
      <c r="C32" s="10" t="n"/>
      <c r="D32" s="95" t="inlineStr">
        <is>
          <t>Squadra B</t>
        </is>
      </c>
      <c r="E32" s="10" t="n"/>
      <c r="F32" s="95" t="inlineStr">
        <is>
          <t>Giorno</t>
        </is>
      </c>
      <c r="G32" s="95" t="inlineStr">
        <is>
          <t>Data</t>
        </is>
      </c>
      <c r="H32" s="95" t="inlineStr">
        <is>
          <t>Ora</t>
        </is>
      </c>
      <c r="I32" s="10" t="n"/>
      <c r="J32" s="95" t="inlineStr">
        <is>
          <t>Risultato</t>
        </is>
      </c>
      <c r="K32" s="9" t="n"/>
      <c r="L32" s="10" t="n"/>
    </row>
    <row r="33" ht="24" customHeight="1">
      <c r="A33" s="97">
        <f>MAX(A$10:A32)+1</f>
        <v/>
      </c>
      <c r="B33" s="61">
        <f>IF(C33="","",IFERROR(VLOOKUP(C33,areaNomiBreviSquadre,7,FALSE),""))</f>
        <v/>
      </c>
      <c r="C33" s="62" t="n"/>
      <c r="D33" s="61">
        <f>IF(E33="","",IFERROR(VLOOKUP(E33,areaNomiBreviSquadre,7,FALSE),""))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IF($J33+$L33=0,,IF($J33&lt;$L33,IF($J33&amp;"-"&amp;$L33=MID(constPunteggioForfait,FIND("-",constPunteggioForfait)+1,LEN(constPunteggioForfait))&amp;"-"&amp;LEFT(constPunteggioForfait,FIND("-",constPunteggioForfait)-1),1,0),0))</f>
        <v/>
      </c>
      <c r="P33" s="67">
        <f>IF($J33+$L33=0,,IF($J33&lt;$L33,IF($J33&amp;"-"&amp;$L33&lt;&gt;MID(constPunteggioForfait,FIND("-",constPunteggioForfait)+1,LEN(constPunteggioForfait))&amp;"-"&amp;LEFT(constPunteggioForfait,FIND("-",constPunteggioForfait)-1),1,0),0))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IF($J33+$L33=0,,IF($L33&lt;$J33,IF($J33&amp;"-"&amp;$L33=constPunteggioForfait,1,0),0))</f>
        <v/>
      </c>
      <c r="W33" s="67">
        <f>IF($J33+$L33=0,,IF($L33&lt;$J33,IF($J33&amp;"-"&amp;$L33&lt;&gt;constPunteggioForfait,1,0),0))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IF(I34="","",HYPERLINK(VLOOKUP(I34,areaCampiSquadre,3,FALSE),VLOOKUP(I34,areaCampiSquadre,2,FALSE)))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95" t="inlineStr">
        <is>
          <t>Gara N.</t>
        </is>
      </c>
      <c r="B35" s="95" t="inlineStr">
        <is>
          <t>Squadra A</t>
        </is>
      </c>
      <c r="C35" s="10" t="n"/>
      <c r="D35" s="95" t="inlineStr">
        <is>
          <t>Squadra B</t>
        </is>
      </c>
      <c r="E35" s="10" t="n"/>
      <c r="F35" s="95" t="inlineStr">
        <is>
          <t>Giorno</t>
        </is>
      </c>
      <c r="G35" s="95" t="inlineStr">
        <is>
          <t>Data</t>
        </is>
      </c>
      <c r="H35" s="95" t="inlineStr">
        <is>
          <t>Ora</t>
        </is>
      </c>
      <c r="I35" s="10" t="n"/>
      <c r="J35" s="95" t="inlineStr">
        <is>
          <t>Risultato</t>
        </is>
      </c>
      <c r="K35" s="9" t="n"/>
      <c r="L35" s="10" t="n"/>
    </row>
    <row r="36" ht="24" customHeight="1">
      <c r="A36" s="97">
        <f>MAX(A$10:A35)+1</f>
        <v/>
      </c>
      <c r="B36" s="61">
        <f>IF(C36="","",IFERROR(VLOOKUP(C36,areaNomiBreviSquadre,7,FALSE),""))</f>
        <v/>
      </c>
      <c r="C36" s="62" t="n"/>
      <c r="D36" s="61">
        <f>IF(E36="","",IFERROR(VLOOKUP(E36,areaNomiBreviSquadre,7,FALSE),""))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IF($J36+$L36=0,,IF($J36&lt;$L36,IF($J36&amp;"-"&amp;$L36=MID(constPunteggioForfait,FIND("-",constPunteggioForfait)+1,LEN(constPunteggioForfait))&amp;"-"&amp;LEFT(constPunteggioForfait,FIND("-",constPunteggioForfait)-1),1,0),0))</f>
        <v/>
      </c>
      <c r="P36" s="67">
        <f>IF($J36+$L36=0,,IF($J36&lt;$L36,IF($J36&amp;"-"&amp;$L36&lt;&gt;MID(constPunteggioForfait,FIND("-",constPunteggioForfait)+1,LEN(constPunteggioForfait))&amp;"-"&amp;LEFT(constPunteggioForfait,FIND("-",constPunteggioForfait)-1),1,0),0))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IF($J36+$L36=0,,IF($L36&lt;$J36,IF($J36&amp;"-"&amp;$L36=constPunteggioForfait,1,0),0))</f>
        <v/>
      </c>
      <c r="W36" s="67">
        <f>IF($J36+$L36=0,,IF($L36&lt;$J36,IF($J36&amp;"-"&amp;$L36&lt;&gt;constPunteggioForfait,1,0),0))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IF(I37="","",HYPERLINK(VLOOKUP(I37,areaCampiSquadre,3,FALSE),VLOOKUP(I37,areaCampiSquadre,2,FALSE)))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95" t="inlineStr">
        <is>
          <t>Gara N.</t>
        </is>
      </c>
      <c r="B38" s="95" t="inlineStr">
        <is>
          <t>Squadra A</t>
        </is>
      </c>
      <c r="C38" s="10" t="n"/>
      <c r="D38" s="95" t="inlineStr">
        <is>
          <t>Squadra B</t>
        </is>
      </c>
      <c r="E38" s="10" t="n"/>
      <c r="F38" s="95" t="inlineStr">
        <is>
          <t>Giorno</t>
        </is>
      </c>
      <c r="G38" s="95" t="inlineStr">
        <is>
          <t>Data</t>
        </is>
      </c>
      <c r="H38" s="95" t="inlineStr">
        <is>
          <t>Ora</t>
        </is>
      </c>
      <c r="I38" s="10" t="n"/>
      <c r="J38" s="95" t="inlineStr">
        <is>
          <t>Risultato</t>
        </is>
      </c>
      <c r="K38" s="9" t="n"/>
      <c r="L38" s="10" t="n"/>
    </row>
    <row r="39" ht="24" customHeight="1">
      <c r="A39" s="97">
        <f>MAX(A$10:A38)+1</f>
        <v/>
      </c>
      <c r="B39" s="61">
        <f>IF(C39="","",IFERROR(VLOOKUP(C39,areaNomiBreviSquadre,7,FALSE),""))</f>
        <v/>
      </c>
      <c r="C39" s="62" t="n"/>
      <c r="D39" s="61">
        <f>IF(E39="","",IFERROR(VLOOKUP(E39,areaNomiBreviSquadre,7,FALSE),""))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IF($J39+$L39=0,,IF($J39&lt;$L39,IF($J39&amp;"-"&amp;$L39=MID(constPunteggioForfait,FIND("-",constPunteggioForfait)+1,LEN(constPunteggioForfait))&amp;"-"&amp;LEFT(constPunteggioForfait,FIND("-",constPunteggioForfait)-1),1,0),0))</f>
        <v/>
      </c>
      <c r="P39" s="67">
        <f>IF($J39+$L39=0,,IF($J39&lt;$L39,IF($J39&amp;"-"&amp;$L39&lt;&gt;MID(constPunteggioForfait,FIND("-",constPunteggioForfait)+1,LEN(constPunteggioForfait))&amp;"-"&amp;LEFT(constPunteggioForfait,FIND("-",constPunteggioForfait)-1),1,0),0))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IF($J39+$L39=0,,IF($L39&lt;$J39,IF($J39&amp;"-"&amp;$L39=constPunteggioForfait,1,0),0))</f>
        <v/>
      </c>
      <c r="W39" s="67">
        <f>IF($J39+$L39=0,,IF($L39&lt;$J39,IF($J39&amp;"-"&amp;$L39&lt;&gt;constPunteggioForfait,1,0),0))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IF(I40="","",HYPERLINK(VLOOKUP(I40,areaCampiSquadre,3,FALSE),VLOOKUP(I40,areaCampiSquadre,2,FALSE)))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92" t="inlineStr">
        <is>
          <t>3E</t>
        </is>
      </c>
      <c r="B42" s="93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95" t="inlineStr">
        <is>
          <t>Gara N.</t>
        </is>
      </c>
      <c r="B43" s="95" t="inlineStr">
        <is>
          <t>Squadra A</t>
        </is>
      </c>
      <c r="C43" s="10" t="n"/>
      <c r="D43" s="95" t="inlineStr">
        <is>
          <t>Squadra B</t>
        </is>
      </c>
      <c r="E43" s="10" t="n"/>
      <c r="F43" s="95" t="inlineStr">
        <is>
          <t>Giorno</t>
        </is>
      </c>
      <c r="G43" s="95" t="inlineStr">
        <is>
          <t>Data</t>
        </is>
      </c>
      <c r="H43" s="95" t="inlineStr">
        <is>
          <t>Ora</t>
        </is>
      </c>
      <c r="I43" s="10" t="n"/>
      <c r="J43" s="95" t="inlineStr">
        <is>
          <t>Risultato</t>
        </is>
      </c>
      <c r="K43" s="9" t="n"/>
      <c r="L43" s="10" t="n"/>
    </row>
    <row r="44" ht="24" customHeight="1">
      <c r="A44" s="97">
        <f>MAX(A$10:A43)+1</f>
        <v/>
      </c>
      <c r="B44" s="61">
        <f>IF(C44="","",IFERROR(VLOOKUP(C44,areaNomiBreviSquadre,7,FALSE),""))</f>
        <v/>
      </c>
      <c r="C44" s="62" t="n"/>
      <c r="D44" s="61">
        <f>IF(E44="","",IFERROR(VLOOKUP(E44,areaNomiBreviSquadre,7,FALSE),""))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IF($J44+$L44=0,,IF($J44&lt;$L44,IF($J44&amp;"-"&amp;$L44=MID(constPunteggioForfait,FIND("-",constPunteggioForfait)+1,LEN(constPunteggioForfait))&amp;"-"&amp;LEFT(constPunteggioForfait,FIND("-",constPunteggioForfait)-1),1,0),0))</f>
        <v/>
      </c>
      <c r="P44" s="67">
        <f>IF($J44+$L44=0,,IF($J44&lt;$L44,IF($J44&amp;"-"&amp;$L44&lt;&gt;MID(constPunteggioForfait,FIND("-",constPunteggioForfait)+1,LEN(constPunteggioForfait))&amp;"-"&amp;LEFT(constPunteggioForfait,FIND("-",constPunteggioForfait)-1),1,0),0))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IF($J44+$L44=0,,IF($L44&lt;$J44,IF($J44&amp;"-"&amp;$L44=constPunteggioForfait,1,0),0))</f>
        <v/>
      </c>
      <c r="W44" s="67">
        <f>IF($J44+$L44=0,,IF($L44&lt;$J44,IF($J44&amp;"-"&amp;$L44&lt;&gt;constPunteggioForfait,1,0),0))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IF(I45="","",HYPERLINK(VLOOKUP(I45,areaCampiSquadre,3,FALSE),VLOOKUP(I45,areaCampiSquadre,2,FALSE)))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95" t="inlineStr">
        <is>
          <t>Gara N.</t>
        </is>
      </c>
      <c r="B46" s="95" t="inlineStr">
        <is>
          <t>Squadra A</t>
        </is>
      </c>
      <c r="C46" s="10" t="n"/>
      <c r="D46" s="95" t="inlineStr">
        <is>
          <t>Squadra B</t>
        </is>
      </c>
      <c r="E46" s="10" t="n"/>
      <c r="F46" s="95" t="inlineStr">
        <is>
          <t>Giorno</t>
        </is>
      </c>
      <c r="G46" s="95" t="inlineStr">
        <is>
          <t>Data</t>
        </is>
      </c>
      <c r="H46" s="95" t="inlineStr">
        <is>
          <t>Ora</t>
        </is>
      </c>
      <c r="I46" s="10" t="n"/>
      <c r="J46" s="95" t="inlineStr">
        <is>
          <t>Risultato</t>
        </is>
      </c>
      <c r="K46" s="9" t="n"/>
      <c r="L46" s="10" t="n"/>
    </row>
    <row r="47" ht="24" customHeight="1">
      <c r="A47" s="97">
        <f>MAX(A$10:A46)+1</f>
        <v/>
      </c>
      <c r="B47" s="61">
        <f>IF(C47="","",IFERROR(VLOOKUP(C47,areaNomiBreviSquadre,7,FALSE),""))</f>
        <v/>
      </c>
      <c r="C47" s="62" t="n"/>
      <c r="D47" s="61">
        <f>IF(E47="","",IFERROR(VLOOKUP(E47,areaNomiBreviSquadre,7,FALSE),""))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IF($J47+$L47=0,,IF($J47&lt;$L47,IF($J47&amp;"-"&amp;$L47=MID(constPunteggioForfait,FIND("-",constPunteggioForfait)+1,LEN(constPunteggioForfait))&amp;"-"&amp;LEFT(constPunteggioForfait,FIND("-",constPunteggioForfait)-1),1,0),0))</f>
        <v/>
      </c>
      <c r="P47" s="67">
        <f>IF($J47+$L47=0,,IF($J47&lt;$L47,IF($J47&amp;"-"&amp;$L47&lt;&gt;MID(constPunteggioForfait,FIND("-",constPunteggioForfait)+1,LEN(constPunteggioForfait))&amp;"-"&amp;LEFT(constPunteggioForfait,FIND("-",constPunteggioForfait)-1),1,0),0))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IF($J47+$L47=0,,IF($L47&lt;$J47,IF($J47&amp;"-"&amp;$L47=constPunteggioForfait,1,0),0))</f>
        <v/>
      </c>
      <c r="W47" s="67">
        <f>IF($J47+$L47=0,,IF($L47&lt;$J47,IF($J47&amp;"-"&amp;$L47&lt;&gt;constPunteggioForfait,1,0),0))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IF(I48="","",HYPERLINK(VLOOKUP(I48,areaCampiSquadre,3,FALSE),VLOOKUP(I48,areaCampiSquadre,2,FALSE)))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95" t="inlineStr">
        <is>
          <t>Gara N.</t>
        </is>
      </c>
      <c r="B49" s="95" t="inlineStr">
        <is>
          <t>Squadra A</t>
        </is>
      </c>
      <c r="C49" s="10" t="n"/>
      <c r="D49" s="95" t="inlineStr">
        <is>
          <t>Squadra B</t>
        </is>
      </c>
      <c r="E49" s="10" t="n"/>
      <c r="F49" s="95" t="inlineStr">
        <is>
          <t>Giorno</t>
        </is>
      </c>
      <c r="G49" s="95" t="inlineStr">
        <is>
          <t>Data</t>
        </is>
      </c>
      <c r="H49" s="95" t="inlineStr">
        <is>
          <t>Ora</t>
        </is>
      </c>
      <c r="I49" s="10" t="n"/>
      <c r="J49" s="95" t="inlineStr">
        <is>
          <t>Risultato</t>
        </is>
      </c>
      <c r="K49" s="9" t="n"/>
      <c r="L49" s="10" t="n"/>
    </row>
    <row r="50" ht="24" customHeight="1">
      <c r="A50" s="97">
        <f>MAX(A$10:A49)+1</f>
        <v/>
      </c>
      <c r="B50" s="61">
        <f>IF(C50="","",IFERROR(VLOOKUP(C50,areaNomiBreviSquadre,7,FALSE),""))</f>
        <v/>
      </c>
      <c r="C50" s="62" t="n"/>
      <c r="D50" s="61">
        <f>IF(E50="","",IFERROR(VLOOKUP(E50,areaNomiBreviSquadre,7,FALSE),""))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IF($J50+$L50=0,,IF($J50&lt;$L50,IF($J50&amp;"-"&amp;$L50=MID(constPunteggioForfait,FIND("-",constPunteggioForfait)+1,LEN(constPunteggioForfait))&amp;"-"&amp;LEFT(constPunteggioForfait,FIND("-",constPunteggioForfait)-1),1,0),0))</f>
        <v/>
      </c>
      <c r="P50" s="67">
        <f>IF($J50+$L50=0,,IF($J50&lt;$L50,IF($J50&amp;"-"&amp;$L50&lt;&gt;MID(constPunteggioForfait,FIND("-",constPunteggioForfait)+1,LEN(constPunteggioForfait))&amp;"-"&amp;LEFT(constPunteggioForfait,FIND("-",constPunteggioForfait)-1),1,0),0))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IF($J50+$L50=0,,IF($L50&lt;$J50,IF($J50&amp;"-"&amp;$L50=constPunteggioForfait,1,0),0))</f>
        <v/>
      </c>
      <c r="W50" s="67">
        <f>IF($J50+$L50=0,,IF($L50&lt;$J50,IF($J50&amp;"-"&amp;$L50&lt;&gt;constPunteggioForfait,1,0),0))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IF(I51="","",HYPERLINK(VLOOKUP(I51,areaCampiSquadre,3,FALSE),VLOOKUP(I51,areaCampiSquadre,2,FALSE)))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95" t="inlineStr">
        <is>
          <t>Gara N.</t>
        </is>
      </c>
      <c r="B52" s="95" t="inlineStr">
        <is>
          <t>Squadra A</t>
        </is>
      </c>
      <c r="C52" s="10" t="n"/>
      <c r="D52" s="95" t="inlineStr">
        <is>
          <t>Squadra B</t>
        </is>
      </c>
      <c r="E52" s="10" t="n"/>
      <c r="F52" s="95" t="inlineStr">
        <is>
          <t>Giorno</t>
        </is>
      </c>
      <c r="G52" s="95" t="inlineStr">
        <is>
          <t>Data</t>
        </is>
      </c>
      <c r="H52" s="95" t="inlineStr">
        <is>
          <t>Ora</t>
        </is>
      </c>
      <c r="I52" s="10" t="n"/>
      <c r="J52" s="95" t="inlineStr">
        <is>
          <t>Risultato</t>
        </is>
      </c>
      <c r="K52" s="9" t="n"/>
      <c r="L52" s="10" t="n"/>
    </row>
    <row r="53" ht="24" customHeight="1">
      <c r="A53" s="97">
        <f>MAX(A$10:A52)+1</f>
        <v/>
      </c>
      <c r="B53" s="61">
        <f>IF(C53="","",IFERROR(VLOOKUP(C53,areaNomiBreviSquadre,7,FALSE),""))</f>
        <v/>
      </c>
      <c r="C53" s="62" t="n"/>
      <c r="D53" s="61">
        <f>IF(E53="","",IFERROR(VLOOKUP(E53,areaNomiBreviSquadre,7,FALSE),""))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IF($J53+$L53=0,,IF($J53&lt;$L53,IF($J53&amp;"-"&amp;$L53=MID(constPunteggioForfait,FIND("-",constPunteggioForfait)+1,LEN(constPunteggioForfait))&amp;"-"&amp;LEFT(constPunteggioForfait,FIND("-",constPunteggioForfait)-1),1,0),0))</f>
        <v/>
      </c>
      <c r="P53" s="67">
        <f>IF($J53+$L53=0,,IF($J53&lt;$L53,IF($J53&amp;"-"&amp;$L53&lt;&gt;MID(constPunteggioForfait,FIND("-",constPunteggioForfait)+1,LEN(constPunteggioForfait))&amp;"-"&amp;LEFT(constPunteggioForfait,FIND("-",constPunteggioForfait)-1),1,0),0))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IF($J53+$L53=0,,IF($L53&lt;$J53,IF($J53&amp;"-"&amp;$L53=constPunteggioForfait,1,0),0))</f>
        <v/>
      </c>
      <c r="W53" s="67">
        <f>IF($J53+$L53=0,,IF($L53&lt;$J53,IF($J53&amp;"-"&amp;$L53&lt;&gt;constPunteggioForfait,1,0),0))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IF(I54="","",HYPERLINK(VLOOKUP(I54,areaCampiSquadre,3,FALSE),VLOOKUP(I54,areaCampiSquadre,2,FALSE)))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95" t="inlineStr">
        <is>
          <t>Gara N.</t>
        </is>
      </c>
      <c r="B55" s="95" t="inlineStr">
        <is>
          <t>Squadra A</t>
        </is>
      </c>
      <c r="C55" s="10" t="n"/>
      <c r="D55" s="95" t="inlineStr">
        <is>
          <t>Squadra B</t>
        </is>
      </c>
      <c r="E55" s="10" t="n"/>
      <c r="F55" s="95" t="inlineStr">
        <is>
          <t>Giorno</t>
        </is>
      </c>
      <c r="G55" s="95" t="inlineStr">
        <is>
          <t>Data</t>
        </is>
      </c>
      <c r="H55" s="95" t="inlineStr">
        <is>
          <t>Ora</t>
        </is>
      </c>
      <c r="I55" s="10" t="n"/>
      <c r="J55" s="95" t="inlineStr">
        <is>
          <t>Risultato</t>
        </is>
      </c>
      <c r="K55" s="9" t="n"/>
      <c r="L55" s="10" t="n"/>
    </row>
    <row r="56" ht="24" customHeight="1">
      <c r="A56" s="97">
        <f>MAX(A$10:A55)+1</f>
        <v/>
      </c>
      <c r="B56" s="61">
        <f>IF(C56="","",IFERROR(VLOOKUP(C56,areaNomiBreviSquadre,7,FALSE),""))</f>
        <v/>
      </c>
      <c r="C56" s="62" t="n"/>
      <c r="D56" s="61">
        <f>IF(E56="","",IFERROR(VLOOKUP(E56,areaNomiBreviSquadre,7,FALSE),""))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IF($J56+$L56=0,,IF($J56&lt;$L56,IF($J56&amp;"-"&amp;$L56=MID(constPunteggioForfait,FIND("-",constPunteggioForfait)+1,LEN(constPunteggioForfait))&amp;"-"&amp;LEFT(constPunteggioForfait,FIND("-",constPunteggioForfait)-1),1,0),0))</f>
        <v/>
      </c>
      <c r="P56" s="67">
        <f>IF($J56+$L56=0,,IF($J56&lt;$L56,IF($J56&amp;"-"&amp;$L56&lt;&gt;MID(constPunteggioForfait,FIND("-",constPunteggioForfait)+1,LEN(constPunteggioForfait))&amp;"-"&amp;LEFT(constPunteggioForfait,FIND("-",constPunteggioForfait)-1),1,0),0))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IF($J56+$L56=0,,IF($L56&lt;$J56,IF($J56&amp;"-"&amp;$L56=constPunteggioForfait,1,0),0))</f>
        <v/>
      </c>
      <c r="W56" s="67">
        <f>IF($J56+$L56=0,,IF($L56&lt;$J56,IF($J56&amp;"-"&amp;$L56&lt;&gt;constPunteggioForfait,1,0),0))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IF(I57="","",HYPERLINK(VLOOKUP(I57,areaCampiSquadre,3,FALSE),VLOOKUP(I57,areaCampiSquadre,2,FALSE)))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92" t="inlineStr">
        <is>
          <t>4E</t>
        </is>
      </c>
      <c r="B59" s="93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95" t="inlineStr">
        <is>
          <t>Gara N.</t>
        </is>
      </c>
      <c r="B60" s="95" t="inlineStr">
        <is>
          <t>Squadra A</t>
        </is>
      </c>
      <c r="C60" s="10" t="n"/>
      <c r="D60" s="95" t="inlineStr">
        <is>
          <t>Squadra B</t>
        </is>
      </c>
      <c r="E60" s="10" t="n"/>
      <c r="F60" s="95" t="inlineStr">
        <is>
          <t>Giorno</t>
        </is>
      </c>
      <c r="G60" s="95" t="inlineStr">
        <is>
          <t>Data</t>
        </is>
      </c>
      <c r="H60" s="95" t="inlineStr">
        <is>
          <t>Ora</t>
        </is>
      </c>
      <c r="I60" s="10" t="n"/>
      <c r="J60" s="95" t="inlineStr">
        <is>
          <t>Risultato</t>
        </is>
      </c>
      <c r="K60" s="9" t="n"/>
      <c r="L60" s="10" t="n"/>
    </row>
    <row r="61" ht="24" customHeight="1">
      <c r="A61" s="97">
        <f>MAX(A$10:A60)+1</f>
        <v/>
      </c>
      <c r="B61" s="61">
        <f>IF(C61="","",IFERROR(VLOOKUP(C61,areaNomiBreviSquadre,7,FALSE),""))</f>
        <v/>
      </c>
      <c r="C61" s="62" t="n"/>
      <c r="D61" s="61">
        <f>IF(E61="","",IFERROR(VLOOKUP(E61,areaNomiBreviSquadre,7,FALSE),""))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IF($J61+$L61=0,,IF($J61&lt;$L61,IF($J61&amp;"-"&amp;$L61=MID(constPunteggioForfait,FIND("-",constPunteggioForfait)+1,LEN(constPunteggioForfait))&amp;"-"&amp;LEFT(constPunteggioForfait,FIND("-",constPunteggioForfait)-1),1,0),0))</f>
        <v/>
      </c>
      <c r="P61" s="67">
        <f>IF($J61+$L61=0,,IF($J61&lt;$L61,IF($J61&amp;"-"&amp;$L61&lt;&gt;MID(constPunteggioForfait,FIND("-",constPunteggioForfait)+1,LEN(constPunteggioForfait))&amp;"-"&amp;LEFT(constPunteggioForfait,FIND("-",constPunteggioForfait)-1),1,0),0))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IF($J61+$L61=0,,IF($L61&lt;$J61,IF($J61&amp;"-"&amp;$L61=constPunteggioForfait,1,0),0))</f>
        <v/>
      </c>
      <c r="W61" s="67">
        <f>IF($J61+$L61=0,,IF($L61&lt;$J61,IF($J61&amp;"-"&amp;$L61&lt;&gt;constPunteggioForfait,1,0),0))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IF(I62="","",HYPERLINK(VLOOKUP(I62,areaCampiSquadre,3,FALSE),VLOOKUP(I62,areaCampiSquadre,2,FALSE)))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95" t="inlineStr">
        <is>
          <t>Gara N.</t>
        </is>
      </c>
      <c r="B63" s="95" t="inlineStr">
        <is>
          <t>Squadra A</t>
        </is>
      </c>
      <c r="C63" s="10" t="n"/>
      <c r="D63" s="95" t="inlineStr">
        <is>
          <t>Squadra B</t>
        </is>
      </c>
      <c r="E63" s="10" t="n"/>
      <c r="F63" s="95" t="inlineStr">
        <is>
          <t>Giorno</t>
        </is>
      </c>
      <c r="G63" s="95" t="inlineStr">
        <is>
          <t>Data</t>
        </is>
      </c>
      <c r="H63" s="95" t="inlineStr">
        <is>
          <t>Ora</t>
        </is>
      </c>
      <c r="I63" s="10" t="n"/>
      <c r="J63" s="95" t="inlineStr">
        <is>
          <t>Risultato</t>
        </is>
      </c>
      <c r="K63" s="9" t="n"/>
      <c r="L63" s="10" t="n"/>
    </row>
    <row r="64" ht="24" customHeight="1">
      <c r="A64" s="97">
        <f>MAX(A$10:A63)+1</f>
        <v/>
      </c>
      <c r="B64" s="61">
        <f>IF(C64="","",IFERROR(VLOOKUP(C64,areaNomiBreviSquadre,7,FALSE),""))</f>
        <v/>
      </c>
      <c r="C64" s="62" t="n"/>
      <c r="D64" s="61">
        <f>IF(E64="","",IFERROR(VLOOKUP(E64,areaNomiBreviSquadre,7,FALSE),""))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IF($J64+$L64=0,,IF($J64&lt;$L64,IF($J64&amp;"-"&amp;$L64=MID(constPunteggioForfait,FIND("-",constPunteggioForfait)+1,LEN(constPunteggioForfait))&amp;"-"&amp;LEFT(constPunteggioForfait,FIND("-",constPunteggioForfait)-1),1,0),0))</f>
        <v/>
      </c>
      <c r="P64" s="67">
        <f>IF($J64+$L64=0,,IF($J64&lt;$L64,IF($J64&amp;"-"&amp;$L64&lt;&gt;MID(constPunteggioForfait,FIND("-",constPunteggioForfait)+1,LEN(constPunteggioForfait))&amp;"-"&amp;LEFT(constPunteggioForfait,FIND("-",constPunteggioForfait)-1),1,0),0))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IF($J64+$L64=0,,IF($L64&lt;$J64,IF($J64&amp;"-"&amp;$L64=constPunteggioForfait,1,0),0))</f>
        <v/>
      </c>
      <c r="W64" s="67">
        <f>IF($J64+$L64=0,,IF($L64&lt;$J64,IF($J64&amp;"-"&amp;$L64&lt;&gt;constPunteggioForfait,1,0),0))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IF(I65="","",HYPERLINK(VLOOKUP(I65,areaCampiSquadre,3,FALSE),VLOOKUP(I65,areaCampiSquadre,2,FALSE)))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95" t="inlineStr">
        <is>
          <t>Gara N.</t>
        </is>
      </c>
      <c r="B66" s="95" t="inlineStr">
        <is>
          <t>Squadra A</t>
        </is>
      </c>
      <c r="C66" s="10" t="n"/>
      <c r="D66" s="95" t="inlineStr">
        <is>
          <t>Squadra B</t>
        </is>
      </c>
      <c r="E66" s="10" t="n"/>
      <c r="F66" s="95" t="inlineStr">
        <is>
          <t>Giorno</t>
        </is>
      </c>
      <c r="G66" s="95" t="inlineStr">
        <is>
          <t>Data</t>
        </is>
      </c>
      <c r="H66" s="95" t="inlineStr">
        <is>
          <t>Ora</t>
        </is>
      </c>
      <c r="I66" s="10" t="n"/>
      <c r="J66" s="95" t="inlineStr">
        <is>
          <t>Risultato</t>
        </is>
      </c>
      <c r="K66" s="9" t="n"/>
      <c r="L66" s="10" t="n"/>
    </row>
    <row r="67" ht="24" customHeight="1">
      <c r="A67" s="97">
        <f>MAX(A$10:A66)+1</f>
        <v/>
      </c>
      <c r="B67" s="61">
        <f>IF(C67="","",IFERROR(VLOOKUP(C67,areaNomiBreviSquadre,7,FALSE),""))</f>
        <v/>
      </c>
      <c r="C67" s="62" t="n"/>
      <c r="D67" s="61">
        <f>IF(E67="","",IFERROR(VLOOKUP(E67,areaNomiBreviSquadre,7,FALSE),""))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IF($J67+$L67=0,,IF($J67&lt;$L67,IF($J67&amp;"-"&amp;$L67=MID(constPunteggioForfait,FIND("-",constPunteggioForfait)+1,LEN(constPunteggioForfait))&amp;"-"&amp;LEFT(constPunteggioForfait,FIND("-",constPunteggioForfait)-1),1,0),0))</f>
        <v/>
      </c>
      <c r="P67" s="67">
        <f>IF($J67+$L67=0,,IF($J67&lt;$L67,IF($J67&amp;"-"&amp;$L67&lt;&gt;MID(constPunteggioForfait,FIND("-",constPunteggioForfait)+1,LEN(constPunteggioForfait))&amp;"-"&amp;LEFT(constPunteggioForfait,FIND("-",constPunteggioForfait)-1),1,0),0))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IF($J67+$L67=0,,IF($L67&lt;$J67,IF($J67&amp;"-"&amp;$L67=constPunteggioForfait,1,0),0))</f>
        <v/>
      </c>
      <c r="W67" s="67">
        <f>IF($J67+$L67=0,,IF($L67&lt;$J67,IF($J67&amp;"-"&amp;$L67&lt;&gt;constPunteggioForfait,1,0),0))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IF(I68="","",HYPERLINK(VLOOKUP(I68,areaCampiSquadre,3,FALSE),VLOOKUP(I68,areaCampiSquadre,2,FALSE)))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95" t="inlineStr">
        <is>
          <t>Gara N.</t>
        </is>
      </c>
      <c r="B69" s="95" t="inlineStr">
        <is>
          <t>Squadra A</t>
        </is>
      </c>
      <c r="C69" s="10" t="n"/>
      <c r="D69" s="95" t="inlineStr">
        <is>
          <t>Squadra B</t>
        </is>
      </c>
      <c r="E69" s="10" t="n"/>
      <c r="F69" s="95" t="inlineStr">
        <is>
          <t>Giorno</t>
        </is>
      </c>
      <c r="G69" s="95" t="inlineStr">
        <is>
          <t>Data</t>
        </is>
      </c>
      <c r="H69" s="95" t="inlineStr">
        <is>
          <t>Ora</t>
        </is>
      </c>
      <c r="I69" s="10" t="n"/>
      <c r="J69" s="95" t="inlineStr">
        <is>
          <t>Risultato</t>
        </is>
      </c>
      <c r="K69" s="9" t="n"/>
      <c r="L69" s="10" t="n"/>
    </row>
    <row r="70" ht="24" customHeight="1">
      <c r="A70" s="97">
        <f>MAX(A$10:A69)+1</f>
        <v/>
      </c>
      <c r="B70" s="61">
        <f>IF(C70="","",IFERROR(VLOOKUP(C70,areaNomiBreviSquadre,7,FALSE),""))</f>
        <v/>
      </c>
      <c r="C70" s="62" t="n"/>
      <c r="D70" s="61">
        <f>IF(E70="","",IFERROR(VLOOKUP(E70,areaNomiBreviSquadre,7,FALSE),""))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IF($J70+$L70=0,,IF($J70&lt;$L70,IF($J70&amp;"-"&amp;$L70=MID(constPunteggioForfait,FIND("-",constPunteggioForfait)+1,LEN(constPunteggioForfait))&amp;"-"&amp;LEFT(constPunteggioForfait,FIND("-",constPunteggioForfait)-1),1,0),0))</f>
        <v/>
      </c>
      <c r="P70" s="67">
        <f>IF($J70+$L70=0,,IF($J70&lt;$L70,IF($J70&amp;"-"&amp;$L70&lt;&gt;MID(constPunteggioForfait,FIND("-",constPunteggioForfait)+1,LEN(constPunteggioForfait))&amp;"-"&amp;LEFT(constPunteggioForfait,FIND("-",constPunteggioForfait)-1),1,0),0))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IF($J70+$L70=0,,IF($L70&lt;$J70,IF($J70&amp;"-"&amp;$L70=constPunteggioForfait,1,0),0))</f>
        <v/>
      </c>
      <c r="W70" s="67">
        <f>IF($J70+$L70=0,,IF($L70&lt;$J70,IF($J70&amp;"-"&amp;$L70&lt;&gt;constPunteggioForfait,1,0),0))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IF(I71="","",HYPERLINK(VLOOKUP(I71,areaCampiSquadre,3,FALSE),VLOOKUP(I71,areaCampiSquadre,2,FALSE)))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95" t="inlineStr">
        <is>
          <t>Gara N.</t>
        </is>
      </c>
      <c r="B72" s="95" t="inlineStr">
        <is>
          <t>Squadra A</t>
        </is>
      </c>
      <c r="C72" s="10" t="n"/>
      <c r="D72" s="95" t="inlineStr">
        <is>
          <t>Squadra B</t>
        </is>
      </c>
      <c r="E72" s="10" t="n"/>
      <c r="F72" s="95" t="inlineStr">
        <is>
          <t>Giorno</t>
        </is>
      </c>
      <c r="G72" s="95" t="inlineStr">
        <is>
          <t>Data</t>
        </is>
      </c>
      <c r="H72" s="95" t="inlineStr">
        <is>
          <t>Ora</t>
        </is>
      </c>
      <c r="I72" s="10" t="n"/>
      <c r="J72" s="95" t="inlineStr">
        <is>
          <t>Risultato</t>
        </is>
      </c>
      <c r="K72" s="9" t="n"/>
      <c r="L72" s="10" t="n"/>
    </row>
    <row r="73" ht="24" customHeight="1">
      <c r="A73" s="97">
        <f>MAX(A$10:A72)+1</f>
        <v/>
      </c>
      <c r="B73" s="61">
        <f>IF(C73="","",IFERROR(VLOOKUP(C73,areaNomiBreviSquadre,7,FALSE),""))</f>
        <v/>
      </c>
      <c r="C73" s="62" t="n"/>
      <c r="D73" s="61">
        <f>IF(E73="","",IFERROR(VLOOKUP(E73,areaNomiBreviSquadre,7,FALSE),""))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IF($J73+$L73=0,,IF($J73&lt;$L73,IF($J73&amp;"-"&amp;$L73=MID(constPunteggioForfait,FIND("-",constPunteggioForfait)+1,LEN(constPunteggioForfait))&amp;"-"&amp;LEFT(constPunteggioForfait,FIND("-",constPunteggioForfait)-1),1,0),0))</f>
        <v/>
      </c>
      <c r="P73" s="67">
        <f>IF($J73+$L73=0,,IF($J73&lt;$L73,IF($J73&amp;"-"&amp;$L73&lt;&gt;MID(constPunteggioForfait,FIND("-",constPunteggioForfait)+1,LEN(constPunteggioForfait))&amp;"-"&amp;LEFT(constPunteggioForfait,FIND("-",constPunteggioForfait)-1),1,0),0))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IF($J73+$L73=0,,IF($L73&lt;$J73,IF($J73&amp;"-"&amp;$L73=constPunteggioForfait,1,0),0))</f>
        <v/>
      </c>
      <c r="W73" s="67">
        <f>IF($J73+$L73=0,,IF($L73&lt;$J73,IF($J73&amp;"-"&amp;$L73&lt;&gt;constPunteggioForfait,1,0),0))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IF(I74="","",HYPERLINK(VLOOKUP(I74,areaCampiSquadre,3,FALSE),VLOOKUP(I74,areaCampiSquadre,2,FALSE)))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92" t="inlineStr">
        <is>
          <t>5E</t>
        </is>
      </c>
      <c r="B76" s="93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95" t="inlineStr">
        <is>
          <t>Gara N.</t>
        </is>
      </c>
      <c r="B77" s="95" t="inlineStr">
        <is>
          <t>Squadra A</t>
        </is>
      </c>
      <c r="C77" s="10" t="n"/>
      <c r="D77" s="95" t="inlineStr">
        <is>
          <t>Squadra B</t>
        </is>
      </c>
      <c r="E77" s="10" t="n"/>
      <c r="F77" s="95" t="inlineStr">
        <is>
          <t>Giorno</t>
        </is>
      </c>
      <c r="G77" s="95" t="inlineStr">
        <is>
          <t>Data</t>
        </is>
      </c>
      <c r="H77" s="95" t="inlineStr">
        <is>
          <t>Ora</t>
        </is>
      </c>
      <c r="I77" s="10" t="n"/>
      <c r="J77" s="95" t="inlineStr">
        <is>
          <t>Risultato</t>
        </is>
      </c>
      <c r="K77" s="9" t="n"/>
      <c r="L77" s="10" t="n"/>
    </row>
    <row r="78" ht="24" customHeight="1">
      <c r="A78" s="97">
        <f>MAX(A$10:A77)+1</f>
        <v/>
      </c>
      <c r="B78" s="61">
        <f>IF(C78="","",IFERROR(VLOOKUP(C78,areaNomiBreviSquadre,7,FALSE),""))</f>
        <v/>
      </c>
      <c r="C78" s="62" t="n"/>
      <c r="D78" s="61">
        <f>IF(E78="","",IFERROR(VLOOKUP(E78,areaNomiBreviSquadre,7,FALSE),""))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IF($J78+$L78=0,,IF($J78&lt;$L78,IF($J78&amp;"-"&amp;$L78=MID(constPunteggioForfait,FIND("-",constPunteggioForfait)+1,LEN(constPunteggioForfait))&amp;"-"&amp;LEFT(constPunteggioForfait,FIND("-",constPunteggioForfait)-1),1,0),0))</f>
        <v/>
      </c>
      <c r="P78" s="67">
        <f>IF($J78+$L78=0,,IF($J78&lt;$L78,IF($J78&amp;"-"&amp;$L78&lt;&gt;MID(constPunteggioForfait,FIND("-",constPunteggioForfait)+1,LEN(constPunteggioForfait))&amp;"-"&amp;LEFT(constPunteggioForfait,FIND("-",constPunteggioForfait)-1),1,0),0))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IF($J78+$L78=0,,IF($L78&lt;$J78,IF($J78&amp;"-"&amp;$L78=constPunteggioForfait,1,0),0))</f>
        <v/>
      </c>
      <c r="W78" s="67">
        <f>IF($J78+$L78=0,,IF($L78&lt;$J78,IF($J78&amp;"-"&amp;$L78&lt;&gt;constPunteggioForfait,1,0),0))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IF(I79="","",HYPERLINK(VLOOKUP(I79,areaCampiSquadre,3,FALSE),VLOOKUP(I79,areaCampiSquadre,2,FALSE)))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95" t="inlineStr">
        <is>
          <t>Gara N.</t>
        </is>
      </c>
      <c r="B80" s="95" t="inlineStr">
        <is>
          <t>Squadra A</t>
        </is>
      </c>
      <c r="C80" s="10" t="n"/>
      <c r="D80" s="95" t="inlineStr">
        <is>
          <t>Squadra B</t>
        </is>
      </c>
      <c r="E80" s="10" t="n"/>
      <c r="F80" s="95" t="inlineStr">
        <is>
          <t>Giorno</t>
        </is>
      </c>
      <c r="G80" s="95" t="inlineStr">
        <is>
          <t>Data</t>
        </is>
      </c>
      <c r="H80" s="95" t="inlineStr">
        <is>
          <t>Ora</t>
        </is>
      </c>
      <c r="I80" s="10" t="n"/>
      <c r="J80" s="95" t="inlineStr">
        <is>
          <t>Risultato</t>
        </is>
      </c>
      <c r="K80" s="9" t="n"/>
      <c r="L80" s="10" t="n"/>
    </row>
    <row r="81" ht="24" customHeight="1">
      <c r="A81" s="97">
        <f>MAX(A$10:A80)+1</f>
        <v/>
      </c>
      <c r="B81" s="61">
        <f>IF(C81="","",IFERROR(VLOOKUP(C81,areaNomiBreviSquadre,7,FALSE),""))</f>
        <v/>
      </c>
      <c r="C81" s="62" t="n"/>
      <c r="D81" s="61">
        <f>IF(E81="","",IFERROR(VLOOKUP(E81,areaNomiBreviSquadre,7,FALSE),""))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IF($J81+$L81=0,,IF($J81&lt;$L81,IF($J81&amp;"-"&amp;$L81=MID(constPunteggioForfait,FIND("-",constPunteggioForfait)+1,LEN(constPunteggioForfait))&amp;"-"&amp;LEFT(constPunteggioForfait,FIND("-",constPunteggioForfait)-1),1,0),0))</f>
        <v/>
      </c>
      <c r="P81" s="67">
        <f>IF($J81+$L81=0,,IF($J81&lt;$L81,IF($J81&amp;"-"&amp;$L81&lt;&gt;MID(constPunteggioForfait,FIND("-",constPunteggioForfait)+1,LEN(constPunteggioForfait))&amp;"-"&amp;LEFT(constPunteggioForfait,FIND("-",constPunteggioForfait)-1),1,0),0))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IF($J81+$L81=0,,IF($L81&lt;$J81,IF($J81&amp;"-"&amp;$L81=constPunteggioForfait,1,0),0))</f>
        <v/>
      </c>
      <c r="W81" s="67">
        <f>IF($J81+$L81=0,,IF($L81&lt;$J81,IF($J81&amp;"-"&amp;$L81&lt;&gt;constPunteggioForfait,1,0),0))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IF(I82="","",HYPERLINK(VLOOKUP(I82,areaCampiSquadre,3,FALSE),VLOOKUP(I82,areaCampiSquadre,2,FALSE)))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95" t="inlineStr">
        <is>
          <t>Gara N.</t>
        </is>
      </c>
      <c r="B83" s="95" t="inlineStr">
        <is>
          <t>Squadra A</t>
        </is>
      </c>
      <c r="C83" s="10" t="n"/>
      <c r="D83" s="95" t="inlineStr">
        <is>
          <t>Squadra B</t>
        </is>
      </c>
      <c r="E83" s="10" t="n"/>
      <c r="F83" s="95" t="inlineStr">
        <is>
          <t>Giorno</t>
        </is>
      </c>
      <c r="G83" s="95" t="inlineStr">
        <is>
          <t>Data</t>
        </is>
      </c>
      <c r="H83" s="95" t="inlineStr">
        <is>
          <t>Ora</t>
        </is>
      </c>
      <c r="I83" s="10" t="n"/>
      <c r="J83" s="95" t="inlineStr">
        <is>
          <t>Risultato</t>
        </is>
      </c>
      <c r="K83" s="9" t="n"/>
      <c r="L83" s="10" t="n"/>
    </row>
    <row r="84" ht="24" customHeight="1">
      <c r="A84" s="97">
        <f>MAX(A$10:A83)+1</f>
        <v/>
      </c>
      <c r="B84" s="61">
        <f>IF(C84="","",IFERROR(VLOOKUP(C84,areaNomiBreviSquadre,7,FALSE),""))</f>
        <v/>
      </c>
      <c r="C84" s="62" t="n"/>
      <c r="D84" s="61">
        <f>IF(E84="","",IFERROR(VLOOKUP(E84,areaNomiBreviSquadre,7,FALSE),""))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IF($J84+$L84=0,,IF($J84&lt;$L84,IF($J84&amp;"-"&amp;$L84=MID(constPunteggioForfait,FIND("-",constPunteggioForfait)+1,LEN(constPunteggioForfait))&amp;"-"&amp;LEFT(constPunteggioForfait,FIND("-",constPunteggioForfait)-1),1,0),0))</f>
        <v/>
      </c>
      <c r="P84" s="67">
        <f>IF($J84+$L84=0,,IF($J84&lt;$L84,IF($J84&amp;"-"&amp;$L84&lt;&gt;MID(constPunteggioForfait,FIND("-",constPunteggioForfait)+1,LEN(constPunteggioForfait))&amp;"-"&amp;LEFT(constPunteggioForfait,FIND("-",constPunteggioForfait)-1),1,0),0))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IF($J84+$L84=0,,IF($L84&lt;$J84,IF($J84&amp;"-"&amp;$L84=constPunteggioForfait,1,0),0))</f>
        <v/>
      </c>
      <c r="W84" s="67">
        <f>IF($J84+$L84=0,,IF($L84&lt;$J84,IF($J84&amp;"-"&amp;$L84&lt;&gt;constPunteggioForfait,1,0),0))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IF(I85="","",HYPERLINK(VLOOKUP(I85,areaCampiSquadre,3,FALSE),VLOOKUP(I85,areaCampiSquadre,2,FALSE)))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95" t="inlineStr">
        <is>
          <t>Gara N.</t>
        </is>
      </c>
      <c r="B86" s="95" t="inlineStr">
        <is>
          <t>Squadra A</t>
        </is>
      </c>
      <c r="C86" s="10" t="n"/>
      <c r="D86" s="95" t="inlineStr">
        <is>
          <t>Squadra B</t>
        </is>
      </c>
      <c r="E86" s="10" t="n"/>
      <c r="F86" s="95" t="inlineStr">
        <is>
          <t>Giorno</t>
        </is>
      </c>
      <c r="G86" s="95" t="inlineStr">
        <is>
          <t>Data</t>
        </is>
      </c>
      <c r="H86" s="95" t="inlineStr">
        <is>
          <t>Ora</t>
        </is>
      </c>
      <c r="I86" s="10" t="n"/>
      <c r="J86" s="95" t="inlineStr">
        <is>
          <t>Risultato</t>
        </is>
      </c>
      <c r="K86" s="9" t="n"/>
      <c r="L86" s="10" t="n"/>
    </row>
    <row r="87" ht="24" customHeight="1">
      <c r="A87" s="97">
        <f>MAX(A$10:A86)+1</f>
        <v/>
      </c>
      <c r="B87" s="61">
        <f>IF(C87="","",IFERROR(VLOOKUP(C87,areaNomiBreviSquadre,7,FALSE),""))</f>
        <v/>
      </c>
      <c r="C87" s="62" t="n"/>
      <c r="D87" s="61">
        <f>IF(E87="","",IFERROR(VLOOKUP(E87,areaNomiBreviSquadre,7,FALSE),""))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IF($J87+$L87=0,,IF($J87&lt;$L87,IF($J87&amp;"-"&amp;$L87=MID(constPunteggioForfait,FIND("-",constPunteggioForfait)+1,LEN(constPunteggioForfait))&amp;"-"&amp;LEFT(constPunteggioForfait,FIND("-",constPunteggioForfait)-1),1,0),0))</f>
        <v/>
      </c>
      <c r="P87" s="67">
        <f>IF($J87+$L87=0,,IF($J87&lt;$L87,IF($J87&amp;"-"&amp;$L87&lt;&gt;MID(constPunteggioForfait,FIND("-",constPunteggioForfait)+1,LEN(constPunteggioForfait))&amp;"-"&amp;LEFT(constPunteggioForfait,FIND("-",constPunteggioForfait)-1),1,0),0))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IF($J87+$L87=0,,IF($L87&lt;$J87,IF($J87&amp;"-"&amp;$L87=constPunteggioForfait,1,0),0))</f>
        <v/>
      </c>
      <c r="W87" s="67">
        <f>IF($J87+$L87=0,,IF($L87&lt;$J87,IF($J87&amp;"-"&amp;$L87&lt;&gt;constPunteggioForfait,1,0),0))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IF(I88="","",HYPERLINK(VLOOKUP(I88,areaCampiSquadre,3,FALSE),VLOOKUP(I88,areaCampiSquadre,2,FALSE)))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95" t="inlineStr">
        <is>
          <t>Gara N.</t>
        </is>
      </c>
      <c r="B89" s="95" t="inlineStr">
        <is>
          <t>Squadra A</t>
        </is>
      </c>
      <c r="C89" s="10" t="n"/>
      <c r="D89" s="95" t="inlineStr">
        <is>
          <t>Squadra B</t>
        </is>
      </c>
      <c r="E89" s="10" t="n"/>
      <c r="F89" s="95" t="inlineStr">
        <is>
          <t>Giorno</t>
        </is>
      </c>
      <c r="G89" s="95" t="inlineStr">
        <is>
          <t>Data</t>
        </is>
      </c>
      <c r="H89" s="95" t="inlineStr">
        <is>
          <t>Ora</t>
        </is>
      </c>
      <c r="I89" s="10" t="n"/>
      <c r="J89" s="95" t="inlineStr">
        <is>
          <t>Risultato</t>
        </is>
      </c>
      <c r="K89" s="9" t="n"/>
      <c r="L89" s="10" t="n"/>
    </row>
    <row r="90" ht="24" customHeight="1">
      <c r="A90" s="97">
        <f>MAX(A$10:A89)+1</f>
        <v/>
      </c>
      <c r="B90" s="61">
        <f>IF(C90="","",IFERROR(VLOOKUP(C90,areaNomiBreviSquadre,7,FALSE),""))</f>
        <v/>
      </c>
      <c r="C90" s="62" t="n"/>
      <c r="D90" s="61">
        <f>IF(E90="","",IFERROR(VLOOKUP(E90,areaNomiBreviSquadre,7,FALSE),""))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IF($J90+$L90=0,,IF($J90&lt;$L90,IF($J90&amp;"-"&amp;$L90=MID(constPunteggioForfait,FIND("-",constPunteggioForfait)+1,LEN(constPunteggioForfait))&amp;"-"&amp;LEFT(constPunteggioForfait,FIND("-",constPunteggioForfait)-1),1,0),0))</f>
        <v/>
      </c>
      <c r="P90" s="67">
        <f>IF($J90+$L90=0,,IF($J90&lt;$L90,IF($J90&amp;"-"&amp;$L90&lt;&gt;MID(constPunteggioForfait,FIND("-",constPunteggioForfait)+1,LEN(constPunteggioForfait))&amp;"-"&amp;LEFT(constPunteggioForfait,FIND("-",constPunteggioForfait)-1),1,0),0))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IF($J90+$L90=0,,IF($L90&lt;$J90,IF($J90&amp;"-"&amp;$L90=constPunteggioForfait,1,0),0))</f>
        <v/>
      </c>
      <c r="W90" s="67">
        <f>IF($J90+$L90=0,,IF($L90&lt;$J90,IF($J90&amp;"-"&amp;$L90&lt;&gt;constPunteggioForfait,1,0),0))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IF(I91="","",HYPERLINK(VLOOKUP(I91,areaCampiSquadre,3,FALSE),VLOOKUP(I91,areaCampiSquadre,2,FALSE)))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92" t="inlineStr">
        <is>
          <t>6E</t>
        </is>
      </c>
      <c r="B93" s="93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95" t="inlineStr">
        <is>
          <t>Gara N.</t>
        </is>
      </c>
      <c r="B94" s="95" t="inlineStr">
        <is>
          <t>Squadra A</t>
        </is>
      </c>
      <c r="C94" s="10" t="n"/>
      <c r="D94" s="95" t="inlineStr">
        <is>
          <t>Squadra B</t>
        </is>
      </c>
      <c r="E94" s="10" t="n"/>
      <c r="F94" s="95" t="inlineStr">
        <is>
          <t>Giorno</t>
        </is>
      </c>
      <c r="G94" s="95" t="inlineStr">
        <is>
          <t>Data</t>
        </is>
      </c>
      <c r="H94" s="95" t="inlineStr">
        <is>
          <t>Ora</t>
        </is>
      </c>
      <c r="I94" s="10" t="n"/>
      <c r="J94" s="95" t="inlineStr">
        <is>
          <t>Risultato</t>
        </is>
      </c>
      <c r="K94" s="9" t="n"/>
      <c r="L94" s="10" t="n"/>
    </row>
    <row r="95" ht="24" customHeight="1">
      <c r="A95" s="97">
        <f>MAX(A$10:A94)+1</f>
        <v/>
      </c>
      <c r="B95" s="61">
        <f>IF(C95="","",IFERROR(VLOOKUP(C95,areaNomiBreviSquadre,7,FALSE),""))</f>
        <v/>
      </c>
      <c r="C95" s="62" t="n"/>
      <c r="D95" s="61">
        <f>IF(E95="","",IFERROR(VLOOKUP(E95,areaNomiBreviSquadre,7,FALSE),""))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95" t="inlineStr">
        <is>
          <t>Gara N.</t>
        </is>
      </c>
      <c r="B97" s="95" t="inlineStr">
        <is>
          <t>Squadra A</t>
        </is>
      </c>
      <c r="C97" s="10" t="n"/>
      <c r="D97" s="95" t="inlineStr">
        <is>
          <t>Squadra B</t>
        </is>
      </c>
      <c r="E97" s="10" t="n"/>
      <c r="F97" s="95" t="inlineStr">
        <is>
          <t>Giorno</t>
        </is>
      </c>
      <c r="G97" s="95" t="inlineStr">
        <is>
          <t>Data</t>
        </is>
      </c>
      <c r="H97" s="95" t="inlineStr">
        <is>
          <t>Ora</t>
        </is>
      </c>
      <c r="I97" s="10" t="n"/>
      <c r="J97" s="95" t="inlineStr">
        <is>
          <t>Risultato</t>
        </is>
      </c>
      <c r="K97" s="9" t="n"/>
      <c r="L97" s="10" t="n"/>
    </row>
    <row r="98" ht="24" customHeight="1">
      <c r="A98" s="97">
        <f>MAX(A$10:A97)+1</f>
        <v/>
      </c>
      <c r="B98" s="61">
        <f>IF(C98="","",IFERROR(VLOOKUP(C98,areaNomiBreviSquadre,7,FALSE),""))</f>
        <v/>
      </c>
      <c r="C98" s="62" t="n"/>
      <c r="D98" s="61">
        <f>IF(E98="","",IFERROR(VLOOKUP(E98,areaNomiBreviSquadre,7,FALSE),""))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95" t="inlineStr">
        <is>
          <t>Gara N.</t>
        </is>
      </c>
      <c r="B100" s="95" t="inlineStr">
        <is>
          <t>Squadra A</t>
        </is>
      </c>
      <c r="C100" s="10" t="n"/>
      <c r="D100" s="95" t="inlineStr">
        <is>
          <t>Squadra B</t>
        </is>
      </c>
      <c r="E100" s="10" t="n"/>
      <c r="F100" s="95" t="inlineStr">
        <is>
          <t>Giorno</t>
        </is>
      </c>
      <c r="G100" s="95" t="inlineStr">
        <is>
          <t>Data</t>
        </is>
      </c>
      <c r="H100" s="95" t="inlineStr">
        <is>
          <t>Ora</t>
        </is>
      </c>
      <c r="I100" s="10" t="n"/>
      <c r="J100" s="95" t="inlineStr">
        <is>
          <t>Risultato</t>
        </is>
      </c>
      <c r="K100" s="9" t="n"/>
      <c r="L100" s="10" t="n"/>
    </row>
    <row r="101" ht="24" customHeight="1">
      <c r="A101" s="97">
        <f>MAX(A$10:A100)+1</f>
        <v/>
      </c>
      <c r="B101" s="61">
        <f>IF(C101="","",IFERROR(VLOOKUP(C101,areaNomiBreviSquadre,7,FALSE),""))</f>
        <v/>
      </c>
      <c r="C101" s="62" t="n"/>
      <c r="D101" s="61">
        <f>IF(E101="","",IFERROR(VLOOKUP(E101,areaNomiBreviSquadre,7,FALSE),""))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95" t="inlineStr">
        <is>
          <t>Gara N.</t>
        </is>
      </c>
      <c r="B103" s="95" t="inlineStr">
        <is>
          <t>Squadra A</t>
        </is>
      </c>
      <c r="C103" s="10" t="n"/>
      <c r="D103" s="95" t="inlineStr">
        <is>
          <t>Squadra B</t>
        </is>
      </c>
      <c r="E103" s="10" t="n"/>
      <c r="F103" s="95" t="inlineStr">
        <is>
          <t>Giorno</t>
        </is>
      </c>
      <c r="G103" s="95" t="inlineStr">
        <is>
          <t>Data</t>
        </is>
      </c>
      <c r="H103" s="95" t="inlineStr">
        <is>
          <t>Ora</t>
        </is>
      </c>
      <c r="I103" s="10" t="n"/>
      <c r="J103" s="95" t="inlineStr">
        <is>
          <t>Risultato</t>
        </is>
      </c>
      <c r="K103" s="9" t="n"/>
      <c r="L103" s="10" t="n"/>
    </row>
    <row r="104" ht="24" customHeight="1">
      <c r="A104" s="97">
        <f>MAX(A$10:A103)+1</f>
        <v/>
      </c>
      <c r="B104" s="61">
        <f>IF(C104="","",IFERROR(VLOOKUP(C104,areaNomiBreviSquadre,7,FALSE),""))</f>
        <v/>
      </c>
      <c r="C104" s="62" t="n"/>
      <c r="D104" s="61">
        <f>IF(E104="","",IFERROR(VLOOKUP(E104,areaNomiBreviSquadre,7,FALSE),""))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IF($J104+$L104=0,,IF($J104&lt;$L104,IF($J104&amp;"-"&amp;$L104=MID(constPunteggioForfait,FIND("-",constPunteggioForfait)+1,LEN(constPunteggioForfait))&amp;"-"&amp;LEFT(constPunteggioForfait,FIND("-",constPunteggioForfait)-1),1,0),0))</f>
        <v/>
      </c>
      <c r="P104" s="67">
        <f>IF($J104+$L104=0,,IF($J104&lt;$L104,IF($J104&amp;"-"&amp;$L104&lt;&gt;MID(constPunteggioForfait,FIND("-",constPunteggioForfait)+1,LEN(constPunteggioForfait))&amp;"-"&amp;LEFT(constPunteggioForfait,FIND("-",constPunteggioForfait)-1),1,0),0))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IF($J104+$L104=0,,IF($L104&lt;$J104,IF($J104&amp;"-"&amp;$L104=constPunteggioForfait,1,0),0))</f>
        <v/>
      </c>
      <c r="W104" s="67">
        <f>IF($J104+$L104=0,,IF($L104&lt;$J104,IF($J104&amp;"-"&amp;$L104&lt;&gt;constPunteggioForfait,1,0),0))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IF(I105="","",HYPERLINK(VLOOKUP(I105,areaCampiSquadre,3,FALSE),VLOOKUP(I105,areaCampiSquadre,2,FALSE)))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95" t="inlineStr">
        <is>
          <t>Gara N.</t>
        </is>
      </c>
      <c r="B106" s="95" t="inlineStr">
        <is>
          <t>Squadra A</t>
        </is>
      </c>
      <c r="C106" s="10" t="n"/>
      <c r="D106" s="95" t="inlineStr">
        <is>
          <t>Squadra B</t>
        </is>
      </c>
      <c r="E106" s="10" t="n"/>
      <c r="F106" s="95" t="inlineStr">
        <is>
          <t>Giorno</t>
        </is>
      </c>
      <c r="G106" s="95" t="inlineStr">
        <is>
          <t>Data</t>
        </is>
      </c>
      <c r="H106" s="95" t="inlineStr">
        <is>
          <t>Ora</t>
        </is>
      </c>
      <c r="I106" s="10" t="n"/>
      <c r="J106" s="95" t="inlineStr">
        <is>
          <t>Risultato</t>
        </is>
      </c>
      <c r="K106" s="9" t="n"/>
      <c r="L106" s="10" t="n"/>
    </row>
    <row r="107" ht="24" customHeight="1">
      <c r="A107" s="97">
        <f>MAX(A$10:A106)+1</f>
        <v/>
      </c>
      <c r="B107" s="61">
        <f>IF(C107="","",IFERROR(VLOOKUP(C107,areaNomiBreviSquadre,7,FALSE),""))</f>
        <v/>
      </c>
      <c r="C107" s="62" t="n"/>
      <c r="D107" s="61">
        <f>IF(E107="","",IFERROR(VLOOKUP(E107,areaNomiBreviSquadre,7,FALSE),""))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IF($J107+$L107=0,,IF($J107&lt;$L107,IF($J107&amp;"-"&amp;$L107=MID(constPunteggioForfait,FIND("-",constPunteggioForfait)+1,LEN(constPunteggioForfait))&amp;"-"&amp;LEFT(constPunteggioForfait,FIND("-",constPunteggioForfait)-1),1,0),0))</f>
        <v/>
      </c>
      <c r="P107" s="67">
        <f>IF($J107+$L107=0,,IF($J107&lt;$L107,IF($J107&amp;"-"&amp;$L107&lt;&gt;MID(constPunteggioForfait,FIND("-",constPunteggioForfait)+1,LEN(constPunteggioForfait))&amp;"-"&amp;LEFT(constPunteggioForfait,FIND("-",constPunteggioForfait)-1),1,0),0))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IF($J107+$L107=0,,IF($L107&lt;$J107,IF($J107&amp;"-"&amp;$L107=constPunteggioForfait,1,0),0))</f>
        <v/>
      </c>
      <c r="W107" s="67">
        <f>IF($J107+$L107=0,,IF($L107&lt;$J107,IF($J107&amp;"-"&amp;$L107&lt;&gt;constPunteggioForfait,1,0),0))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IF(I108="","",HYPERLINK(VLOOKUP(I108,areaCampiSquadre,3,FALSE),VLOOKUP(I108,areaCampiSquadre,2,FALSE)))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92" t="inlineStr">
        <is>
          <t>7E</t>
        </is>
      </c>
      <c r="B110" s="93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95" t="inlineStr">
        <is>
          <t>Gara N.</t>
        </is>
      </c>
      <c r="B111" s="95" t="inlineStr">
        <is>
          <t>Squadra A</t>
        </is>
      </c>
      <c r="C111" s="10" t="n"/>
      <c r="D111" s="95" t="inlineStr">
        <is>
          <t>Squadra B</t>
        </is>
      </c>
      <c r="E111" s="10" t="n"/>
      <c r="F111" s="95" t="inlineStr">
        <is>
          <t>Giorno</t>
        </is>
      </c>
      <c r="G111" s="95" t="inlineStr">
        <is>
          <t>Data</t>
        </is>
      </c>
      <c r="H111" s="95" t="inlineStr">
        <is>
          <t>Ora</t>
        </is>
      </c>
      <c r="I111" s="10" t="n"/>
      <c r="J111" s="95" t="inlineStr">
        <is>
          <t>Risultato</t>
        </is>
      </c>
      <c r="K111" s="9" t="n"/>
      <c r="L111" s="10" t="n"/>
    </row>
    <row r="112" ht="24" customHeight="1">
      <c r="A112" s="97">
        <f>MAX(A$10:A111)+1</f>
        <v/>
      </c>
      <c r="B112" s="61">
        <f>IF(C112="","",IFERROR(VLOOKUP(C112,areaNomiBreviSquadre,7,FALSE),""))</f>
        <v/>
      </c>
      <c r="C112" s="62" t="n"/>
      <c r="D112" s="61">
        <f>IF(E112="","",IFERROR(VLOOKUP(E112,areaNomiBreviSquadre,7,FALSE),""))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95" t="inlineStr">
        <is>
          <t>Gara N.</t>
        </is>
      </c>
      <c r="B114" s="95" t="inlineStr">
        <is>
          <t>Squadra A</t>
        </is>
      </c>
      <c r="C114" s="10" t="n"/>
      <c r="D114" s="95" t="inlineStr">
        <is>
          <t>Squadra B</t>
        </is>
      </c>
      <c r="E114" s="10" t="n"/>
      <c r="F114" s="95" t="inlineStr">
        <is>
          <t>Giorno</t>
        </is>
      </c>
      <c r="G114" s="95" t="inlineStr">
        <is>
          <t>Data</t>
        </is>
      </c>
      <c r="H114" s="95" t="inlineStr">
        <is>
          <t>Ora</t>
        </is>
      </c>
      <c r="I114" s="10" t="n"/>
      <c r="J114" s="95" t="inlineStr">
        <is>
          <t>Risultato</t>
        </is>
      </c>
      <c r="K114" s="9" t="n"/>
      <c r="L114" s="10" t="n"/>
    </row>
    <row r="115" ht="24" customHeight="1">
      <c r="A115" s="97">
        <f>MAX(A$10:A114)+1</f>
        <v/>
      </c>
      <c r="B115" s="61">
        <f>IF(C115="","",IFERROR(VLOOKUP(C115,areaNomiBreviSquadre,7,FALSE),""))</f>
        <v/>
      </c>
      <c r="C115" s="62" t="n"/>
      <c r="D115" s="61">
        <f>IF(E115="","",IFERROR(VLOOKUP(E115,areaNomiBreviSquadre,7,FALSE),""))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95" t="inlineStr">
        <is>
          <t>Gara N.</t>
        </is>
      </c>
      <c r="B117" s="95" t="inlineStr">
        <is>
          <t>Squadra A</t>
        </is>
      </c>
      <c r="C117" s="10" t="n"/>
      <c r="D117" s="95" t="inlineStr">
        <is>
          <t>Squadra B</t>
        </is>
      </c>
      <c r="E117" s="10" t="n"/>
      <c r="F117" s="95" t="inlineStr">
        <is>
          <t>Giorno</t>
        </is>
      </c>
      <c r="G117" s="95" t="inlineStr">
        <is>
          <t>Data</t>
        </is>
      </c>
      <c r="H117" s="95" t="inlineStr">
        <is>
          <t>Ora</t>
        </is>
      </c>
      <c r="I117" s="10" t="n"/>
      <c r="J117" s="95" t="inlineStr">
        <is>
          <t>Risultato</t>
        </is>
      </c>
      <c r="K117" s="9" t="n"/>
      <c r="L117" s="10" t="n"/>
    </row>
    <row r="118" ht="24" customHeight="1">
      <c r="A118" s="97">
        <f>MAX(A$10:A117)+1</f>
        <v/>
      </c>
      <c r="B118" s="61">
        <f>IF(C118="","",IFERROR(VLOOKUP(C118,areaNomiBreviSquadre,7,FALSE),""))</f>
        <v/>
      </c>
      <c r="C118" s="62" t="n"/>
      <c r="D118" s="61">
        <f>IF(E118="","",IFERROR(VLOOKUP(E118,areaNomiBreviSquadre,7,FALSE),""))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95" t="inlineStr">
        <is>
          <t>Gara N.</t>
        </is>
      </c>
      <c r="B120" s="95" t="inlineStr">
        <is>
          <t>Squadra A</t>
        </is>
      </c>
      <c r="C120" s="10" t="n"/>
      <c r="D120" s="95" t="inlineStr">
        <is>
          <t>Squadra B</t>
        </is>
      </c>
      <c r="E120" s="10" t="n"/>
      <c r="F120" s="95" t="inlineStr">
        <is>
          <t>Giorno</t>
        </is>
      </c>
      <c r="G120" s="95" t="inlineStr">
        <is>
          <t>Data</t>
        </is>
      </c>
      <c r="H120" s="95" t="inlineStr">
        <is>
          <t>Ora</t>
        </is>
      </c>
      <c r="I120" s="10" t="n"/>
      <c r="J120" s="95" t="inlineStr">
        <is>
          <t>Risultato</t>
        </is>
      </c>
      <c r="K120" s="9" t="n"/>
      <c r="L120" s="10" t="n"/>
    </row>
    <row r="121" ht="24" customHeight="1">
      <c r="A121" s="97">
        <f>MAX(A$10:A120)+1</f>
        <v/>
      </c>
      <c r="B121" s="61">
        <f>IF(C121="","",IFERROR(VLOOKUP(C121,areaNomiBreviSquadre,7,FALSE),""))</f>
        <v/>
      </c>
      <c r="C121" s="62" t="n"/>
      <c r="D121" s="61">
        <f>IF(E121="","",IFERROR(VLOOKUP(E121,areaNomiBreviSquadre,7,FALSE),""))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95" t="inlineStr">
        <is>
          <t>Gara N.</t>
        </is>
      </c>
      <c r="B123" s="95" t="inlineStr">
        <is>
          <t>Squadra A</t>
        </is>
      </c>
      <c r="C123" s="10" t="n"/>
      <c r="D123" s="95" t="inlineStr">
        <is>
          <t>Squadra B</t>
        </is>
      </c>
      <c r="E123" s="10" t="n"/>
      <c r="F123" s="95" t="inlineStr">
        <is>
          <t>Giorno</t>
        </is>
      </c>
      <c r="G123" s="95" t="inlineStr">
        <is>
          <t>Data</t>
        </is>
      </c>
      <c r="H123" s="95" t="inlineStr">
        <is>
          <t>Ora</t>
        </is>
      </c>
      <c r="I123" s="10" t="n"/>
      <c r="J123" s="95" t="inlineStr">
        <is>
          <t>Risultato</t>
        </is>
      </c>
      <c r="K123" s="9" t="n"/>
      <c r="L123" s="10" t="n"/>
    </row>
    <row r="124" ht="24" customHeight="1">
      <c r="A124" s="97">
        <f>MAX(A$10:A123)+1</f>
        <v/>
      </c>
      <c r="B124" s="61">
        <f>IF(C124="","",IFERROR(VLOOKUP(C124,areaNomiBreviSquadre,7,FALSE),""))</f>
        <v/>
      </c>
      <c r="C124" s="62" t="n"/>
      <c r="D124" s="61">
        <f>IF(E124="","",IFERROR(VLOOKUP(E124,areaNomiBreviSquadre,7,FALSE),""))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92" t="inlineStr">
        <is>
          <t>8E</t>
        </is>
      </c>
      <c r="B127" s="93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95" t="inlineStr">
        <is>
          <t>Gara N.</t>
        </is>
      </c>
      <c r="B128" s="95" t="inlineStr">
        <is>
          <t>Squadra A</t>
        </is>
      </c>
      <c r="C128" s="10" t="n"/>
      <c r="D128" s="95" t="inlineStr">
        <is>
          <t>Squadra B</t>
        </is>
      </c>
      <c r="E128" s="10" t="n"/>
      <c r="F128" s="95" t="inlineStr">
        <is>
          <t>Giorno</t>
        </is>
      </c>
      <c r="G128" s="95" t="inlineStr">
        <is>
          <t>Data</t>
        </is>
      </c>
      <c r="H128" s="95" t="inlineStr">
        <is>
          <t>Ora</t>
        </is>
      </c>
      <c r="I128" s="10" t="n"/>
      <c r="J128" s="95" t="inlineStr">
        <is>
          <t>Risultato</t>
        </is>
      </c>
      <c r="K128" s="9" t="n"/>
      <c r="L128" s="10" t="n"/>
    </row>
    <row r="129" ht="24" customHeight="1">
      <c r="A129" s="97">
        <f>MAX(A$10:A128)+1</f>
        <v/>
      </c>
      <c r="B129" s="61">
        <f>IF(C129="","",IFERROR(VLOOKUP(C129,areaNomiBreviSquadre,7,FALSE),""))</f>
        <v/>
      </c>
      <c r="C129" s="62" t="n"/>
      <c r="D129" s="61">
        <f>IF(E129="","",IFERROR(VLOOKUP(E129,areaNomiBreviSquadre,7,FALSE),""))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IF($J129+$L129=0,,IF($J129&lt;$L129,IF($J129&amp;"-"&amp;$L129=MID(constPunteggioForfait,FIND("-",constPunteggioForfait)+1,LEN(constPunteggioForfait))&amp;"-"&amp;LEFT(constPunteggioForfait,FIND("-",constPunteggioForfait)-1),1,0),0))</f>
        <v/>
      </c>
      <c r="P129" s="67">
        <f>IF($J129+$L129=0,,IF($J129&lt;$L129,IF($J129&amp;"-"&amp;$L129&lt;&gt;MID(constPunteggioForfait,FIND("-",constPunteggioForfait)+1,LEN(constPunteggioForfait))&amp;"-"&amp;LEFT(constPunteggioForfait,FIND("-",constPunteggioForfait)-1),1,0),0))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IF($J129+$L129=0,,IF($L129&lt;$J129,IF($J129&amp;"-"&amp;$L129=constPunteggioForfait,1,0),0))</f>
        <v/>
      </c>
      <c r="W129" s="67">
        <f>IF($J129+$L129=0,,IF($L129&lt;$J129,IF($J129&amp;"-"&amp;$L129&lt;&gt;constPunteggioForfait,1,0),0))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IF(I130="","",HYPERLINK(VLOOKUP(I130,areaCampiSquadre,3,FALSE),VLOOKUP(I130,areaCampiSquadre,2,FALSE)))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95" t="inlineStr">
        <is>
          <t>Gara N.</t>
        </is>
      </c>
      <c r="B131" s="95" t="inlineStr">
        <is>
          <t>Squadra A</t>
        </is>
      </c>
      <c r="C131" s="10" t="n"/>
      <c r="D131" s="95" t="inlineStr">
        <is>
          <t>Squadra B</t>
        </is>
      </c>
      <c r="E131" s="10" t="n"/>
      <c r="F131" s="95" t="inlineStr">
        <is>
          <t>Giorno</t>
        </is>
      </c>
      <c r="G131" s="95" t="inlineStr">
        <is>
          <t>Data</t>
        </is>
      </c>
      <c r="H131" s="95" t="inlineStr">
        <is>
          <t>Ora</t>
        </is>
      </c>
      <c r="I131" s="10" t="n"/>
      <c r="J131" s="95" t="inlineStr">
        <is>
          <t>Risultato</t>
        </is>
      </c>
      <c r="K131" s="9" t="n"/>
      <c r="L131" s="10" t="n"/>
    </row>
    <row r="132" ht="24" customHeight="1">
      <c r="A132" s="97">
        <f>MAX(A$10:A131)+1</f>
        <v/>
      </c>
      <c r="B132" s="61">
        <f>IF(C132="","",IFERROR(VLOOKUP(C132,areaNomiBreviSquadre,7,FALSE),""))</f>
        <v/>
      </c>
      <c r="C132" s="62" t="n"/>
      <c r="D132" s="61">
        <f>IF(E132="","",IFERROR(VLOOKUP(E132,areaNomiBreviSquadre,7,FALSE),""))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IF($J132+$L132=0,,IF($J132&lt;$L132,IF($J132&amp;"-"&amp;$L132=MID(constPunteggioForfait,FIND("-",constPunteggioForfait)+1,LEN(constPunteggioForfait))&amp;"-"&amp;LEFT(constPunteggioForfait,FIND("-",constPunteggioForfait)-1),1,0),0))</f>
        <v/>
      </c>
      <c r="P132" s="67">
        <f>IF($J132+$L132=0,,IF($J132&lt;$L132,IF($J132&amp;"-"&amp;$L132&lt;&gt;MID(constPunteggioForfait,FIND("-",constPunteggioForfait)+1,LEN(constPunteggioForfait))&amp;"-"&amp;LEFT(constPunteggioForfait,FIND("-",constPunteggioForfait)-1),1,0),0))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IF($J132+$L132=0,,IF($L132&lt;$J132,IF($J132&amp;"-"&amp;$L132=constPunteggioForfait,1,0),0))</f>
        <v/>
      </c>
      <c r="W132" s="67">
        <f>IF($J132+$L132=0,,IF($L132&lt;$J132,IF($J132&amp;"-"&amp;$L132&lt;&gt;constPunteggioForfait,1,0),0))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IF(I133="","",HYPERLINK(VLOOKUP(I133,areaCampiSquadre,3,FALSE),VLOOKUP(I133,areaCampiSquadre,2,FALSE)))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95" t="inlineStr">
        <is>
          <t>Gara N.</t>
        </is>
      </c>
      <c r="B134" s="95" t="inlineStr">
        <is>
          <t>Squadra A</t>
        </is>
      </c>
      <c r="C134" s="10" t="n"/>
      <c r="D134" s="95" t="inlineStr">
        <is>
          <t>Squadra B</t>
        </is>
      </c>
      <c r="E134" s="10" t="n"/>
      <c r="F134" s="95" t="inlineStr">
        <is>
          <t>Giorno</t>
        </is>
      </c>
      <c r="G134" s="95" t="inlineStr">
        <is>
          <t>Data</t>
        </is>
      </c>
      <c r="H134" s="95" t="inlineStr">
        <is>
          <t>Ora</t>
        </is>
      </c>
      <c r="I134" s="10" t="n"/>
      <c r="J134" s="95" t="inlineStr">
        <is>
          <t>Risultato</t>
        </is>
      </c>
      <c r="K134" s="9" t="n"/>
      <c r="L134" s="10" t="n"/>
    </row>
    <row r="135" ht="24" customHeight="1">
      <c r="A135" s="97">
        <f>MAX(A$10:A134)+1</f>
        <v/>
      </c>
      <c r="B135" s="61">
        <f>IF(C135="","",IFERROR(VLOOKUP(C135,areaNomiBreviSquadre,7,FALSE),""))</f>
        <v/>
      </c>
      <c r="C135" s="62" t="n"/>
      <c r="D135" s="61">
        <f>IF(E135="","",IFERROR(VLOOKUP(E135,areaNomiBreviSquadre,7,FALSE),""))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IF($J135+$L135=0,,IF($J135&lt;$L135,IF($J135&amp;"-"&amp;$L135=MID(constPunteggioForfait,FIND("-",constPunteggioForfait)+1,LEN(constPunteggioForfait))&amp;"-"&amp;LEFT(constPunteggioForfait,FIND("-",constPunteggioForfait)-1),1,0),0))</f>
        <v/>
      </c>
      <c r="P135" s="67">
        <f>IF($J135+$L135=0,,IF($J135&lt;$L135,IF($J135&amp;"-"&amp;$L135&lt;&gt;MID(constPunteggioForfait,FIND("-",constPunteggioForfait)+1,LEN(constPunteggioForfait))&amp;"-"&amp;LEFT(constPunteggioForfait,FIND("-",constPunteggioForfait)-1),1,0),0))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IF($J135+$L135=0,,IF($L135&lt;$J135,IF($J135&amp;"-"&amp;$L135=constPunteggioForfait,1,0),0))</f>
        <v/>
      </c>
      <c r="W135" s="67">
        <f>IF($J135+$L135=0,,IF($L135&lt;$J135,IF($J135&amp;"-"&amp;$L135&lt;&gt;constPunteggioForfait,1,0),0))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IF(I136="","",HYPERLINK(VLOOKUP(I136,areaCampiSquadre,3,FALSE),VLOOKUP(I136,areaCampiSquadre,2,FALSE)))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95" t="inlineStr">
        <is>
          <t>Gara N.</t>
        </is>
      </c>
      <c r="B137" s="95" t="inlineStr">
        <is>
          <t>Squadra A</t>
        </is>
      </c>
      <c r="C137" s="10" t="n"/>
      <c r="D137" s="95" t="inlineStr">
        <is>
          <t>Squadra B</t>
        </is>
      </c>
      <c r="E137" s="10" t="n"/>
      <c r="F137" s="95" t="inlineStr">
        <is>
          <t>Giorno</t>
        </is>
      </c>
      <c r="G137" s="95" t="inlineStr">
        <is>
          <t>Data</t>
        </is>
      </c>
      <c r="H137" s="95" t="inlineStr">
        <is>
          <t>Ora</t>
        </is>
      </c>
      <c r="I137" s="10" t="n"/>
      <c r="J137" s="95" t="inlineStr">
        <is>
          <t>Risultato</t>
        </is>
      </c>
      <c r="K137" s="9" t="n"/>
      <c r="L137" s="10" t="n"/>
    </row>
    <row r="138" ht="24" customHeight="1">
      <c r="A138" s="97">
        <f>MAX(A$10:A137)+1</f>
        <v/>
      </c>
      <c r="B138" s="61">
        <f>IF(C138="","",IFERROR(VLOOKUP(C138,areaNomiBreviSquadre,7,FALSE),""))</f>
        <v/>
      </c>
      <c r="C138" s="62" t="n"/>
      <c r="D138" s="61">
        <f>IF(E138="","",IFERROR(VLOOKUP(E138,areaNomiBreviSquadre,7,FALSE),""))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95" t="inlineStr">
        <is>
          <t>Gara N.</t>
        </is>
      </c>
      <c r="B140" s="95" t="inlineStr">
        <is>
          <t>Squadra A</t>
        </is>
      </c>
      <c r="C140" s="10" t="n"/>
      <c r="D140" s="95" t="inlineStr">
        <is>
          <t>Squadra B</t>
        </is>
      </c>
      <c r="E140" s="10" t="n"/>
      <c r="F140" s="95" t="inlineStr">
        <is>
          <t>Giorno</t>
        </is>
      </c>
      <c r="G140" s="95" t="inlineStr">
        <is>
          <t>Data</t>
        </is>
      </c>
      <c r="H140" s="95" t="inlineStr">
        <is>
          <t>Ora</t>
        </is>
      </c>
      <c r="I140" s="10" t="n"/>
      <c r="J140" s="95" t="inlineStr">
        <is>
          <t>Risultato</t>
        </is>
      </c>
      <c r="K140" s="9" t="n"/>
      <c r="L140" s="10" t="n"/>
    </row>
    <row r="141" ht="24" customHeight="1">
      <c r="A141" s="97">
        <f>MAX(A$10:A140)+1</f>
        <v/>
      </c>
      <c r="B141" s="61">
        <f>IF(C141="","",IFERROR(VLOOKUP(C141,areaNomiBreviSquadre,7,FALSE),""))</f>
        <v/>
      </c>
      <c r="C141" s="62" t="n"/>
      <c r="D141" s="61">
        <f>IF(E141="","",IFERROR(VLOOKUP(E141,areaNomiBreviSquadre,7,FALSE),""))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92" t="inlineStr">
        <is>
          <t>9E</t>
        </is>
      </c>
      <c r="B144" s="93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95" t="inlineStr">
        <is>
          <t>Gara N.</t>
        </is>
      </c>
      <c r="B145" s="95" t="inlineStr">
        <is>
          <t>Squadra A</t>
        </is>
      </c>
      <c r="C145" s="10" t="n"/>
      <c r="D145" s="95" t="inlineStr">
        <is>
          <t>Squadra B</t>
        </is>
      </c>
      <c r="E145" s="10" t="n"/>
      <c r="F145" s="95" t="inlineStr">
        <is>
          <t>Giorno</t>
        </is>
      </c>
      <c r="G145" s="95" t="inlineStr">
        <is>
          <t>Data</t>
        </is>
      </c>
      <c r="H145" s="95" t="inlineStr">
        <is>
          <t>Ora</t>
        </is>
      </c>
      <c r="I145" s="10" t="n"/>
      <c r="J145" s="95" t="inlineStr">
        <is>
          <t>Risultato</t>
        </is>
      </c>
      <c r="K145" s="9" t="n"/>
      <c r="L145" s="10" t="n"/>
    </row>
    <row r="146" ht="24" customHeight="1">
      <c r="A146" s="97">
        <f>MAX(A$10:A145)+1</f>
        <v/>
      </c>
      <c r="B146" s="61">
        <f>IF(C146="","",IFERROR(VLOOKUP(C146,areaNomiBreviSquadre,7,FALSE),""))</f>
        <v/>
      </c>
      <c r="C146" s="62" t="n"/>
      <c r="D146" s="61">
        <f>IF(E146="","",IFERROR(VLOOKUP(E146,areaNomiBreviSquadre,7,FALSE),""))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IF($J146+$L146=0,,IF($J146&lt;$L146,IF($J146&amp;"-"&amp;$L146=MID(constPunteggioForfait,FIND("-",constPunteggioForfait)+1,LEN(constPunteggioForfait))&amp;"-"&amp;LEFT(constPunteggioForfait,FIND("-",constPunteggioForfait)-1),1,0),0))</f>
        <v/>
      </c>
      <c r="P146" s="67">
        <f>IF($J146+$L146=0,,IF($J146&lt;$L146,IF($J146&amp;"-"&amp;$L146&lt;&gt;MID(constPunteggioForfait,FIND("-",constPunteggioForfait)+1,LEN(constPunteggioForfait))&amp;"-"&amp;LEFT(constPunteggioForfait,FIND("-",constPunteggioForfait)-1),1,0),0))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IF($J146+$L146=0,,IF($L146&lt;$J146,IF($J146&amp;"-"&amp;$L146=constPunteggioForfait,1,0),0))</f>
        <v/>
      </c>
      <c r="W146" s="67">
        <f>IF($J146+$L146=0,,IF($L146&lt;$J146,IF($J146&amp;"-"&amp;$L146&lt;&gt;constPunteggioForfait,1,0),0))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IF(I147="","",HYPERLINK(VLOOKUP(I147,areaCampiSquadre,3,FALSE),VLOOKUP(I147,areaCampiSquadre,2,FALSE)))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95" t="inlineStr">
        <is>
          <t>Gara N.</t>
        </is>
      </c>
      <c r="B148" s="95" t="inlineStr">
        <is>
          <t>Squadra A</t>
        </is>
      </c>
      <c r="C148" s="10" t="n"/>
      <c r="D148" s="95" t="inlineStr">
        <is>
          <t>Squadra B</t>
        </is>
      </c>
      <c r="E148" s="10" t="n"/>
      <c r="F148" s="95" t="inlineStr">
        <is>
          <t>Giorno</t>
        </is>
      </c>
      <c r="G148" s="95" t="inlineStr">
        <is>
          <t>Data</t>
        </is>
      </c>
      <c r="H148" s="95" t="inlineStr">
        <is>
          <t>Ora</t>
        </is>
      </c>
      <c r="I148" s="10" t="n"/>
      <c r="J148" s="95" t="inlineStr">
        <is>
          <t>Risultato</t>
        </is>
      </c>
      <c r="K148" s="9" t="n"/>
      <c r="L148" s="10" t="n"/>
    </row>
    <row r="149" ht="24" customHeight="1">
      <c r="A149" s="97">
        <f>MAX(A$10:A148)+1</f>
        <v/>
      </c>
      <c r="B149" s="61">
        <f>IF(C149="","",IFERROR(VLOOKUP(C149,areaNomiBreviSquadre,7,FALSE),""))</f>
        <v/>
      </c>
      <c r="C149" s="62" t="n"/>
      <c r="D149" s="61">
        <f>IF(E149="","",IFERROR(VLOOKUP(E149,areaNomiBreviSquadre,7,FALSE),""))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IF($J149+$L149=0,,IF($J149&lt;$L149,IF($J149&amp;"-"&amp;$L149=MID(constPunteggioForfait,FIND("-",constPunteggioForfait)+1,LEN(constPunteggioForfait))&amp;"-"&amp;LEFT(constPunteggioForfait,FIND("-",constPunteggioForfait)-1),1,0),0))</f>
        <v/>
      </c>
      <c r="P149" s="67">
        <f>IF($J149+$L149=0,,IF($J149&lt;$L149,IF($J149&amp;"-"&amp;$L149&lt;&gt;MID(constPunteggioForfait,FIND("-",constPunteggioForfait)+1,LEN(constPunteggioForfait))&amp;"-"&amp;LEFT(constPunteggioForfait,FIND("-",constPunteggioForfait)-1),1,0),0))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IF($J149+$L149=0,,IF($L149&lt;$J149,IF($J149&amp;"-"&amp;$L149=constPunteggioForfait,1,0),0))</f>
        <v/>
      </c>
      <c r="W149" s="67">
        <f>IF($J149+$L149=0,,IF($L149&lt;$J149,IF($J149&amp;"-"&amp;$L149&lt;&gt;constPunteggioForfait,1,0),0))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IF(I150="","",HYPERLINK(VLOOKUP(I150,areaCampiSquadre,3,FALSE),VLOOKUP(I150,areaCampiSquadre,2,FALSE)))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95" t="inlineStr">
        <is>
          <t>Gara N.</t>
        </is>
      </c>
      <c r="B151" s="95" t="inlineStr">
        <is>
          <t>Squadra A</t>
        </is>
      </c>
      <c r="C151" s="10" t="n"/>
      <c r="D151" s="95" t="inlineStr">
        <is>
          <t>Squadra B</t>
        </is>
      </c>
      <c r="E151" s="10" t="n"/>
      <c r="F151" s="95" t="inlineStr">
        <is>
          <t>Giorno</t>
        </is>
      </c>
      <c r="G151" s="95" t="inlineStr">
        <is>
          <t>Data</t>
        </is>
      </c>
      <c r="H151" s="95" t="inlineStr">
        <is>
          <t>Ora</t>
        </is>
      </c>
      <c r="I151" s="10" t="n"/>
      <c r="J151" s="95" t="inlineStr">
        <is>
          <t>Risultato</t>
        </is>
      </c>
      <c r="K151" s="9" t="n"/>
      <c r="L151" s="10" t="n"/>
    </row>
    <row r="152" ht="24" customHeight="1">
      <c r="A152" s="97">
        <f>MAX(A$10:A151)+1</f>
        <v/>
      </c>
      <c r="B152" s="61">
        <f>IF(C152="","",IFERROR(VLOOKUP(C152,areaNomiBreviSquadre,7,FALSE),""))</f>
        <v/>
      </c>
      <c r="C152" s="62" t="n"/>
      <c r="D152" s="61">
        <f>IF(E152="","",IFERROR(VLOOKUP(E152,areaNomiBreviSquadre,7,FALSE),""))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IF($J152+$L152=0,,IF($J152&lt;$L152,IF($J152&amp;"-"&amp;$L152=MID(constPunteggioForfait,FIND("-",constPunteggioForfait)+1,LEN(constPunteggioForfait))&amp;"-"&amp;LEFT(constPunteggioForfait,FIND("-",constPunteggioForfait)-1),1,0),0))</f>
        <v/>
      </c>
      <c r="P152" s="67">
        <f>IF($J152+$L152=0,,IF($J152&lt;$L152,IF($J152&amp;"-"&amp;$L152&lt;&gt;MID(constPunteggioForfait,FIND("-",constPunteggioForfait)+1,LEN(constPunteggioForfait))&amp;"-"&amp;LEFT(constPunteggioForfait,FIND("-",constPunteggioForfait)-1),1,0),0))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IF($J152+$L152=0,,IF($L152&lt;$J152,IF($J152&amp;"-"&amp;$L152=constPunteggioForfait,1,0),0))</f>
        <v/>
      </c>
      <c r="W152" s="67">
        <f>IF($J152+$L152=0,,IF($L152&lt;$J152,IF($J152&amp;"-"&amp;$L152&lt;&gt;constPunteggioForfait,1,0),0))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IF(I153="","",HYPERLINK(VLOOKUP(I153,areaCampiSquadre,3,FALSE),VLOOKUP(I153,areaCampiSquadre,2,FALSE)))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95" t="inlineStr">
        <is>
          <t>Gara N.</t>
        </is>
      </c>
      <c r="B154" s="95" t="inlineStr">
        <is>
          <t>Squadra A</t>
        </is>
      </c>
      <c r="C154" s="10" t="n"/>
      <c r="D154" s="95" t="inlineStr">
        <is>
          <t>Squadra B</t>
        </is>
      </c>
      <c r="E154" s="10" t="n"/>
      <c r="F154" s="95" t="inlineStr">
        <is>
          <t>Giorno</t>
        </is>
      </c>
      <c r="G154" s="95" t="inlineStr">
        <is>
          <t>Data</t>
        </is>
      </c>
      <c r="H154" s="95" t="inlineStr">
        <is>
          <t>Ora</t>
        </is>
      </c>
      <c r="I154" s="10" t="n"/>
      <c r="J154" s="95" t="inlineStr">
        <is>
          <t>Risultato</t>
        </is>
      </c>
      <c r="K154" s="9" t="n"/>
      <c r="L154" s="10" t="n"/>
    </row>
    <row r="155" ht="24" customHeight="1">
      <c r="A155" s="97">
        <f>MAX(A$10:A154)+1</f>
        <v/>
      </c>
      <c r="B155" s="61">
        <f>IF(C155="","",IFERROR(VLOOKUP(C155,areaNomiBreviSquadre,7,FALSE),""))</f>
        <v/>
      </c>
      <c r="C155" s="62" t="n"/>
      <c r="D155" s="61">
        <f>IF(E155="","",IFERROR(VLOOKUP(E155,areaNomiBreviSquadre,7,FALSE),""))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IF($J155+$L155=0,,IF($J155&lt;$L155,IF($J155&amp;"-"&amp;$L155=MID(constPunteggioForfait,FIND("-",constPunteggioForfait)+1,LEN(constPunteggioForfait))&amp;"-"&amp;LEFT(constPunteggioForfait,FIND("-",constPunteggioForfait)-1),1,0),0))</f>
        <v/>
      </c>
      <c r="P155" s="67">
        <f>IF($J155+$L155=0,,IF($J155&lt;$L155,IF($J155&amp;"-"&amp;$L155&lt;&gt;MID(constPunteggioForfait,FIND("-",constPunteggioForfait)+1,LEN(constPunteggioForfait))&amp;"-"&amp;LEFT(constPunteggioForfait,FIND("-",constPunteggioForfait)-1),1,0),0))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IF($J155+$L155=0,,IF($L155&lt;$J155,IF($J155&amp;"-"&amp;$L155=constPunteggioForfait,1,0),0))</f>
        <v/>
      </c>
      <c r="W155" s="67">
        <f>IF($J155+$L155=0,,IF($L155&lt;$J155,IF($J155&amp;"-"&amp;$L155&lt;&gt;constPunteggioForfait,1,0),0))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IF(I156="","",HYPERLINK(VLOOKUP(I156,areaCampiSquadre,3,FALSE),VLOOKUP(I156,areaCampiSquadre,2,FALSE)))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95" t="inlineStr">
        <is>
          <t>Gara N.</t>
        </is>
      </c>
      <c r="B157" s="95" t="inlineStr">
        <is>
          <t>Squadra A</t>
        </is>
      </c>
      <c r="C157" s="10" t="n"/>
      <c r="D157" s="95" t="inlineStr">
        <is>
          <t>Squadra B</t>
        </is>
      </c>
      <c r="E157" s="10" t="n"/>
      <c r="F157" s="95" t="inlineStr">
        <is>
          <t>Giorno</t>
        </is>
      </c>
      <c r="G157" s="95" t="inlineStr">
        <is>
          <t>Data</t>
        </is>
      </c>
      <c r="H157" s="95" t="inlineStr">
        <is>
          <t>Ora</t>
        </is>
      </c>
      <c r="I157" s="10" t="n"/>
      <c r="J157" s="95" t="inlineStr">
        <is>
          <t>Risultato</t>
        </is>
      </c>
      <c r="K157" s="9" t="n"/>
      <c r="L157" s="10" t="n"/>
    </row>
    <row r="158" ht="24" customHeight="1">
      <c r="A158" s="97">
        <f>MAX(A$10:A157)+1</f>
        <v/>
      </c>
      <c r="B158" s="61">
        <f>IF(C158="","",IFERROR(VLOOKUP(C158,areaNomiBreviSquadre,7,FALSE),""))</f>
        <v/>
      </c>
      <c r="C158" s="62" t="n"/>
      <c r="D158" s="61">
        <f>IF(E158="","",IFERROR(VLOOKUP(E158,areaNomiBreviSquadre,7,FALSE),""))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IF($J158+$L158=0,,IF($J158&lt;$L158,IF($J158&amp;"-"&amp;$L158=MID(constPunteggioForfait,FIND("-",constPunteggioForfait)+1,LEN(constPunteggioForfait))&amp;"-"&amp;LEFT(constPunteggioForfait,FIND("-",constPunteggioForfait)-1),1,0),0))</f>
        <v/>
      </c>
      <c r="P158" s="67">
        <f>IF($J158+$L158=0,,IF($J158&lt;$L158,IF($J158&amp;"-"&amp;$L158&lt;&gt;MID(constPunteggioForfait,FIND("-",constPunteggioForfait)+1,LEN(constPunteggioForfait))&amp;"-"&amp;LEFT(constPunteggioForfait,FIND("-",constPunteggioForfait)-1),1,0),0))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IF($J158+$L158=0,,IF($L158&lt;$J158,IF($J158&amp;"-"&amp;$L158=constPunteggioForfait,1,0),0))</f>
        <v/>
      </c>
      <c r="W158" s="67">
        <f>IF($J158+$L158=0,,IF($L158&lt;$J158,IF($J158&amp;"-"&amp;$L158&lt;&gt;constPunteggioForfait,1,0),0))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IF(I159="","",HYPERLINK(VLOOKUP(I159,areaCampiSquadre,3,FALSE),VLOOKUP(I159,areaCampiSquadre,2,FALSE)))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FF11827A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 t="str">
        <f>IFERROR(IMAGE(constLogo1),"")</f>
        <v/>
      </c>
      <c r="I1" t="str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98">
        <f>"GIRONE "&amp;UPPER($O$3)&amp;" - Stagione "&amp;constStagionaCampionato</f>
        <v/>
      </c>
      <c r="M3" t="str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99" t="inlineStr">
        <is>
          <t>1F</t>
        </is>
      </c>
      <c r="B8" s="100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02" t="inlineStr">
        <is>
          <t>Gara N.</t>
        </is>
      </c>
      <c r="B9" s="102" t="inlineStr">
        <is>
          <t>Squadra A</t>
        </is>
      </c>
      <c r="C9" s="10" t="n"/>
      <c r="D9" s="102" t="inlineStr">
        <is>
          <t>Squadra B</t>
        </is>
      </c>
      <c r="E9" s="10" t="n"/>
      <c r="F9" s="102" t="inlineStr">
        <is>
          <t>Giorno</t>
        </is>
      </c>
      <c r="G9" s="102" t="inlineStr">
        <is>
          <t>Data</t>
        </is>
      </c>
      <c r="H9" s="102" t="inlineStr">
        <is>
          <t>Ora</t>
        </is>
      </c>
      <c r="I9" s="10" t="n"/>
      <c r="J9" s="102" t="inlineStr">
        <is>
          <t>Risultato</t>
        </is>
      </c>
      <c r="K9" s="9" t="n"/>
      <c r="L9" s="10" t="n"/>
    </row>
    <row r="10" ht="24" customHeight="1">
      <c r="A10" s="104" t="n">
        <v>226</v>
      </c>
      <c r="B10" s="61">
        <f>IF(C10="","",IFERROR(VLOOKUP(C10,areaNomiBreviSquadre,7,FALSE),""))</f>
        <v/>
      </c>
      <c r="C10" s="62" t="n"/>
      <c r="D10" s="61">
        <f>IF(E10="","",IFERROR(VLOOKUP(E10,areaNomiBreviSquadre,7,FALSE),""))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102" t="inlineStr">
        <is>
          <t>Gara N.</t>
        </is>
      </c>
      <c r="B12" s="102" t="inlineStr">
        <is>
          <t>Squadra A</t>
        </is>
      </c>
      <c r="C12" s="10" t="n"/>
      <c r="D12" s="102" t="inlineStr">
        <is>
          <t>Squadra B</t>
        </is>
      </c>
      <c r="E12" s="10" t="n"/>
      <c r="F12" s="102" t="inlineStr">
        <is>
          <t>Giorno</t>
        </is>
      </c>
      <c r="G12" s="102" t="inlineStr">
        <is>
          <t>Data</t>
        </is>
      </c>
      <c r="H12" s="102" t="inlineStr">
        <is>
          <t>Ora</t>
        </is>
      </c>
      <c r="I12" s="10" t="n"/>
      <c r="J12" s="102" t="inlineStr">
        <is>
          <t>Risultato</t>
        </is>
      </c>
      <c r="K12" s="9" t="n"/>
      <c r="L12" s="10" t="n"/>
    </row>
    <row r="13" ht="24" customHeight="1">
      <c r="A13" s="104">
        <f>MAX(A$10:A12)+1</f>
        <v/>
      </c>
      <c r="B13" s="61">
        <f>IF(C13="","",IFERROR(VLOOKUP(C13,areaNomiBreviSquadre,7,FALSE),""))</f>
        <v/>
      </c>
      <c r="C13" s="62" t="n"/>
      <c r="D13" s="61">
        <f>IF(E13="","",IFERROR(VLOOKUP(E13,areaNomiBreviSquadre,7,FALSE),""))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102" t="inlineStr">
        <is>
          <t>Gara N.</t>
        </is>
      </c>
      <c r="B15" s="102" t="inlineStr">
        <is>
          <t>Squadra A</t>
        </is>
      </c>
      <c r="C15" s="10" t="n"/>
      <c r="D15" s="102" t="inlineStr">
        <is>
          <t>Squadra B</t>
        </is>
      </c>
      <c r="E15" s="10" t="n"/>
      <c r="F15" s="102" t="inlineStr">
        <is>
          <t>Giorno</t>
        </is>
      </c>
      <c r="G15" s="102" t="inlineStr">
        <is>
          <t>Data</t>
        </is>
      </c>
      <c r="H15" s="102" t="inlineStr">
        <is>
          <t>Ora</t>
        </is>
      </c>
      <c r="I15" s="10" t="n"/>
      <c r="J15" s="102" t="inlineStr">
        <is>
          <t>Risultato</t>
        </is>
      </c>
      <c r="K15" s="9" t="n"/>
      <c r="L15" s="10" t="n"/>
    </row>
    <row r="16" ht="24" customHeight="1">
      <c r="A16" s="104">
        <f>MAX(A$10:A15)+1</f>
        <v/>
      </c>
      <c r="B16" s="61">
        <f>IF(C16="","",IFERROR(VLOOKUP(C16,areaNomiBreviSquadre,7,FALSE),""))</f>
        <v/>
      </c>
      <c r="C16" s="62" t="n"/>
      <c r="D16" s="61">
        <f>IF(E16="","",IFERROR(VLOOKUP(E16,areaNomiBreviSquadre,7,FALSE),""))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102" t="inlineStr">
        <is>
          <t>Gara N.</t>
        </is>
      </c>
      <c r="B18" s="102" t="inlineStr">
        <is>
          <t>Squadra A</t>
        </is>
      </c>
      <c r="C18" s="10" t="n"/>
      <c r="D18" s="102" t="inlineStr">
        <is>
          <t>Squadra B</t>
        </is>
      </c>
      <c r="E18" s="10" t="n"/>
      <c r="F18" s="102" t="inlineStr">
        <is>
          <t>Giorno</t>
        </is>
      </c>
      <c r="G18" s="102" t="inlineStr">
        <is>
          <t>Data</t>
        </is>
      </c>
      <c r="H18" s="102" t="inlineStr">
        <is>
          <t>Ora</t>
        </is>
      </c>
      <c r="I18" s="10" t="n"/>
      <c r="J18" s="102" t="inlineStr">
        <is>
          <t>Risultato</t>
        </is>
      </c>
      <c r="K18" s="9" t="n"/>
      <c r="L18" s="10" t="n"/>
    </row>
    <row r="19" ht="24" customHeight="1">
      <c r="A19" s="104">
        <f>MAX(A$10:A18)+1</f>
        <v/>
      </c>
      <c r="B19" s="61">
        <f>IF(C19="","",IFERROR(VLOOKUP(C19,areaNomiBreviSquadre,7,FALSE),""))</f>
        <v/>
      </c>
      <c r="C19" s="62" t="n"/>
      <c r="D19" s="61">
        <f>IF(E19="","",IFERROR(VLOOKUP(E19,areaNomiBreviSquadre,7,FALSE),""))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102" t="inlineStr">
        <is>
          <t>Gara N.</t>
        </is>
      </c>
      <c r="B21" s="102" t="inlineStr">
        <is>
          <t>Squadra A</t>
        </is>
      </c>
      <c r="C21" s="10" t="n"/>
      <c r="D21" s="102" t="inlineStr">
        <is>
          <t>Squadra B</t>
        </is>
      </c>
      <c r="E21" s="10" t="n"/>
      <c r="F21" s="102" t="inlineStr">
        <is>
          <t>Giorno</t>
        </is>
      </c>
      <c r="G21" s="102" t="inlineStr">
        <is>
          <t>Data</t>
        </is>
      </c>
      <c r="H21" s="102" t="inlineStr">
        <is>
          <t>Ora</t>
        </is>
      </c>
      <c r="I21" s="10" t="n"/>
      <c r="J21" s="102" t="inlineStr">
        <is>
          <t>Risultato</t>
        </is>
      </c>
      <c r="K21" s="9" t="n"/>
      <c r="L21" s="10" t="n"/>
    </row>
    <row r="22" ht="24" customHeight="1">
      <c r="A22" s="104">
        <f>MAX(A$10:A21)+1</f>
        <v/>
      </c>
      <c r="B22" s="61">
        <f>IF(C22="","",IFERROR(VLOOKUP(C22,areaNomiBreviSquadre,7,FALSE),""))</f>
        <v/>
      </c>
      <c r="C22" s="62" t="n"/>
      <c r="D22" s="61">
        <f>IF(E22="","",IFERROR(VLOOKUP(E22,areaNomiBreviSquadre,7,FALSE),""))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99" t="inlineStr">
        <is>
          <t>2F</t>
        </is>
      </c>
      <c r="B25" s="100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102" t="inlineStr">
        <is>
          <t>Gara N.</t>
        </is>
      </c>
      <c r="B26" s="102" t="inlineStr">
        <is>
          <t>Squadra A</t>
        </is>
      </c>
      <c r="C26" s="10" t="n"/>
      <c r="D26" s="102" t="inlineStr">
        <is>
          <t>Squadra B</t>
        </is>
      </c>
      <c r="E26" s="10" t="n"/>
      <c r="F26" s="102" t="inlineStr">
        <is>
          <t>Giorno</t>
        </is>
      </c>
      <c r="G26" s="102" t="inlineStr">
        <is>
          <t>Data</t>
        </is>
      </c>
      <c r="H26" s="102" t="inlineStr">
        <is>
          <t>Ora</t>
        </is>
      </c>
      <c r="I26" s="10" t="n"/>
      <c r="J26" s="102" t="inlineStr">
        <is>
          <t>Risultato</t>
        </is>
      </c>
      <c r="K26" s="9" t="n"/>
      <c r="L26" s="10" t="n"/>
    </row>
    <row r="27" ht="24" customHeight="1">
      <c r="A27" s="104">
        <f>MAX(A$10:A26)+1</f>
        <v/>
      </c>
      <c r="B27" s="61">
        <f>IF(C27="","",IFERROR(VLOOKUP(C27,areaNomiBreviSquadre,7,FALSE),""))</f>
        <v/>
      </c>
      <c r="C27" s="62" t="n"/>
      <c r="D27" s="61">
        <f>IF(E27="","",IFERROR(VLOOKUP(E27,areaNomiBreviSquadre,7,FALSE),""))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IF($J27+$L27=0,,IF($J27&lt;$L27,IF($J27&amp;"-"&amp;$L27=MID(constPunteggioForfait,FIND("-",constPunteggioForfait)+1,LEN(constPunteggioForfait))&amp;"-"&amp;LEFT(constPunteggioForfait,FIND("-",constPunteggioForfait)-1),1,0),0))</f>
        <v/>
      </c>
      <c r="P27" s="67">
        <f>IF($J27+$L27=0,,IF($J27&lt;$L27,IF($J27&amp;"-"&amp;$L27&lt;&gt;MID(constPunteggioForfait,FIND("-",constPunteggioForfait)+1,LEN(constPunteggioForfait))&amp;"-"&amp;LEFT(constPunteggioForfait,FIND("-",constPunteggioForfait)-1),1,0),0))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IF($J27+$L27=0,,IF($L27&lt;$J27,IF($J27&amp;"-"&amp;$L27=constPunteggioForfait,1,0),0))</f>
        <v/>
      </c>
      <c r="W27" s="67">
        <f>IF($J27+$L27=0,,IF($L27&lt;$J27,IF($J27&amp;"-"&amp;$L27&lt;&gt;constPunteggioForfait,1,0),0))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IF(I28="","",HYPERLINK(VLOOKUP(I28,areaCampiSquadre,3,FALSE),VLOOKUP(I28,areaCampiSquadre,2,FALSE)))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102" t="inlineStr">
        <is>
          <t>Gara N.</t>
        </is>
      </c>
      <c r="B29" s="102" t="inlineStr">
        <is>
          <t>Squadra A</t>
        </is>
      </c>
      <c r="C29" s="10" t="n"/>
      <c r="D29" s="102" t="inlineStr">
        <is>
          <t>Squadra B</t>
        </is>
      </c>
      <c r="E29" s="10" t="n"/>
      <c r="F29" s="102" t="inlineStr">
        <is>
          <t>Giorno</t>
        </is>
      </c>
      <c r="G29" s="102" t="inlineStr">
        <is>
          <t>Data</t>
        </is>
      </c>
      <c r="H29" s="102" t="inlineStr">
        <is>
          <t>Ora</t>
        </is>
      </c>
      <c r="I29" s="10" t="n"/>
      <c r="J29" s="102" t="inlineStr">
        <is>
          <t>Risultato</t>
        </is>
      </c>
      <c r="K29" s="9" t="n"/>
      <c r="L29" s="10" t="n"/>
    </row>
    <row r="30" ht="24" customHeight="1">
      <c r="A30" s="104">
        <f>MAX(A$10:A29)+1</f>
        <v/>
      </c>
      <c r="B30" s="61">
        <f>IF(C30="","",IFERROR(VLOOKUP(C30,areaNomiBreviSquadre,7,FALSE),""))</f>
        <v/>
      </c>
      <c r="C30" s="62" t="n"/>
      <c r="D30" s="61">
        <f>IF(E30="","",IFERROR(VLOOKUP(E30,areaNomiBreviSquadre,7,FALSE),""))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IF($J30+$L30=0,,IF($J30&lt;$L30,IF($J30&amp;"-"&amp;$L30=MID(constPunteggioForfait,FIND("-",constPunteggioForfait)+1,LEN(constPunteggioForfait))&amp;"-"&amp;LEFT(constPunteggioForfait,FIND("-",constPunteggioForfait)-1),1,0),0))</f>
        <v/>
      </c>
      <c r="P30" s="67">
        <f>IF($J30+$L30=0,,IF($J30&lt;$L30,IF($J30&amp;"-"&amp;$L30&lt;&gt;MID(constPunteggioForfait,FIND("-",constPunteggioForfait)+1,LEN(constPunteggioForfait))&amp;"-"&amp;LEFT(constPunteggioForfait,FIND("-",constPunteggioForfait)-1),1,0),0))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IF($J30+$L30=0,,IF($L30&lt;$J30,IF($J30&amp;"-"&amp;$L30=constPunteggioForfait,1,0),0))</f>
        <v/>
      </c>
      <c r="W30" s="67">
        <f>IF($J30+$L30=0,,IF($L30&lt;$J30,IF($J30&amp;"-"&amp;$L30&lt;&gt;constPunteggioForfait,1,0),0))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IF(I31="","",HYPERLINK(VLOOKUP(I31,areaCampiSquadre,3,FALSE),VLOOKUP(I31,areaCampiSquadre,2,FALSE)))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102" t="inlineStr">
        <is>
          <t>Gara N.</t>
        </is>
      </c>
      <c r="B32" s="102" t="inlineStr">
        <is>
          <t>Squadra A</t>
        </is>
      </c>
      <c r="C32" s="10" t="n"/>
      <c r="D32" s="102" t="inlineStr">
        <is>
          <t>Squadra B</t>
        </is>
      </c>
      <c r="E32" s="10" t="n"/>
      <c r="F32" s="102" t="inlineStr">
        <is>
          <t>Giorno</t>
        </is>
      </c>
      <c r="G32" s="102" t="inlineStr">
        <is>
          <t>Data</t>
        </is>
      </c>
      <c r="H32" s="102" t="inlineStr">
        <is>
          <t>Ora</t>
        </is>
      </c>
      <c r="I32" s="10" t="n"/>
      <c r="J32" s="102" t="inlineStr">
        <is>
          <t>Risultato</t>
        </is>
      </c>
      <c r="K32" s="9" t="n"/>
      <c r="L32" s="10" t="n"/>
    </row>
    <row r="33" ht="24" customHeight="1">
      <c r="A33" s="104">
        <f>MAX(A$10:A32)+1</f>
        <v/>
      </c>
      <c r="B33" s="61">
        <f>IF(C33="","",IFERROR(VLOOKUP(C33,areaNomiBreviSquadre,7,FALSE),""))</f>
        <v/>
      </c>
      <c r="C33" s="62" t="n"/>
      <c r="D33" s="61">
        <f>IF(E33="","",IFERROR(VLOOKUP(E33,areaNomiBreviSquadre,7,FALSE),""))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IF($J33+$L33=0,,IF($J33&lt;$L33,IF($J33&amp;"-"&amp;$L33=MID(constPunteggioForfait,FIND("-",constPunteggioForfait)+1,LEN(constPunteggioForfait))&amp;"-"&amp;LEFT(constPunteggioForfait,FIND("-",constPunteggioForfait)-1),1,0),0))</f>
        <v/>
      </c>
      <c r="P33" s="67">
        <f>IF($J33+$L33=0,,IF($J33&lt;$L33,IF($J33&amp;"-"&amp;$L33&lt;&gt;MID(constPunteggioForfait,FIND("-",constPunteggioForfait)+1,LEN(constPunteggioForfait))&amp;"-"&amp;LEFT(constPunteggioForfait,FIND("-",constPunteggioForfait)-1),1,0),0))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IF($J33+$L33=0,,IF($L33&lt;$J33,IF($J33&amp;"-"&amp;$L33=constPunteggioForfait,1,0),0))</f>
        <v/>
      </c>
      <c r="W33" s="67">
        <f>IF($J33+$L33=0,,IF($L33&lt;$J33,IF($J33&amp;"-"&amp;$L33&lt;&gt;constPunteggioForfait,1,0),0))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IF(I34="","",HYPERLINK(VLOOKUP(I34,areaCampiSquadre,3,FALSE),VLOOKUP(I34,areaCampiSquadre,2,FALSE)))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102" t="inlineStr">
        <is>
          <t>Gara N.</t>
        </is>
      </c>
      <c r="B35" s="102" t="inlineStr">
        <is>
          <t>Squadra A</t>
        </is>
      </c>
      <c r="C35" s="10" t="n"/>
      <c r="D35" s="102" t="inlineStr">
        <is>
          <t>Squadra B</t>
        </is>
      </c>
      <c r="E35" s="10" t="n"/>
      <c r="F35" s="102" t="inlineStr">
        <is>
          <t>Giorno</t>
        </is>
      </c>
      <c r="G35" s="102" t="inlineStr">
        <is>
          <t>Data</t>
        </is>
      </c>
      <c r="H35" s="102" t="inlineStr">
        <is>
          <t>Ora</t>
        </is>
      </c>
      <c r="I35" s="10" t="n"/>
      <c r="J35" s="102" t="inlineStr">
        <is>
          <t>Risultato</t>
        </is>
      </c>
      <c r="K35" s="9" t="n"/>
      <c r="L35" s="10" t="n"/>
    </row>
    <row r="36" ht="24" customHeight="1">
      <c r="A36" s="104">
        <f>MAX(A$10:A35)+1</f>
        <v/>
      </c>
      <c r="B36" s="61">
        <f>IF(C36="","",IFERROR(VLOOKUP(C36,areaNomiBreviSquadre,7,FALSE),""))</f>
        <v/>
      </c>
      <c r="C36" s="62" t="n"/>
      <c r="D36" s="61">
        <f>IF(E36="","",IFERROR(VLOOKUP(E36,areaNomiBreviSquadre,7,FALSE),""))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IF($J36+$L36=0,,IF($J36&lt;$L36,IF($J36&amp;"-"&amp;$L36=MID(constPunteggioForfait,FIND("-",constPunteggioForfait)+1,LEN(constPunteggioForfait))&amp;"-"&amp;LEFT(constPunteggioForfait,FIND("-",constPunteggioForfait)-1),1,0),0))</f>
        <v/>
      </c>
      <c r="P36" s="67">
        <f>IF($J36+$L36=0,,IF($J36&lt;$L36,IF($J36&amp;"-"&amp;$L36&lt;&gt;MID(constPunteggioForfait,FIND("-",constPunteggioForfait)+1,LEN(constPunteggioForfait))&amp;"-"&amp;LEFT(constPunteggioForfait,FIND("-",constPunteggioForfait)-1),1,0),0))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IF($J36+$L36=0,,IF($L36&lt;$J36,IF($J36&amp;"-"&amp;$L36=constPunteggioForfait,1,0),0))</f>
        <v/>
      </c>
      <c r="W36" s="67">
        <f>IF($J36+$L36=0,,IF($L36&lt;$J36,IF($J36&amp;"-"&amp;$L36&lt;&gt;constPunteggioForfait,1,0),0))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IF(I37="","",HYPERLINK(VLOOKUP(I37,areaCampiSquadre,3,FALSE),VLOOKUP(I37,areaCampiSquadre,2,FALSE)))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102" t="inlineStr">
        <is>
          <t>Gara N.</t>
        </is>
      </c>
      <c r="B38" s="102" t="inlineStr">
        <is>
          <t>Squadra A</t>
        </is>
      </c>
      <c r="C38" s="10" t="n"/>
      <c r="D38" s="102" t="inlineStr">
        <is>
          <t>Squadra B</t>
        </is>
      </c>
      <c r="E38" s="10" t="n"/>
      <c r="F38" s="102" t="inlineStr">
        <is>
          <t>Giorno</t>
        </is>
      </c>
      <c r="G38" s="102" t="inlineStr">
        <is>
          <t>Data</t>
        </is>
      </c>
      <c r="H38" s="102" t="inlineStr">
        <is>
          <t>Ora</t>
        </is>
      </c>
      <c r="I38" s="10" t="n"/>
      <c r="J38" s="102" t="inlineStr">
        <is>
          <t>Risultato</t>
        </is>
      </c>
      <c r="K38" s="9" t="n"/>
      <c r="L38" s="10" t="n"/>
    </row>
    <row r="39" ht="24" customHeight="1">
      <c r="A39" s="104">
        <f>MAX(A$10:A38)+1</f>
        <v/>
      </c>
      <c r="B39" s="61">
        <f>IF(C39="","",IFERROR(VLOOKUP(C39,areaNomiBreviSquadre,7,FALSE),""))</f>
        <v/>
      </c>
      <c r="C39" s="62" t="n"/>
      <c r="D39" s="61">
        <f>IF(E39="","",IFERROR(VLOOKUP(E39,areaNomiBreviSquadre,7,FALSE),""))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IF($J39+$L39=0,,IF($J39&lt;$L39,IF($J39&amp;"-"&amp;$L39=MID(constPunteggioForfait,FIND("-",constPunteggioForfait)+1,LEN(constPunteggioForfait))&amp;"-"&amp;LEFT(constPunteggioForfait,FIND("-",constPunteggioForfait)-1),1,0),0))</f>
        <v/>
      </c>
      <c r="P39" s="67">
        <f>IF($J39+$L39=0,,IF($J39&lt;$L39,IF($J39&amp;"-"&amp;$L39&lt;&gt;MID(constPunteggioForfait,FIND("-",constPunteggioForfait)+1,LEN(constPunteggioForfait))&amp;"-"&amp;LEFT(constPunteggioForfait,FIND("-",constPunteggioForfait)-1),1,0),0))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IF($J39+$L39=0,,IF($L39&lt;$J39,IF($J39&amp;"-"&amp;$L39=constPunteggioForfait,1,0),0))</f>
        <v/>
      </c>
      <c r="W39" s="67">
        <f>IF($J39+$L39=0,,IF($L39&lt;$J39,IF($J39&amp;"-"&amp;$L39&lt;&gt;constPunteggioForfait,1,0),0))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IF(I40="","",HYPERLINK(VLOOKUP(I40,areaCampiSquadre,3,FALSE),VLOOKUP(I40,areaCampiSquadre,2,FALSE)))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99" t="inlineStr">
        <is>
          <t>3F</t>
        </is>
      </c>
      <c r="B42" s="100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102" t="inlineStr">
        <is>
          <t>Gara N.</t>
        </is>
      </c>
      <c r="B43" s="102" t="inlineStr">
        <is>
          <t>Squadra A</t>
        </is>
      </c>
      <c r="C43" s="10" t="n"/>
      <c r="D43" s="102" t="inlineStr">
        <is>
          <t>Squadra B</t>
        </is>
      </c>
      <c r="E43" s="10" t="n"/>
      <c r="F43" s="102" t="inlineStr">
        <is>
          <t>Giorno</t>
        </is>
      </c>
      <c r="G43" s="102" t="inlineStr">
        <is>
          <t>Data</t>
        </is>
      </c>
      <c r="H43" s="102" t="inlineStr">
        <is>
          <t>Ora</t>
        </is>
      </c>
      <c r="I43" s="10" t="n"/>
      <c r="J43" s="102" t="inlineStr">
        <is>
          <t>Risultato</t>
        </is>
      </c>
      <c r="K43" s="9" t="n"/>
      <c r="L43" s="10" t="n"/>
    </row>
    <row r="44" ht="24" customHeight="1">
      <c r="A44" s="104">
        <f>MAX(A$10:A43)+1</f>
        <v/>
      </c>
      <c r="B44" s="61">
        <f>IF(C44="","",IFERROR(VLOOKUP(C44,areaNomiBreviSquadre,7,FALSE),""))</f>
        <v/>
      </c>
      <c r="C44" s="62" t="n"/>
      <c r="D44" s="61">
        <f>IF(E44="","",IFERROR(VLOOKUP(E44,areaNomiBreviSquadre,7,FALSE),""))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IF($J44+$L44=0,,IF($J44&lt;$L44,IF($J44&amp;"-"&amp;$L44=MID(constPunteggioForfait,FIND("-",constPunteggioForfait)+1,LEN(constPunteggioForfait))&amp;"-"&amp;LEFT(constPunteggioForfait,FIND("-",constPunteggioForfait)-1),1,0),0))</f>
        <v/>
      </c>
      <c r="P44" s="67">
        <f>IF($J44+$L44=0,,IF($J44&lt;$L44,IF($J44&amp;"-"&amp;$L44&lt;&gt;MID(constPunteggioForfait,FIND("-",constPunteggioForfait)+1,LEN(constPunteggioForfait))&amp;"-"&amp;LEFT(constPunteggioForfait,FIND("-",constPunteggioForfait)-1),1,0),0))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IF($J44+$L44=0,,IF($L44&lt;$J44,IF($J44&amp;"-"&amp;$L44=constPunteggioForfait,1,0),0))</f>
        <v/>
      </c>
      <c r="W44" s="67">
        <f>IF($J44+$L44=0,,IF($L44&lt;$J44,IF($J44&amp;"-"&amp;$L44&lt;&gt;constPunteggioForfait,1,0),0))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IF(I45="","",HYPERLINK(VLOOKUP(I45,areaCampiSquadre,3,FALSE),VLOOKUP(I45,areaCampiSquadre,2,FALSE)))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102" t="inlineStr">
        <is>
          <t>Gara N.</t>
        </is>
      </c>
      <c r="B46" s="102" t="inlineStr">
        <is>
          <t>Squadra A</t>
        </is>
      </c>
      <c r="C46" s="10" t="n"/>
      <c r="D46" s="102" t="inlineStr">
        <is>
          <t>Squadra B</t>
        </is>
      </c>
      <c r="E46" s="10" t="n"/>
      <c r="F46" s="102" t="inlineStr">
        <is>
          <t>Giorno</t>
        </is>
      </c>
      <c r="G46" s="102" t="inlineStr">
        <is>
          <t>Data</t>
        </is>
      </c>
      <c r="H46" s="102" t="inlineStr">
        <is>
          <t>Ora</t>
        </is>
      </c>
      <c r="I46" s="10" t="n"/>
      <c r="J46" s="102" t="inlineStr">
        <is>
          <t>Risultato</t>
        </is>
      </c>
      <c r="K46" s="9" t="n"/>
      <c r="L46" s="10" t="n"/>
    </row>
    <row r="47" ht="24" customHeight="1">
      <c r="A47" s="104">
        <f>MAX(A$10:A46)+1</f>
        <v/>
      </c>
      <c r="B47" s="61">
        <f>IF(C47="","",IFERROR(VLOOKUP(C47,areaNomiBreviSquadre,7,FALSE),""))</f>
        <v/>
      </c>
      <c r="C47" s="62" t="n"/>
      <c r="D47" s="61">
        <f>IF(E47="","",IFERROR(VLOOKUP(E47,areaNomiBreviSquadre,7,FALSE),""))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IF($J47+$L47=0,,IF($J47&lt;$L47,IF($J47&amp;"-"&amp;$L47=MID(constPunteggioForfait,FIND("-",constPunteggioForfait)+1,LEN(constPunteggioForfait))&amp;"-"&amp;LEFT(constPunteggioForfait,FIND("-",constPunteggioForfait)-1),1,0),0))</f>
        <v/>
      </c>
      <c r="P47" s="67">
        <f>IF($J47+$L47=0,,IF($J47&lt;$L47,IF($J47&amp;"-"&amp;$L47&lt;&gt;MID(constPunteggioForfait,FIND("-",constPunteggioForfait)+1,LEN(constPunteggioForfait))&amp;"-"&amp;LEFT(constPunteggioForfait,FIND("-",constPunteggioForfait)-1),1,0),0))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IF($J47+$L47=0,,IF($L47&lt;$J47,IF($J47&amp;"-"&amp;$L47=constPunteggioForfait,1,0),0))</f>
        <v/>
      </c>
      <c r="W47" s="67">
        <f>IF($J47+$L47=0,,IF($L47&lt;$J47,IF($J47&amp;"-"&amp;$L47&lt;&gt;constPunteggioForfait,1,0),0))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IF(I48="","",HYPERLINK(VLOOKUP(I48,areaCampiSquadre,3,FALSE),VLOOKUP(I48,areaCampiSquadre,2,FALSE)))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102" t="inlineStr">
        <is>
          <t>Gara N.</t>
        </is>
      </c>
      <c r="B49" s="102" t="inlineStr">
        <is>
          <t>Squadra A</t>
        </is>
      </c>
      <c r="C49" s="10" t="n"/>
      <c r="D49" s="102" t="inlineStr">
        <is>
          <t>Squadra B</t>
        </is>
      </c>
      <c r="E49" s="10" t="n"/>
      <c r="F49" s="102" t="inlineStr">
        <is>
          <t>Giorno</t>
        </is>
      </c>
      <c r="G49" s="102" t="inlineStr">
        <is>
          <t>Data</t>
        </is>
      </c>
      <c r="H49" s="102" t="inlineStr">
        <is>
          <t>Ora</t>
        </is>
      </c>
      <c r="I49" s="10" t="n"/>
      <c r="J49" s="102" t="inlineStr">
        <is>
          <t>Risultato</t>
        </is>
      </c>
      <c r="K49" s="9" t="n"/>
      <c r="L49" s="10" t="n"/>
    </row>
    <row r="50" ht="24" customHeight="1">
      <c r="A50" s="104">
        <f>MAX(A$10:A49)+1</f>
        <v/>
      </c>
      <c r="B50" s="61">
        <f>IF(C50="","",IFERROR(VLOOKUP(C50,areaNomiBreviSquadre,7,FALSE),""))</f>
        <v/>
      </c>
      <c r="C50" s="62" t="n"/>
      <c r="D50" s="61">
        <f>IF(E50="","",IFERROR(VLOOKUP(E50,areaNomiBreviSquadre,7,FALSE),""))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IF($J50+$L50=0,,IF($J50&lt;$L50,IF($J50&amp;"-"&amp;$L50=MID(constPunteggioForfait,FIND("-",constPunteggioForfait)+1,LEN(constPunteggioForfait))&amp;"-"&amp;LEFT(constPunteggioForfait,FIND("-",constPunteggioForfait)-1),1,0),0))</f>
        <v/>
      </c>
      <c r="P50" s="67">
        <f>IF($J50+$L50=0,,IF($J50&lt;$L50,IF($J50&amp;"-"&amp;$L50&lt;&gt;MID(constPunteggioForfait,FIND("-",constPunteggioForfait)+1,LEN(constPunteggioForfait))&amp;"-"&amp;LEFT(constPunteggioForfait,FIND("-",constPunteggioForfait)-1),1,0),0))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IF($J50+$L50=0,,IF($L50&lt;$J50,IF($J50&amp;"-"&amp;$L50=constPunteggioForfait,1,0),0))</f>
        <v/>
      </c>
      <c r="W50" s="67">
        <f>IF($J50+$L50=0,,IF($L50&lt;$J50,IF($J50&amp;"-"&amp;$L50&lt;&gt;constPunteggioForfait,1,0),0))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IF(I51="","",HYPERLINK(VLOOKUP(I51,areaCampiSquadre,3,FALSE),VLOOKUP(I51,areaCampiSquadre,2,FALSE)))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102" t="inlineStr">
        <is>
          <t>Gara N.</t>
        </is>
      </c>
      <c r="B52" s="102" t="inlineStr">
        <is>
          <t>Squadra A</t>
        </is>
      </c>
      <c r="C52" s="10" t="n"/>
      <c r="D52" s="102" t="inlineStr">
        <is>
          <t>Squadra B</t>
        </is>
      </c>
      <c r="E52" s="10" t="n"/>
      <c r="F52" s="102" t="inlineStr">
        <is>
          <t>Giorno</t>
        </is>
      </c>
      <c r="G52" s="102" t="inlineStr">
        <is>
          <t>Data</t>
        </is>
      </c>
      <c r="H52" s="102" t="inlineStr">
        <is>
          <t>Ora</t>
        </is>
      </c>
      <c r="I52" s="10" t="n"/>
      <c r="J52" s="102" t="inlineStr">
        <is>
          <t>Risultato</t>
        </is>
      </c>
      <c r="K52" s="9" t="n"/>
      <c r="L52" s="10" t="n"/>
    </row>
    <row r="53" ht="24" customHeight="1">
      <c r="A53" s="104">
        <f>MAX(A$10:A52)+1</f>
        <v/>
      </c>
      <c r="B53" s="61">
        <f>IF(C53="","",IFERROR(VLOOKUP(C53,areaNomiBreviSquadre,7,FALSE),""))</f>
        <v/>
      </c>
      <c r="C53" s="62" t="n"/>
      <c r="D53" s="61">
        <f>IF(E53="","",IFERROR(VLOOKUP(E53,areaNomiBreviSquadre,7,FALSE),""))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IF($J53+$L53=0,,IF($J53&lt;$L53,IF($J53&amp;"-"&amp;$L53=MID(constPunteggioForfait,FIND("-",constPunteggioForfait)+1,LEN(constPunteggioForfait))&amp;"-"&amp;LEFT(constPunteggioForfait,FIND("-",constPunteggioForfait)-1),1,0),0))</f>
        <v/>
      </c>
      <c r="P53" s="67">
        <f>IF($J53+$L53=0,,IF($J53&lt;$L53,IF($J53&amp;"-"&amp;$L53&lt;&gt;MID(constPunteggioForfait,FIND("-",constPunteggioForfait)+1,LEN(constPunteggioForfait))&amp;"-"&amp;LEFT(constPunteggioForfait,FIND("-",constPunteggioForfait)-1),1,0),0))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IF($J53+$L53=0,,IF($L53&lt;$J53,IF($J53&amp;"-"&amp;$L53=constPunteggioForfait,1,0),0))</f>
        <v/>
      </c>
      <c r="W53" s="67">
        <f>IF($J53+$L53=0,,IF($L53&lt;$J53,IF($J53&amp;"-"&amp;$L53&lt;&gt;constPunteggioForfait,1,0),0))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IF(I54="","",HYPERLINK(VLOOKUP(I54,areaCampiSquadre,3,FALSE),VLOOKUP(I54,areaCampiSquadre,2,FALSE)))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102" t="inlineStr">
        <is>
          <t>Gara N.</t>
        </is>
      </c>
      <c r="B55" s="102" t="inlineStr">
        <is>
          <t>Squadra A</t>
        </is>
      </c>
      <c r="C55" s="10" t="n"/>
      <c r="D55" s="102" t="inlineStr">
        <is>
          <t>Squadra B</t>
        </is>
      </c>
      <c r="E55" s="10" t="n"/>
      <c r="F55" s="102" t="inlineStr">
        <is>
          <t>Giorno</t>
        </is>
      </c>
      <c r="G55" s="102" t="inlineStr">
        <is>
          <t>Data</t>
        </is>
      </c>
      <c r="H55" s="102" t="inlineStr">
        <is>
          <t>Ora</t>
        </is>
      </c>
      <c r="I55" s="10" t="n"/>
      <c r="J55" s="102" t="inlineStr">
        <is>
          <t>Risultato</t>
        </is>
      </c>
      <c r="K55" s="9" t="n"/>
      <c r="L55" s="10" t="n"/>
    </row>
    <row r="56" ht="24" customHeight="1">
      <c r="A56" s="104">
        <f>MAX(A$10:A55)+1</f>
        <v/>
      </c>
      <c r="B56" s="61">
        <f>IF(C56="","",IFERROR(VLOOKUP(C56,areaNomiBreviSquadre,7,FALSE),""))</f>
        <v/>
      </c>
      <c r="C56" s="62" t="n"/>
      <c r="D56" s="61">
        <f>IF(E56="","",IFERROR(VLOOKUP(E56,areaNomiBreviSquadre,7,FALSE),""))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IF($J56+$L56=0,,IF($J56&lt;$L56,IF($J56&amp;"-"&amp;$L56=MID(constPunteggioForfait,FIND("-",constPunteggioForfait)+1,LEN(constPunteggioForfait))&amp;"-"&amp;LEFT(constPunteggioForfait,FIND("-",constPunteggioForfait)-1),1,0),0))</f>
        <v/>
      </c>
      <c r="P56" s="67">
        <f>IF($J56+$L56=0,,IF($J56&lt;$L56,IF($J56&amp;"-"&amp;$L56&lt;&gt;MID(constPunteggioForfait,FIND("-",constPunteggioForfait)+1,LEN(constPunteggioForfait))&amp;"-"&amp;LEFT(constPunteggioForfait,FIND("-",constPunteggioForfait)-1),1,0),0))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IF($J56+$L56=0,,IF($L56&lt;$J56,IF($J56&amp;"-"&amp;$L56=constPunteggioForfait,1,0),0))</f>
        <v/>
      </c>
      <c r="W56" s="67">
        <f>IF($J56+$L56=0,,IF($L56&lt;$J56,IF($J56&amp;"-"&amp;$L56&lt;&gt;constPunteggioForfait,1,0),0))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IF(I57="","",HYPERLINK(VLOOKUP(I57,areaCampiSquadre,3,FALSE),VLOOKUP(I57,areaCampiSquadre,2,FALSE)))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99" t="inlineStr">
        <is>
          <t>4F</t>
        </is>
      </c>
      <c r="B59" s="100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102" t="inlineStr">
        <is>
          <t>Gara N.</t>
        </is>
      </c>
      <c r="B60" s="102" t="inlineStr">
        <is>
          <t>Squadra A</t>
        </is>
      </c>
      <c r="C60" s="10" t="n"/>
      <c r="D60" s="102" t="inlineStr">
        <is>
          <t>Squadra B</t>
        </is>
      </c>
      <c r="E60" s="10" t="n"/>
      <c r="F60" s="102" t="inlineStr">
        <is>
          <t>Giorno</t>
        </is>
      </c>
      <c r="G60" s="102" t="inlineStr">
        <is>
          <t>Data</t>
        </is>
      </c>
      <c r="H60" s="102" t="inlineStr">
        <is>
          <t>Ora</t>
        </is>
      </c>
      <c r="I60" s="10" t="n"/>
      <c r="J60" s="102" t="inlineStr">
        <is>
          <t>Risultato</t>
        </is>
      </c>
      <c r="K60" s="9" t="n"/>
      <c r="L60" s="10" t="n"/>
    </row>
    <row r="61" ht="24" customHeight="1">
      <c r="A61" s="104">
        <f>MAX(A$10:A60)+1</f>
        <v/>
      </c>
      <c r="B61" s="61">
        <f>IF(C61="","",IFERROR(VLOOKUP(C61,areaNomiBreviSquadre,7,FALSE),""))</f>
        <v/>
      </c>
      <c r="C61" s="62" t="n"/>
      <c r="D61" s="61">
        <f>IF(E61="","",IFERROR(VLOOKUP(E61,areaNomiBreviSquadre,7,FALSE),""))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IF($J61+$L61=0,,IF($J61&lt;$L61,IF($J61&amp;"-"&amp;$L61=MID(constPunteggioForfait,FIND("-",constPunteggioForfait)+1,LEN(constPunteggioForfait))&amp;"-"&amp;LEFT(constPunteggioForfait,FIND("-",constPunteggioForfait)-1),1,0),0))</f>
        <v/>
      </c>
      <c r="P61" s="67">
        <f>IF($J61+$L61=0,,IF($J61&lt;$L61,IF($J61&amp;"-"&amp;$L61&lt;&gt;MID(constPunteggioForfait,FIND("-",constPunteggioForfait)+1,LEN(constPunteggioForfait))&amp;"-"&amp;LEFT(constPunteggioForfait,FIND("-",constPunteggioForfait)-1),1,0),0))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IF($J61+$L61=0,,IF($L61&lt;$J61,IF($J61&amp;"-"&amp;$L61=constPunteggioForfait,1,0),0))</f>
        <v/>
      </c>
      <c r="W61" s="67">
        <f>IF($J61+$L61=0,,IF($L61&lt;$J61,IF($J61&amp;"-"&amp;$L61&lt;&gt;constPunteggioForfait,1,0),0))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IF(I62="","",HYPERLINK(VLOOKUP(I62,areaCampiSquadre,3,FALSE),VLOOKUP(I62,areaCampiSquadre,2,FALSE)))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102" t="inlineStr">
        <is>
          <t>Gara N.</t>
        </is>
      </c>
      <c r="B63" s="102" t="inlineStr">
        <is>
          <t>Squadra A</t>
        </is>
      </c>
      <c r="C63" s="10" t="n"/>
      <c r="D63" s="102" t="inlineStr">
        <is>
          <t>Squadra B</t>
        </is>
      </c>
      <c r="E63" s="10" t="n"/>
      <c r="F63" s="102" t="inlineStr">
        <is>
          <t>Giorno</t>
        </is>
      </c>
      <c r="G63" s="102" t="inlineStr">
        <is>
          <t>Data</t>
        </is>
      </c>
      <c r="H63" s="102" t="inlineStr">
        <is>
          <t>Ora</t>
        </is>
      </c>
      <c r="I63" s="10" t="n"/>
      <c r="J63" s="102" t="inlineStr">
        <is>
          <t>Risultato</t>
        </is>
      </c>
      <c r="K63" s="9" t="n"/>
      <c r="L63" s="10" t="n"/>
    </row>
    <row r="64" ht="24" customHeight="1">
      <c r="A64" s="104">
        <f>MAX(A$10:A63)+1</f>
        <v/>
      </c>
      <c r="B64" s="61">
        <f>IF(C64="","",IFERROR(VLOOKUP(C64,areaNomiBreviSquadre,7,FALSE),""))</f>
        <v/>
      </c>
      <c r="C64" s="62" t="n"/>
      <c r="D64" s="61">
        <f>IF(E64="","",IFERROR(VLOOKUP(E64,areaNomiBreviSquadre,7,FALSE),""))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IF($J64+$L64=0,,IF($J64&lt;$L64,IF($J64&amp;"-"&amp;$L64=MID(constPunteggioForfait,FIND("-",constPunteggioForfait)+1,LEN(constPunteggioForfait))&amp;"-"&amp;LEFT(constPunteggioForfait,FIND("-",constPunteggioForfait)-1),1,0),0))</f>
        <v/>
      </c>
      <c r="P64" s="67">
        <f>IF($J64+$L64=0,,IF($J64&lt;$L64,IF($J64&amp;"-"&amp;$L64&lt;&gt;MID(constPunteggioForfait,FIND("-",constPunteggioForfait)+1,LEN(constPunteggioForfait))&amp;"-"&amp;LEFT(constPunteggioForfait,FIND("-",constPunteggioForfait)-1),1,0),0))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IF($J64+$L64=0,,IF($L64&lt;$J64,IF($J64&amp;"-"&amp;$L64=constPunteggioForfait,1,0),0))</f>
        <v/>
      </c>
      <c r="W64" s="67">
        <f>IF($J64+$L64=0,,IF($L64&lt;$J64,IF($J64&amp;"-"&amp;$L64&lt;&gt;constPunteggioForfait,1,0),0))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IF(I65="","",HYPERLINK(VLOOKUP(I65,areaCampiSquadre,3,FALSE),VLOOKUP(I65,areaCampiSquadre,2,FALSE)))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102" t="inlineStr">
        <is>
          <t>Gara N.</t>
        </is>
      </c>
      <c r="B66" s="102" t="inlineStr">
        <is>
          <t>Squadra A</t>
        </is>
      </c>
      <c r="C66" s="10" t="n"/>
      <c r="D66" s="102" t="inlineStr">
        <is>
          <t>Squadra B</t>
        </is>
      </c>
      <c r="E66" s="10" t="n"/>
      <c r="F66" s="102" t="inlineStr">
        <is>
          <t>Giorno</t>
        </is>
      </c>
      <c r="G66" s="102" t="inlineStr">
        <is>
          <t>Data</t>
        </is>
      </c>
      <c r="H66" s="102" t="inlineStr">
        <is>
          <t>Ora</t>
        </is>
      </c>
      <c r="I66" s="10" t="n"/>
      <c r="J66" s="102" t="inlineStr">
        <is>
          <t>Risultato</t>
        </is>
      </c>
      <c r="K66" s="9" t="n"/>
      <c r="L66" s="10" t="n"/>
    </row>
    <row r="67" ht="24" customHeight="1">
      <c r="A67" s="104">
        <f>MAX(A$10:A66)+1</f>
        <v/>
      </c>
      <c r="B67" s="61">
        <f>IF(C67="","",IFERROR(VLOOKUP(C67,areaNomiBreviSquadre,7,FALSE),""))</f>
        <v/>
      </c>
      <c r="C67" s="62" t="n"/>
      <c r="D67" s="61">
        <f>IF(E67="","",IFERROR(VLOOKUP(E67,areaNomiBreviSquadre,7,FALSE),""))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IF($J67+$L67=0,,IF($J67&lt;$L67,IF($J67&amp;"-"&amp;$L67=MID(constPunteggioForfait,FIND("-",constPunteggioForfait)+1,LEN(constPunteggioForfait))&amp;"-"&amp;LEFT(constPunteggioForfait,FIND("-",constPunteggioForfait)-1),1,0),0))</f>
        <v/>
      </c>
      <c r="P67" s="67">
        <f>IF($J67+$L67=0,,IF($J67&lt;$L67,IF($J67&amp;"-"&amp;$L67&lt;&gt;MID(constPunteggioForfait,FIND("-",constPunteggioForfait)+1,LEN(constPunteggioForfait))&amp;"-"&amp;LEFT(constPunteggioForfait,FIND("-",constPunteggioForfait)-1),1,0),0))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IF($J67+$L67=0,,IF($L67&lt;$J67,IF($J67&amp;"-"&amp;$L67=constPunteggioForfait,1,0),0))</f>
        <v/>
      </c>
      <c r="W67" s="67">
        <f>IF($J67+$L67=0,,IF($L67&lt;$J67,IF($J67&amp;"-"&amp;$L67&lt;&gt;constPunteggioForfait,1,0),0))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IF(I68="","",HYPERLINK(VLOOKUP(I68,areaCampiSquadre,3,FALSE),VLOOKUP(I68,areaCampiSquadre,2,FALSE)))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102" t="inlineStr">
        <is>
          <t>Gara N.</t>
        </is>
      </c>
      <c r="B69" s="102" t="inlineStr">
        <is>
          <t>Squadra A</t>
        </is>
      </c>
      <c r="C69" s="10" t="n"/>
      <c r="D69" s="102" t="inlineStr">
        <is>
          <t>Squadra B</t>
        </is>
      </c>
      <c r="E69" s="10" t="n"/>
      <c r="F69" s="102" t="inlineStr">
        <is>
          <t>Giorno</t>
        </is>
      </c>
      <c r="G69" s="102" t="inlineStr">
        <is>
          <t>Data</t>
        </is>
      </c>
      <c r="H69" s="102" t="inlineStr">
        <is>
          <t>Ora</t>
        </is>
      </c>
      <c r="I69" s="10" t="n"/>
      <c r="J69" s="102" t="inlineStr">
        <is>
          <t>Risultato</t>
        </is>
      </c>
      <c r="K69" s="9" t="n"/>
      <c r="L69" s="10" t="n"/>
    </row>
    <row r="70" ht="24" customHeight="1">
      <c r="A70" s="104">
        <f>MAX(A$10:A69)+1</f>
        <v/>
      </c>
      <c r="B70" s="61">
        <f>IF(C70="","",IFERROR(VLOOKUP(C70,areaNomiBreviSquadre,7,FALSE),""))</f>
        <v/>
      </c>
      <c r="C70" s="62" t="n"/>
      <c r="D70" s="61">
        <f>IF(E70="","",IFERROR(VLOOKUP(E70,areaNomiBreviSquadre,7,FALSE),""))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IF($J70+$L70=0,,IF($J70&lt;$L70,IF($J70&amp;"-"&amp;$L70=MID(constPunteggioForfait,FIND("-",constPunteggioForfait)+1,LEN(constPunteggioForfait))&amp;"-"&amp;LEFT(constPunteggioForfait,FIND("-",constPunteggioForfait)-1),1,0),0))</f>
        <v/>
      </c>
      <c r="P70" s="67">
        <f>IF($J70+$L70=0,,IF($J70&lt;$L70,IF($J70&amp;"-"&amp;$L70&lt;&gt;MID(constPunteggioForfait,FIND("-",constPunteggioForfait)+1,LEN(constPunteggioForfait))&amp;"-"&amp;LEFT(constPunteggioForfait,FIND("-",constPunteggioForfait)-1),1,0),0))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IF($J70+$L70=0,,IF($L70&lt;$J70,IF($J70&amp;"-"&amp;$L70=constPunteggioForfait,1,0),0))</f>
        <v/>
      </c>
      <c r="W70" s="67">
        <f>IF($J70+$L70=0,,IF($L70&lt;$J70,IF($J70&amp;"-"&amp;$L70&lt;&gt;constPunteggioForfait,1,0),0))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IF(I71="","",HYPERLINK(VLOOKUP(I71,areaCampiSquadre,3,FALSE),VLOOKUP(I71,areaCampiSquadre,2,FALSE)))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102" t="inlineStr">
        <is>
          <t>Gara N.</t>
        </is>
      </c>
      <c r="B72" s="102" t="inlineStr">
        <is>
          <t>Squadra A</t>
        </is>
      </c>
      <c r="C72" s="10" t="n"/>
      <c r="D72" s="102" t="inlineStr">
        <is>
          <t>Squadra B</t>
        </is>
      </c>
      <c r="E72" s="10" t="n"/>
      <c r="F72" s="102" t="inlineStr">
        <is>
          <t>Giorno</t>
        </is>
      </c>
      <c r="G72" s="102" t="inlineStr">
        <is>
          <t>Data</t>
        </is>
      </c>
      <c r="H72" s="102" t="inlineStr">
        <is>
          <t>Ora</t>
        </is>
      </c>
      <c r="I72" s="10" t="n"/>
      <c r="J72" s="102" t="inlineStr">
        <is>
          <t>Risultato</t>
        </is>
      </c>
      <c r="K72" s="9" t="n"/>
      <c r="L72" s="10" t="n"/>
    </row>
    <row r="73" ht="24" customHeight="1">
      <c r="A73" s="104">
        <f>MAX(A$10:A72)+1</f>
        <v/>
      </c>
      <c r="B73" s="61">
        <f>IF(C73="","",IFERROR(VLOOKUP(C73,areaNomiBreviSquadre,7,FALSE),""))</f>
        <v/>
      </c>
      <c r="C73" s="62" t="n"/>
      <c r="D73" s="61">
        <f>IF(E73="","",IFERROR(VLOOKUP(E73,areaNomiBreviSquadre,7,FALSE),""))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IF($J73+$L73=0,,IF($J73&lt;$L73,IF($J73&amp;"-"&amp;$L73=MID(constPunteggioForfait,FIND("-",constPunteggioForfait)+1,LEN(constPunteggioForfait))&amp;"-"&amp;LEFT(constPunteggioForfait,FIND("-",constPunteggioForfait)-1),1,0),0))</f>
        <v/>
      </c>
      <c r="P73" s="67">
        <f>IF($J73+$L73=0,,IF($J73&lt;$L73,IF($J73&amp;"-"&amp;$L73&lt;&gt;MID(constPunteggioForfait,FIND("-",constPunteggioForfait)+1,LEN(constPunteggioForfait))&amp;"-"&amp;LEFT(constPunteggioForfait,FIND("-",constPunteggioForfait)-1),1,0),0))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IF($J73+$L73=0,,IF($L73&lt;$J73,IF($J73&amp;"-"&amp;$L73=constPunteggioForfait,1,0),0))</f>
        <v/>
      </c>
      <c r="W73" s="67">
        <f>IF($J73+$L73=0,,IF($L73&lt;$J73,IF($J73&amp;"-"&amp;$L73&lt;&gt;constPunteggioForfait,1,0),0))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IF(I74="","",HYPERLINK(VLOOKUP(I74,areaCampiSquadre,3,FALSE),VLOOKUP(I74,areaCampiSquadre,2,FALSE)))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99" t="inlineStr">
        <is>
          <t>5F</t>
        </is>
      </c>
      <c r="B76" s="100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102" t="inlineStr">
        <is>
          <t>Gara N.</t>
        </is>
      </c>
      <c r="B77" s="102" t="inlineStr">
        <is>
          <t>Squadra A</t>
        </is>
      </c>
      <c r="C77" s="10" t="n"/>
      <c r="D77" s="102" t="inlineStr">
        <is>
          <t>Squadra B</t>
        </is>
      </c>
      <c r="E77" s="10" t="n"/>
      <c r="F77" s="102" t="inlineStr">
        <is>
          <t>Giorno</t>
        </is>
      </c>
      <c r="G77" s="102" t="inlineStr">
        <is>
          <t>Data</t>
        </is>
      </c>
      <c r="H77" s="102" t="inlineStr">
        <is>
          <t>Ora</t>
        </is>
      </c>
      <c r="I77" s="10" t="n"/>
      <c r="J77" s="102" t="inlineStr">
        <is>
          <t>Risultato</t>
        </is>
      </c>
      <c r="K77" s="9" t="n"/>
      <c r="L77" s="10" t="n"/>
    </row>
    <row r="78" ht="24" customHeight="1">
      <c r="A78" s="104">
        <f>MAX(A$10:A77)+1</f>
        <v/>
      </c>
      <c r="B78" s="61">
        <f>IF(C78="","",IFERROR(VLOOKUP(C78,areaNomiBreviSquadre,7,FALSE),""))</f>
        <v/>
      </c>
      <c r="C78" s="62" t="n"/>
      <c r="D78" s="61">
        <f>IF(E78="","",IFERROR(VLOOKUP(E78,areaNomiBreviSquadre,7,FALSE),""))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IF($J78+$L78=0,,IF($J78&lt;$L78,IF($J78&amp;"-"&amp;$L78=MID(constPunteggioForfait,FIND("-",constPunteggioForfait)+1,LEN(constPunteggioForfait))&amp;"-"&amp;LEFT(constPunteggioForfait,FIND("-",constPunteggioForfait)-1),1,0),0))</f>
        <v/>
      </c>
      <c r="P78" s="67">
        <f>IF($J78+$L78=0,,IF($J78&lt;$L78,IF($J78&amp;"-"&amp;$L78&lt;&gt;MID(constPunteggioForfait,FIND("-",constPunteggioForfait)+1,LEN(constPunteggioForfait))&amp;"-"&amp;LEFT(constPunteggioForfait,FIND("-",constPunteggioForfait)-1),1,0),0))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IF($J78+$L78=0,,IF($L78&lt;$J78,IF($J78&amp;"-"&amp;$L78=constPunteggioForfait,1,0),0))</f>
        <v/>
      </c>
      <c r="W78" s="67">
        <f>IF($J78+$L78=0,,IF($L78&lt;$J78,IF($J78&amp;"-"&amp;$L78&lt;&gt;constPunteggioForfait,1,0),0))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IF(I79="","",HYPERLINK(VLOOKUP(I79,areaCampiSquadre,3,FALSE),VLOOKUP(I79,areaCampiSquadre,2,FALSE)))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102" t="inlineStr">
        <is>
          <t>Gara N.</t>
        </is>
      </c>
      <c r="B80" s="102" t="inlineStr">
        <is>
          <t>Squadra A</t>
        </is>
      </c>
      <c r="C80" s="10" t="n"/>
      <c r="D80" s="102" t="inlineStr">
        <is>
          <t>Squadra B</t>
        </is>
      </c>
      <c r="E80" s="10" t="n"/>
      <c r="F80" s="102" t="inlineStr">
        <is>
          <t>Giorno</t>
        </is>
      </c>
      <c r="G80" s="102" t="inlineStr">
        <is>
          <t>Data</t>
        </is>
      </c>
      <c r="H80" s="102" t="inlineStr">
        <is>
          <t>Ora</t>
        </is>
      </c>
      <c r="I80" s="10" t="n"/>
      <c r="J80" s="102" t="inlineStr">
        <is>
          <t>Risultato</t>
        </is>
      </c>
      <c r="K80" s="9" t="n"/>
      <c r="L80" s="10" t="n"/>
    </row>
    <row r="81" ht="24" customHeight="1">
      <c r="A81" s="104">
        <f>MAX(A$10:A80)+1</f>
        <v/>
      </c>
      <c r="B81" s="61">
        <f>IF(C81="","",IFERROR(VLOOKUP(C81,areaNomiBreviSquadre,7,FALSE),""))</f>
        <v/>
      </c>
      <c r="C81" s="62" t="n"/>
      <c r="D81" s="61">
        <f>IF(E81="","",IFERROR(VLOOKUP(E81,areaNomiBreviSquadre,7,FALSE),""))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IF($J81+$L81=0,,IF($J81&lt;$L81,IF($J81&amp;"-"&amp;$L81=MID(constPunteggioForfait,FIND("-",constPunteggioForfait)+1,LEN(constPunteggioForfait))&amp;"-"&amp;LEFT(constPunteggioForfait,FIND("-",constPunteggioForfait)-1),1,0),0))</f>
        <v/>
      </c>
      <c r="P81" s="67">
        <f>IF($J81+$L81=0,,IF($J81&lt;$L81,IF($J81&amp;"-"&amp;$L81&lt;&gt;MID(constPunteggioForfait,FIND("-",constPunteggioForfait)+1,LEN(constPunteggioForfait))&amp;"-"&amp;LEFT(constPunteggioForfait,FIND("-",constPunteggioForfait)-1),1,0),0))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IF($J81+$L81=0,,IF($L81&lt;$J81,IF($J81&amp;"-"&amp;$L81=constPunteggioForfait,1,0),0))</f>
        <v/>
      </c>
      <c r="W81" s="67">
        <f>IF($J81+$L81=0,,IF($L81&lt;$J81,IF($J81&amp;"-"&amp;$L81&lt;&gt;constPunteggioForfait,1,0),0))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IF(I82="","",HYPERLINK(VLOOKUP(I82,areaCampiSquadre,3,FALSE),VLOOKUP(I82,areaCampiSquadre,2,FALSE)))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102" t="inlineStr">
        <is>
          <t>Gara N.</t>
        </is>
      </c>
      <c r="B83" s="102" t="inlineStr">
        <is>
          <t>Squadra A</t>
        </is>
      </c>
      <c r="C83" s="10" t="n"/>
      <c r="D83" s="102" t="inlineStr">
        <is>
          <t>Squadra B</t>
        </is>
      </c>
      <c r="E83" s="10" t="n"/>
      <c r="F83" s="102" t="inlineStr">
        <is>
          <t>Giorno</t>
        </is>
      </c>
      <c r="G83" s="102" t="inlineStr">
        <is>
          <t>Data</t>
        </is>
      </c>
      <c r="H83" s="102" t="inlineStr">
        <is>
          <t>Ora</t>
        </is>
      </c>
      <c r="I83" s="10" t="n"/>
      <c r="J83" s="102" t="inlineStr">
        <is>
          <t>Risultato</t>
        </is>
      </c>
      <c r="K83" s="9" t="n"/>
      <c r="L83" s="10" t="n"/>
    </row>
    <row r="84" ht="24" customHeight="1">
      <c r="A84" s="104">
        <f>MAX(A$10:A83)+1</f>
        <v/>
      </c>
      <c r="B84" s="61">
        <f>IF(C84="","",IFERROR(VLOOKUP(C84,areaNomiBreviSquadre,7,FALSE),""))</f>
        <v/>
      </c>
      <c r="C84" s="62" t="n"/>
      <c r="D84" s="61">
        <f>IF(E84="","",IFERROR(VLOOKUP(E84,areaNomiBreviSquadre,7,FALSE),""))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IF($J84+$L84=0,,IF($J84&lt;$L84,IF($J84&amp;"-"&amp;$L84=MID(constPunteggioForfait,FIND("-",constPunteggioForfait)+1,LEN(constPunteggioForfait))&amp;"-"&amp;LEFT(constPunteggioForfait,FIND("-",constPunteggioForfait)-1),1,0),0))</f>
        <v/>
      </c>
      <c r="P84" s="67">
        <f>IF($J84+$L84=0,,IF($J84&lt;$L84,IF($J84&amp;"-"&amp;$L84&lt;&gt;MID(constPunteggioForfait,FIND("-",constPunteggioForfait)+1,LEN(constPunteggioForfait))&amp;"-"&amp;LEFT(constPunteggioForfait,FIND("-",constPunteggioForfait)-1),1,0),0))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IF($J84+$L84=0,,IF($L84&lt;$J84,IF($J84&amp;"-"&amp;$L84=constPunteggioForfait,1,0),0))</f>
        <v/>
      </c>
      <c r="W84" s="67">
        <f>IF($J84+$L84=0,,IF($L84&lt;$J84,IF($J84&amp;"-"&amp;$L84&lt;&gt;constPunteggioForfait,1,0),0))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IF(I85="","",HYPERLINK(VLOOKUP(I85,areaCampiSquadre,3,FALSE),VLOOKUP(I85,areaCampiSquadre,2,FALSE)))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102" t="inlineStr">
        <is>
          <t>Gara N.</t>
        </is>
      </c>
      <c r="B86" s="102" t="inlineStr">
        <is>
          <t>Squadra A</t>
        </is>
      </c>
      <c r="C86" s="10" t="n"/>
      <c r="D86" s="102" t="inlineStr">
        <is>
          <t>Squadra B</t>
        </is>
      </c>
      <c r="E86" s="10" t="n"/>
      <c r="F86" s="102" t="inlineStr">
        <is>
          <t>Giorno</t>
        </is>
      </c>
      <c r="G86" s="102" t="inlineStr">
        <is>
          <t>Data</t>
        </is>
      </c>
      <c r="H86" s="102" t="inlineStr">
        <is>
          <t>Ora</t>
        </is>
      </c>
      <c r="I86" s="10" t="n"/>
      <c r="J86" s="102" t="inlineStr">
        <is>
          <t>Risultato</t>
        </is>
      </c>
      <c r="K86" s="9" t="n"/>
      <c r="L86" s="10" t="n"/>
    </row>
    <row r="87" ht="24" customHeight="1">
      <c r="A87" s="104">
        <f>MAX(A$10:A86)+1</f>
        <v/>
      </c>
      <c r="B87" s="61">
        <f>IF(C87="","",IFERROR(VLOOKUP(C87,areaNomiBreviSquadre,7,FALSE),""))</f>
        <v/>
      </c>
      <c r="C87" s="62" t="n"/>
      <c r="D87" s="61">
        <f>IF(E87="","",IFERROR(VLOOKUP(E87,areaNomiBreviSquadre,7,FALSE),""))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IF($J87+$L87=0,,IF($J87&lt;$L87,IF($J87&amp;"-"&amp;$L87=MID(constPunteggioForfait,FIND("-",constPunteggioForfait)+1,LEN(constPunteggioForfait))&amp;"-"&amp;LEFT(constPunteggioForfait,FIND("-",constPunteggioForfait)-1),1,0),0))</f>
        <v/>
      </c>
      <c r="P87" s="67">
        <f>IF($J87+$L87=0,,IF($J87&lt;$L87,IF($J87&amp;"-"&amp;$L87&lt;&gt;MID(constPunteggioForfait,FIND("-",constPunteggioForfait)+1,LEN(constPunteggioForfait))&amp;"-"&amp;LEFT(constPunteggioForfait,FIND("-",constPunteggioForfait)-1),1,0),0))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IF($J87+$L87=0,,IF($L87&lt;$J87,IF($J87&amp;"-"&amp;$L87=constPunteggioForfait,1,0),0))</f>
        <v/>
      </c>
      <c r="W87" s="67">
        <f>IF($J87+$L87=0,,IF($L87&lt;$J87,IF($J87&amp;"-"&amp;$L87&lt;&gt;constPunteggioForfait,1,0),0))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IF(I88="","",HYPERLINK(VLOOKUP(I88,areaCampiSquadre,3,FALSE),VLOOKUP(I88,areaCampiSquadre,2,FALSE)))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102" t="inlineStr">
        <is>
          <t>Gara N.</t>
        </is>
      </c>
      <c r="B89" s="102" t="inlineStr">
        <is>
          <t>Squadra A</t>
        </is>
      </c>
      <c r="C89" s="10" t="n"/>
      <c r="D89" s="102" t="inlineStr">
        <is>
          <t>Squadra B</t>
        </is>
      </c>
      <c r="E89" s="10" t="n"/>
      <c r="F89" s="102" t="inlineStr">
        <is>
          <t>Giorno</t>
        </is>
      </c>
      <c r="G89" s="102" t="inlineStr">
        <is>
          <t>Data</t>
        </is>
      </c>
      <c r="H89" s="102" t="inlineStr">
        <is>
          <t>Ora</t>
        </is>
      </c>
      <c r="I89" s="10" t="n"/>
      <c r="J89" s="102" t="inlineStr">
        <is>
          <t>Risultato</t>
        </is>
      </c>
      <c r="K89" s="9" t="n"/>
      <c r="L89" s="10" t="n"/>
    </row>
    <row r="90" ht="24" customHeight="1">
      <c r="A90" s="104">
        <f>MAX(A$10:A89)+1</f>
        <v/>
      </c>
      <c r="B90" s="61">
        <f>IF(C90="","",IFERROR(VLOOKUP(C90,areaNomiBreviSquadre,7,FALSE),""))</f>
        <v/>
      </c>
      <c r="C90" s="62" t="n"/>
      <c r="D90" s="61">
        <f>IF(E90="","",IFERROR(VLOOKUP(E90,areaNomiBreviSquadre,7,FALSE),""))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IF($J90+$L90=0,,IF($J90&lt;$L90,IF($J90&amp;"-"&amp;$L90=MID(constPunteggioForfait,FIND("-",constPunteggioForfait)+1,LEN(constPunteggioForfait))&amp;"-"&amp;LEFT(constPunteggioForfait,FIND("-",constPunteggioForfait)-1),1,0),0))</f>
        <v/>
      </c>
      <c r="P90" s="67">
        <f>IF($J90+$L90=0,,IF($J90&lt;$L90,IF($J90&amp;"-"&amp;$L90&lt;&gt;MID(constPunteggioForfait,FIND("-",constPunteggioForfait)+1,LEN(constPunteggioForfait))&amp;"-"&amp;LEFT(constPunteggioForfait,FIND("-",constPunteggioForfait)-1),1,0),0))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IF($J90+$L90=0,,IF($L90&lt;$J90,IF($J90&amp;"-"&amp;$L90=constPunteggioForfait,1,0),0))</f>
        <v/>
      </c>
      <c r="W90" s="67">
        <f>IF($J90+$L90=0,,IF($L90&lt;$J90,IF($J90&amp;"-"&amp;$L90&lt;&gt;constPunteggioForfait,1,0),0))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IF(I91="","",HYPERLINK(VLOOKUP(I91,areaCampiSquadre,3,FALSE),VLOOKUP(I91,areaCampiSquadre,2,FALSE)))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99" t="inlineStr">
        <is>
          <t>6F</t>
        </is>
      </c>
      <c r="B93" s="100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102" t="inlineStr">
        <is>
          <t>Gara N.</t>
        </is>
      </c>
      <c r="B94" s="102" t="inlineStr">
        <is>
          <t>Squadra A</t>
        </is>
      </c>
      <c r="C94" s="10" t="n"/>
      <c r="D94" s="102" t="inlineStr">
        <is>
          <t>Squadra B</t>
        </is>
      </c>
      <c r="E94" s="10" t="n"/>
      <c r="F94" s="102" t="inlineStr">
        <is>
          <t>Giorno</t>
        </is>
      </c>
      <c r="G94" s="102" t="inlineStr">
        <is>
          <t>Data</t>
        </is>
      </c>
      <c r="H94" s="102" t="inlineStr">
        <is>
          <t>Ora</t>
        </is>
      </c>
      <c r="I94" s="10" t="n"/>
      <c r="J94" s="102" t="inlineStr">
        <is>
          <t>Risultato</t>
        </is>
      </c>
      <c r="K94" s="9" t="n"/>
      <c r="L94" s="10" t="n"/>
    </row>
    <row r="95" ht="24" customHeight="1">
      <c r="A95" s="104">
        <f>MAX(A$10:A94)+1</f>
        <v/>
      </c>
      <c r="B95" s="61">
        <f>IF(C95="","",IFERROR(VLOOKUP(C95,areaNomiBreviSquadre,7,FALSE),""))</f>
        <v/>
      </c>
      <c r="C95" s="62" t="n"/>
      <c r="D95" s="61">
        <f>IF(E95="","",IFERROR(VLOOKUP(E95,areaNomiBreviSquadre,7,FALSE),""))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102" t="inlineStr">
        <is>
          <t>Gara N.</t>
        </is>
      </c>
      <c r="B97" s="102" t="inlineStr">
        <is>
          <t>Squadra A</t>
        </is>
      </c>
      <c r="C97" s="10" t="n"/>
      <c r="D97" s="102" t="inlineStr">
        <is>
          <t>Squadra B</t>
        </is>
      </c>
      <c r="E97" s="10" t="n"/>
      <c r="F97" s="102" t="inlineStr">
        <is>
          <t>Giorno</t>
        </is>
      </c>
      <c r="G97" s="102" t="inlineStr">
        <is>
          <t>Data</t>
        </is>
      </c>
      <c r="H97" s="102" t="inlineStr">
        <is>
          <t>Ora</t>
        </is>
      </c>
      <c r="I97" s="10" t="n"/>
      <c r="J97" s="102" t="inlineStr">
        <is>
          <t>Risultato</t>
        </is>
      </c>
      <c r="K97" s="9" t="n"/>
      <c r="L97" s="10" t="n"/>
    </row>
    <row r="98" ht="24" customHeight="1">
      <c r="A98" s="104">
        <f>MAX(A$10:A97)+1</f>
        <v/>
      </c>
      <c r="B98" s="61">
        <f>IF(C98="","",IFERROR(VLOOKUP(C98,areaNomiBreviSquadre,7,FALSE),""))</f>
        <v/>
      </c>
      <c r="C98" s="62" t="n"/>
      <c r="D98" s="61">
        <f>IF(E98="","",IFERROR(VLOOKUP(E98,areaNomiBreviSquadre,7,FALSE),""))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102" t="inlineStr">
        <is>
          <t>Gara N.</t>
        </is>
      </c>
      <c r="B100" s="102" t="inlineStr">
        <is>
          <t>Squadra A</t>
        </is>
      </c>
      <c r="C100" s="10" t="n"/>
      <c r="D100" s="102" t="inlineStr">
        <is>
          <t>Squadra B</t>
        </is>
      </c>
      <c r="E100" s="10" t="n"/>
      <c r="F100" s="102" t="inlineStr">
        <is>
          <t>Giorno</t>
        </is>
      </c>
      <c r="G100" s="102" t="inlineStr">
        <is>
          <t>Data</t>
        </is>
      </c>
      <c r="H100" s="102" t="inlineStr">
        <is>
          <t>Ora</t>
        </is>
      </c>
      <c r="I100" s="10" t="n"/>
      <c r="J100" s="102" t="inlineStr">
        <is>
          <t>Risultato</t>
        </is>
      </c>
      <c r="K100" s="9" t="n"/>
      <c r="L100" s="10" t="n"/>
    </row>
    <row r="101" ht="24" customHeight="1">
      <c r="A101" s="104">
        <f>MAX(A$10:A100)+1</f>
        <v/>
      </c>
      <c r="B101" s="61">
        <f>IF(C101="","",IFERROR(VLOOKUP(C101,areaNomiBreviSquadre,7,FALSE),""))</f>
        <v/>
      </c>
      <c r="C101" s="62" t="n"/>
      <c r="D101" s="61">
        <f>IF(E101="","",IFERROR(VLOOKUP(E101,areaNomiBreviSquadre,7,FALSE),""))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102" t="inlineStr">
        <is>
          <t>Gara N.</t>
        </is>
      </c>
      <c r="B103" s="102" t="inlineStr">
        <is>
          <t>Squadra A</t>
        </is>
      </c>
      <c r="C103" s="10" t="n"/>
      <c r="D103" s="102" t="inlineStr">
        <is>
          <t>Squadra B</t>
        </is>
      </c>
      <c r="E103" s="10" t="n"/>
      <c r="F103" s="102" t="inlineStr">
        <is>
          <t>Giorno</t>
        </is>
      </c>
      <c r="G103" s="102" t="inlineStr">
        <is>
          <t>Data</t>
        </is>
      </c>
      <c r="H103" s="102" t="inlineStr">
        <is>
          <t>Ora</t>
        </is>
      </c>
      <c r="I103" s="10" t="n"/>
      <c r="J103" s="102" t="inlineStr">
        <is>
          <t>Risultato</t>
        </is>
      </c>
      <c r="K103" s="9" t="n"/>
      <c r="L103" s="10" t="n"/>
    </row>
    <row r="104" ht="24" customHeight="1">
      <c r="A104" s="104">
        <f>MAX(A$10:A103)+1</f>
        <v/>
      </c>
      <c r="B104" s="61">
        <f>IF(C104="","",IFERROR(VLOOKUP(C104,areaNomiBreviSquadre,7,FALSE),""))</f>
        <v/>
      </c>
      <c r="C104" s="62" t="n"/>
      <c r="D104" s="61">
        <f>IF(E104="","",IFERROR(VLOOKUP(E104,areaNomiBreviSquadre,7,FALSE),""))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IF($J104+$L104=0,,IF($J104&lt;$L104,IF($J104&amp;"-"&amp;$L104=MID(constPunteggioForfait,FIND("-",constPunteggioForfait)+1,LEN(constPunteggioForfait))&amp;"-"&amp;LEFT(constPunteggioForfait,FIND("-",constPunteggioForfait)-1),1,0),0))</f>
        <v/>
      </c>
      <c r="P104" s="67">
        <f>IF($J104+$L104=0,,IF($J104&lt;$L104,IF($J104&amp;"-"&amp;$L104&lt;&gt;MID(constPunteggioForfait,FIND("-",constPunteggioForfait)+1,LEN(constPunteggioForfait))&amp;"-"&amp;LEFT(constPunteggioForfait,FIND("-",constPunteggioForfait)-1),1,0),0))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IF($J104+$L104=0,,IF($L104&lt;$J104,IF($J104&amp;"-"&amp;$L104=constPunteggioForfait,1,0),0))</f>
        <v/>
      </c>
      <c r="W104" s="67">
        <f>IF($J104+$L104=0,,IF($L104&lt;$J104,IF($J104&amp;"-"&amp;$L104&lt;&gt;constPunteggioForfait,1,0),0))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IF(I105="","",HYPERLINK(VLOOKUP(I105,areaCampiSquadre,3,FALSE),VLOOKUP(I105,areaCampiSquadre,2,FALSE)))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102" t="inlineStr">
        <is>
          <t>Gara N.</t>
        </is>
      </c>
      <c r="B106" s="102" t="inlineStr">
        <is>
          <t>Squadra A</t>
        </is>
      </c>
      <c r="C106" s="10" t="n"/>
      <c r="D106" s="102" t="inlineStr">
        <is>
          <t>Squadra B</t>
        </is>
      </c>
      <c r="E106" s="10" t="n"/>
      <c r="F106" s="102" t="inlineStr">
        <is>
          <t>Giorno</t>
        </is>
      </c>
      <c r="G106" s="102" t="inlineStr">
        <is>
          <t>Data</t>
        </is>
      </c>
      <c r="H106" s="102" t="inlineStr">
        <is>
          <t>Ora</t>
        </is>
      </c>
      <c r="I106" s="10" t="n"/>
      <c r="J106" s="102" t="inlineStr">
        <is>
          <t>Risultato</t>
        </is>
      </c>
      <c r="K106" s="9" t="n"/>
      <c r="L106" s="10" t="n"/>
    </row>
    <row r="107" ht="24" customHeight="1">
      <c r="A107" s="104">
        <f>MAX(A$10:A106)+1</f>
        <v/>
      </c>
      <c r="B107" s="61">
        <f>IF(C107="","",IFERROR(VLOOKUP(C107,areaNomiBreviSquadre,7,FALSE),""))</f>
        <v/>
      </c>
      <c r="C107" s="62" t="n"/>
      <c r="D107" s="61">
        <f>IF(E107="","",IFERROR(VLOOKUP(E107,areaNomiBreviSquadre,7,FALSE),""))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IF($J107+$L107=0,,IF($J107&lt;$L107,IF($J107&amp;"-"&amp;$L107=MID(constPunteggioForfait,FIND("-",constPunteggioForfait)+1,LEN(constPunteggioForfait))&amp;"-"&amp;LEFT(constPunteggioForfait,FIND("-",constPunteggioForfait)-1),1,0),0))</f>
        <v/>
      </c>
      <c r="P107" s="67">
        <f>IF($J107+$L107=0,,IF($J107&lt;$L107,IF($J107&amp;"-"&amp;$L107&lt;&gt;MID(constPunteggioForfait,FIND("-",constPunteggioForfait)+1,LEN(constPunteggioForfait))&amp;"-"&amp;LEFT(constPunteggioForfait,FIND("-",constPunteggioForfait)-1),1,0),0))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IF($J107+$L107=0,,IF($L107&lt;$J107,IF($J107&amp;"-"&amp;$L107=constPunteggioForfait,1,0),0))</f>
        <v/>
      </c>
      <c r="W107" s="67">
        <f>IF($J107+$L107=0,,IF($L107&lt;$J107,IF($J107&amp;"-"&amp;$L107&lt;&gt;constPunteggioForfait,1,0),0))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IF(I108="","",HYPERLINK(VLOOKUP(I108,areaCampiSquadre,3,FALSE),VLOOKUP(I108,areaCampiSquadre,2,FALSE)))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99" t="inlineStr">
        <is>
          <t>7F</t>
        </is>
      </c>
      <c r="B110" s="100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102" t="inlineStr">
        <is>
          <t>Gara N.</t>
        </is>
      </c>
      <c r="B111" s="102" t="inlineStr">
        <is>
          <t>Squadra A</t>
        </is>
      </c>
      <c r="C111" s="10" t="n"/>
      <c r="D111" s="102" t="inlineStr">
        <is>
          <t>Squadra B</t>
        </is>
      </c>
      <c r="E111" s="10" t="n"/>
      <c r="F111" s="102" t="inlineStr">
        <is>
          <t>Giorno</t>
        </is>
      </c>
      <c r="G111" s="102" t="inlineStr">
        <is>
          <t>Data</t>
        </is>
      </c>
      <c r="H111" s="102" t="inlineStr">
        <is>
          <t>Ora</t>
        </is>
      </c>
      <c r="I111" s="10" t="n"/>
      <c r="J111" s="102" t="inlineStr">
        <is>
          <t>Risultato</t>
        </is>
      </c>
      <c r="K111" s="9" t="n"/>
      <c r="L111" s="10" t="n"/>
    </row>
    <row r="112" ht="24" customHeight="1">
      <c r="A112" s="104">
        <f>MAX(A$10:A111)+1</f>
        <v/>
      </c>
      <c r="B112" s="61">
        <f>IF(C112="","",IFERROR(VLOOKUP(C112,areaNomiBreviSquadre,7,FALSE),""))</f>
        <v/>
      </c>
      <c r="C112" s="62" t="n"/>
      <c r="D112" s="61">
        <f>IF(E112="","",IFERROR(VLOOKUP(E112,areaNomiBreviSquadre,7,FALSE),""))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102" t="inlineStr">
        <is>
          <t>Gara N.</t>
        </is>
      </c>
      <c r="B114" s="102" t="inlineStr">
        <is>
          <t>Squadra A</t>
        </is>
      </c>
      <c r="C114" s="10" t="n"/>
      <c r="D114" s="102" t="inlineStr">
        <is>
          <t>Squadra B</t>
        </is>
      </c>
      <c r="E114" s="10" t="n"/>
      <c r="F114" s="102" t="inlineStr">
        <is>
          <t>Giorno</t>
        </is>
      </c>
      <c r="G114" s="102" t="inlineStr">
        <is>
          <t>Data</t>
        </is>
      </c>
      <c r="H114" s="102" t="inlineStr">
        <is>
          <t>Ora</t>
        </is>
      </c>
      <c r="I114" s="10" t="n"/>
      <c r="J114" s="102" t="inlineStr">
        <is>
          <t>Risultato</t>
        </is>
      </c>
      <c r="K114" s="9" t="n"/>
      <c r="L114" s="10" t="n"/>
    </row>
    <row r="115" ht="24" customHeight="1">
      <c r="A115" s="104">
        <f>MAX(A$10:A114)+1</f>
        <v/>
      </c>
      <c r="B115" s="61">
        <f>IF(C115="","",IFERROR(VLOOKUP(C115,areaNomiBreviSquadre,7,FALSE),""))</f>
        <v/>
      </c>
      <c r="C115" s="62" t="n"/>
      <c r="D115" s="61">
        <f>IF(E115="","",IFERROR(VLOOKUP(E115,areaNomiBreviSquadre,7,FALSE),""))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102" t="inlineStr">
        <is>
          <t>Gara N.</t>
        </is>
      </c>
      <c r="B117" s="102" t="inlineStr">
        <is>
          <t>Squadra A</t>
        </is>
      </c>
      <c r="C117" s="10" t="n"/>
      <c r="D117" s="102" t="inlineStr">
        <is>
          <t>Squadra B</t>
        </is>
      </c>
      <c r="E117" s="10" t="n"/>
      <c r="F117" s="102" t="inlineStr">
        <is>
          <t>Giorno</t>
        </is>
      </c>
      <c r="G117" s="102" t="inlineStr">
        <is>
          <t>Data</t>
        </is>
      </c>
      <c r="H117" s="102" t="inlineStr">
        <is>
          <t>Ora</t>
        </is>
      </c>
      <c r="I117" s="10" t="n"/>
      <c r="J117" s="102" t="inlineStr">
        <is>
          <t>Risultato</t>
        </is>
      </c>
      <c r="K117" s="9" t="n"/>
      <c r="L117" s="10" t="n"/>
    </row>
    <row r="118" ht="24" customHeight="1">
      <c r="A118" s="104">
        <f>MAX(A$10:A117)+1</f>
        <v/>
      </c>
      <c r="B118" s="61">
        <f>IF(C118="","",IFERROR(VLOOKUP(C118,areaNomiBreviSquadre,7,FALSE),""))</f>
        <v/>
      </c>
      <c r="C118" s="62" t="n"/>
      <c r="D118" s="61">
        <f>IF(E118="","",IFERROR(VLOOKUP(E118,areaNomiBreviSquadre,7,FALSE),""))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102" t="inlineStr">
        <is>
          <t>Gara N.</t>
        </is>
      </c>
      <c r="B120" s="102" t="inlineStr">
        <is>
          <t>Squadra A</t>
        </is>
      </c>
      <c r="C120" s="10" t="n"/>
      <c r="D120" s="102" t="inlineStr">
        <is>
          <t>Squadra B</t>
        </is>
      </c>
      <c r="E120" s="10" t="n"/>
      <c r="F120" s="102" t="inlineStr">
        <is>
          <t>Giorno</t>
        </is>
      </c>
      <c r="G120" s="102" t="inlineStr">
        <is>
          <t>Data</t>
        </is>
      </c>
      <c r="H120" s="102" t="inlineStr">
        <is>
          <t>Ora</t>
        </is>
      </c>
      <c r="I120" s="10" t="n"/>
      <c r="J120" s="102" t="inlineStr">
        <is>
          <t>Risultato</t>
        </is>
      </c>
      <c r="K120" s="9" t="n"/>
      <c r="L120" s="10" t="n"/>
    </row>
    <row r="121" ht="24" customHeight="1">
      <c r="A121" s="104">
        <f>MAX(A$10:A120)+1</f>
        <v/>
      </c>
      <c r="B121" s="61">
        <f>IF(C121="","",IFERROR(VLOOKUP(C121,areaNomiBreviSquadre,7,FALSE),""))</f>
        <v/>
      </c>
      <c r="C121" s="62" t="n"/>
      <c r="D121" s="61">
        <f>IF(E121="","",IFERROR(VLOOKUP(E121,areaNomiBreviSquadre,7,FALSE),""))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102" t="inlineStr">
        <is>
          <t>Gara N.</t>
        </is>
      </c>
      <c r="B123" s="102" t="inlineStr">
        <is>
          <t>Squadra A</t>
        </is>
      </c>
      <c r="C123" s="10" t="n"/>
      <c r="D123" s="102" t="inlineStr">
        <is>
          <t>Squadra B</t>
        </is>
      </c>
      <c r="E123" s="10" t="n"/>
      <c r="F123" s="102" t="inlineStr">
        <is>
          <t>Giorno</t>
        </is>
      </c>
      <c r="G123" s="102" t="inlineStr">
        <is>
          <t>Data</t>
        </is>
      </c>
      <c r="H123" s="102" t="inlineStr">
        <is>
          <t>Ora</t>
        </is>
      </c>
      <c r="I123" s="10" t="n"/>
      <c r="J123" s="102" t="inlineStr">
        <is>
          <t>Risultato</t>
        </is>
      </c>
      <c r="K123" s="9" t="n"/>
      <c r="L123" s="10" t="n"/>
    </row>
    <row r="124" ht="24" customHeight="1">
      <c r="A124" s="104">
        <f>MAX(A$10:A123)+1</f>
        <v/>
      </c>
      <c r="B124" s="61">
        <f>IF(C124="","",IFERROR(VLOOKUP(C124,areaNomiBreviSquadre,7,FALSE),""))</f>
        <v/>
      </c>
      <c r="C124" s="62" t="n"/>
      <c r="D124" s="61">
        <f>IF(E124="","",IFERROR(VLOOKUP(E124,areaNomiBreviSquadre,7,FALSE),""))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99" t="inlineStr">
        <is>
          <t>8F</t>
        </is>
      </c>
      <c r="B127" s="100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102" t="inlineStr">
        <is>
          <t>Gara N.</t>
        </is>
      </c>
      <c r="B128" s="102" t="inlineStr">
        <is>
          <t>Squadra A</t>
        </is>
      </c>
      <c r="C128" s="10" t="n"/>
      <c r="D128" s="102" t="inlineStr">
        <is>
          <t>Squadra B</t>
        </is>
      </c>
      <c r="E128" s="10" t="n"/>
      <c r="F128" s="102" t="inlineStr">
        <is>
          <t>Giorno</t>
        </is>
      </c>
      <c r="G128" s="102" t="inlineStr">
        <is>
          <t>Data</t>
        </is>
      </c>
      <c r="H128" s="102" t="inlineStr">
        <is>
          <t>Ora</t>
        </is>
      </c>
      <c r="I128" s="10" t="n"/>
      <c r="J128" s="102" t="inlineStr">
        <is>
          <t>Risultato</t>
        </is>
      </c>
      <c r="K128" s="9" t="n"/>
      <c r="L128" s="10" t="n"/>
    </row>
    <row r="129" ht="24" customHeight="1">
      <c r="A129" s="104">
        <f>MAX(A$10:A128)+1</f>
        <v/>
      </c>
      <c r="B129" s="61">
        <f>IF(C129="","",IFERROR(VLOOKUP(C129,areaNomiBreviSquadre,7,FALSE),""))</f>
        <v/>
      </c>
      <c r="C129" s="62" t="n"/>
      <c r="D129" s="61">
        <f>IF(E129="","",IFERROR(VLOOKUP(E129,areaNomiBreviSquadre,7,FALSE),""))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IF($J129+$L129=0,,IF($J129&lt;$L129,IF($J129&amp;"-"&amp;$L129=MID(constPunteggioForfait,FIND("-",constPunteggioForfait)+1,LEN(constPunteggioForfait))&amp;"-"&amp;LEFT(constPunteggioForfait,FIND("-",constPunteggioForfait)-1),1,0),0))</f>
        <v/>
      </c>
      <c r="P129" s="67">
        <f>IF($J129+$L129=0,,IF($J129&lt;$L129,IF($J129&amp;"-"&amp;$L129&lt;&gt;MID(constPunteggioForfait,FIND("-",constPunteggioForfait)+1,LEN(constPunteggioForfait))&amp;"-"&amp;LEFT(constPunteggioForfait,FIND("-",constPunteggioForfait)-1),1,0),0))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IF($J129+$L129=0,,IF($L129&lt;$J129,IF($J129&amp;"-"&amp;$L129=constPunteggioForfait,1,0),0))</f>
        <v/>
      </c>
      <c r="W129" s="67">
        <f>IF($J129+$L129=0,,IF($L129&lt;$J129,IF($J129&amp;"-"&amp;$L129&lt;&gt;constPunteggioForfait,1,0),0))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IF(I130="","",HYPERLINK(VLOOKUP(I130,areaCampiSquadre,3,FALSE),VLOOKUP(I130,areaCampiSquadre,2,FALSE)))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102" t="inlineStr">
        <is>
          <t>Gara N.</t>
        </is>
      </c>
      <c r="B131" s="102" t="inlineStr">
        <is>
          <t>Squadra A</t>
        </is>
      </c>
      <c r="C131" s="10" t="n"/>
      <c r="D131" s="102" t="inlineStr">
        <is>
          <t>Squadra B</t>
        </is>
      </c>
      <c r="E131" s="10" t="n"/>
      <c r="F131" s="102" t="inlineStr">
        <is>
          <t>Giorno</t>
        </is>
      </c>
      <c r="G131" s="102" t="inlineStr">
        <is>
          <t>Data</t>
        </is>
      </c>
      <c r="H131" s="102" t="inlineStr">
        <is>
          <t>Ora</t>
        </is>
      </c>
      <c r="I131" s="10" t="n"/>
      <c r="J131" s="102" t="inlineStr">
        <is>
          <t>Risultato</t>
        </is>
      </c>
      <c r="K131" s="9" t="n"/>
      <c r="L131" s="10" t="n"/>
    </row>
    <row r="132" ht="24" customHeight="1">
      <c r="A132" s="104">
        <f>MAX(A$10:A131)+1</f>
        <v/>
      </c>
      <c r="B132" s="61">
        <f>IF(C132="","",IFERROR(VLOOKUP(C132,areaNomiBreviSquadre,7,FALSE),""))</f>
        <v/>
      </c>
      <c r="C132" s="62" t="n"/>
      <c r="D132" s="61">
        <f>IF(E132="","",IFERROR(VLOOKUP(E132,areaNomiBreviSquadre,7,FALSE),""))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IF($J132+$L132=0,,IF($J132&lt;$L132,IF($J132&amp;"-"&amp;$L132=MID(constPunteggioForfait,FIND("-",constPunteggioForfait)+1,LEN(constPunteggioForfait))&amp;"-"&amp;LEFT(constPunteggioForfait,FIND("-",constPunteggioForfait)-1),1,0),0))</f>
        <v/>
      </c>
      <c r="P132" s="67">
        <f>IF($J132+$L132=0,,IF($J132&lt;$L132,IF($J132&amp;"-"&amp;$L132&lt;&gt;MID(constPunteggioForfait,FIND("-",constPunteggioForfait)+1,LEN(constPunteggioForfait))&amp;"-"&amp;LEFT(constPunteggioForfait,FIND("-",constPunteggioForfait)-1),1,0),0))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IF($J132+$L132=0,,IF($L132&lt;$J132,IF($J132&amp;"-"&amp;$L132=constPunteggioForfait,1,0),0))</f>
        <v/>
      </c>
      <c r="W132" s="67">
        <f>IF($J132+$L132=0,,IF($L132&lt;$J132,IF($J132&amp;"-"&amp;$L132&lt;&gt;constPunteggioForfait,1,0),0))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IF(I133="","",HYPERLINK(VLOOKUP(I133,areaCampiSquadre,3,FALSE),VLOOKUP(I133,areaCampiSquadre,2,FALSE)))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102" t="inlineStr">
        <is>
          <t>Gara N.</t>
        </is>
      </c>
      <c r="B134" s="102" t="inlineStr">
        <is>
          <t>Squadra A</t>
        </is>
      </c>
      <c r="C134" s="10" t="n"/>
      <c r="D134" s="102" t="inlineStr">
        <is>
          <t>Squadra B</t>
        </is>
      </c>
      <c r="E134" s="10" t="n"/>
      <c r="F134" s="102" t="inlineStr">
        <is>
          <t>Giorno</t>
        </is>
      </c>
      <c r="G134" s="102" t="inlineStr">
        <is>
          <t>Data</t>
        </is>
      </c>
      <c r="H134" s="102" t="inlineStr">
        <is>
          <t>Ora</t>
        </is>
      </c>
      <c r="I134" s="10" t="n"/>
      <c r="J134" s="102" t="inlineStr">
        <is>
          <t>Risultato</t>
        </is>
      </c>
      <c r="K134" s="9" t="n"/>
      <c r="L134" s="10" t="n"/>
    </row>
    <row r="135" ht="24" customHeight="1">
      <c r="A135" s="104">
        <f>MAX(A$10:A134)+1</f>
        <v/>
      </c>
      <c r="B135" s="61">
        <f>IF(C135="","",IFERROR(VLOOKUP(C135,areaNomiBreviSquadre,7,FALSE),""))</f>
        <v/>
      </c>
      <c r="C135" s="62" t="n"/>
      <c r="D135" s="61">
        <f>IF(E135="","",IFERROR(VLOOKUP(E135,areaNomiBreviSquadre,7,FALSE),""))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IF($J135+$L135=0,,IF($J135&lt;$L135,IF($J135&amp;"-"&amp;$L135=MID(constPunteggioForfait,FIND("-",constPunteggioForfait)+1,LEN(constPunteggioForfait))&amp;"-"&amp;LEFT(constPunteggioForfait,FIND("-",constPunteggioForfait)-1),1,0),0))</f>
        <v/>
      </c>
      <c r="P135" s="67">
        <f>IF($J135+$L135=0,,IF($J135&lt;$L135,IF($J135&amp;"-"&amp;$L135&lt;&gt;MID(constPunteggioForfait,FIND("-",constPunteggioForfait)+1,LEN(constPunteggioForfait))&amp;"-"&amp;LEFT(constPunteggioForfait,FIND("-",constPunteggioForfait)-1),1,0),0))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IF($J135+$L135=0,,IF($L135&lt;$J135,IF($J135&amp;"-"&amp;$L135=constPunteggioForfait,1,0),0))</f>
        <v/>
      </c>
      <c r="W135" s="67">
        <f>IF($J135+$L135=0,,IF($L135&lt;$J135,IF($J135&amp;"-"&amp;$L135&lt;&gt;constPunteggioForfait,1,0),0))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IF(I136="","",HYPERLINK(VLOOKUP(I136,areaCampiSquadre,3,FALSE),VLOOKUP(I136,areaCampiSquadre,2,FALSE)))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102" t="inlineStr">
        <is>
          <t>Gara N.</t>
        </is>
      </c>
      <c r="B137" s="102" t="inlineStr">
        <is>
          <t>Squadra A</t>
        </is>
      </c>
      <c r="C137" s="10" t="n"/>
      <c r="D137" s="102" t="inlineStr">
        <is>
          <t>Squadra B</t>
        </is>
      </c>
      <c r="E137" s="10" t="n"/>
      <c r="F137" s="102" t="inlineStr">
        <is>
          <t>Giorno</t>
        </is>
      </c>
      <c r="G137" s="102" t="inlineStr">
        <is>
          <t>Data</t>
        </is>
      </c>
      <c r="H137" s="102" t="inlineStr">
        <is>
          <t>Ora</t>
        </is>
      </c>
      <c r="I137" s="10" t="n"/>
      <c r="J137" s="102" t="inlineStr">
        <is>
          <t>Risultato</t>
        </is>
      </c>
      <c r="K137" s="9" t="n"/>
      <c r="L137" s="10" t="n"/>
    </row>
    <row r="138" ht="24" customHeight="1">
      <c r="A138" s="104">
        <f>MAX(A$10:A137)+1</f>
        <v/>
      </c>
      <c r="B138" s="61">
        <f>IF(C138="","",IFERROR(VLOOKUP(C138,areaNomiBreviSquadre,7,FALSE),""))</f>
        <v/>
      </c>
      <c r="C138" s="62" t="n"/>
      <c r="D138" s="61">
        <f>IF(E138="","",IFERROR(VLOOKUP(E138,areaNomiBreviSquadre,7,FALSE),""))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102" t="inlineStr">
        <is>
          <t>Gara N.</t>
        </is>
      </c>
      <c r="B140" s="102" t="inlineStr">
        <is>
          <t>Squadra A</t>
        </is>
      </c>
      <c r="C140" s="10" t="n"/>
      <c r="D140" s="102" t="inlineStr">
        <is>
          <t>Squadra B</t>
        </is>
      </c>
      <c r="E140" s="10" t="n"/>
      <c r="F140" s="102" t="inlineStr">
        <is>
          <t>Giorno</t>
        </is>
      </c>
      <c r="G140" s="102" t="inlineStr">
        <is>
          <t>Data</t>
        </is>
      </c>
      <c r="H140" s="102" t="inlineStr">
        <is>
          <t>Ora</t>
        </is>
      </c>
      <c r="I140" s="10" t="n"/>
      <c r="J140" s="102" t="inlineStr">
        <is>
          <t>Risultato</t>
        </is>
      </c>
      <c r="K140" s="9" t="n"/>
      <c r="L140" s="10" t="n"/>
    </row>
    <row r="141" ht="24" customHeight="1">
      <c r="A141" s="104">
        <f>MAX(A$10:A140)+1</f>
        <v/>
      </c>
      <c r="B141" s="61">
        <f>IF(C141="","",IFERROR(VLOOKUP(C141,areaNomiBreviSquadre,7,FALSE),""))</f>
        <v/>
      </c>
      <c r="C141" s="62" t="n"/>
      <c r="D141" s="61">
        <f>IF(E141="","",IFERROR(VLOOKUP(E141,areaNomiBreviSquadre,7,FALSE),""))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99" t="inlineStr">
        <is>
          <t>9F</t>
        </is>
      </c>
      <c r="B144" s="100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102" t="inlineStr">
        <is>
          <t>Gara N.</t>
        </is>
      </c>
      <c r="B145" s="102" t="inlineStr">
        <is>
          <t>Squadra A</t>
        </is>
      </c>
      <c r="C145" s="10" t="n"/>
      <c r="D145" s="102" t="inlineStr">
        <is>
          <t>Squadra B</t>
        </is>
      </c>
      <c r="E145" s="10" t="n"/>
      <c r="F145" s="102" t="inlineStr">
        <is>
          <t>Giorno</t>
        </is>
      </c>
      <c r="G145" s="102" t="inlineStr">
        <is>
          <t>Data</t>
        </is>
      </c>
      <c r="H145" s="102" t="inlineStr">
        <is>
          <t>Ora</t>
        </is>
      </c>
      <c r="I145" s="10" t="n"/>
      <c r="J145" s="102" t="inlineStr">
        <is>
          <t>Risultato</t>
        </is>
      </c>
      <c r="K145" s="9" t="n"/>
      <c r="L145" s="10" t="n"/>
    </row>
    <row r="146" ht="24" customHeight="1">
      <c r="A146" s="104">
        <f>MAX(A$10:A145)+1</f>
        <v/>
      </c>
      <c r="B146" s="61">
        <f>IF(C146="","",IFERROR(VLOOKUP(C146,areaNomiBreviSquadre,7,FALSE),""))</f>
        <v/>
      </c>
      <c r="C146" s="62" t="n"/>
      <c r="D146" s="61">
        <f>IF(E146="","",IFERROR(VLOOKUP(E146,areaNomiBreviSquadre,7,FALSE),""))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IF($J146+$L146=0,,IF($J146&lt;$L146,IF($J146&amp;"-"&amp;$L146=MID(constPunteggioForfait,FIND("-",constPunteggioForfait)+1,LEN(constPunteggioForfait))&amp;"-"&amp;LEFT(constPunteggioForfait,FIND("-",constPunteggioForfait)-1),1,0),0))</f>
        <v/>
      </c>
      <c r="P146" s="67">
        <f>IF($J146+$L146=0,,IF($J146&lt;$L146,IF($J146&amp;"-"&amp;$L146&lt;&gt;MID(constPunteggioForfait,FIND("-",constPunteggioForfait)+1,LEN(constPunteggioForfait))&amp;"-"&amp;LEFT(constPunteggioForfait,FIND("-",constPunteggioForfait)-1),1,0),0))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IF($J146+$L146=0,,IF($L146&lt;$J146,IF($J146&amp;"-"&amp;$L146=constPunteggioForfait,1,0),0))</f>
        <v/>
      </c>
      <c r="W146" s="67">
        <f>IF($J146+$L146=0,,IF($L146&lt;$J146,IF($J146&amp;"-"&amp;$L146&lt;&gt;constPunteggioForfait,1,0),0))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IF(I147="","",HYPERLINK(VLOOKUP(I147,areaCampiSquadre,3,FALSE),VLOOKUP(I147,areaCampiSquadre,2,FALSE)))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102" t="inlineStr">
        <is>
          <t>Gara N.</t>
        </is>
      </c>
      <c r="B148" s="102" t="inlineStr">
        <is>
          <t>Squadra A</t>
        </is>
      </c>
      <c r="C148" s="10" t="n"/>
      <c r="D148" s="102" t="inlineStr">
        <is>
          <t>Squadra B</t>
        </is>
      </c>
      <c r="E148" s="10" t="n"/>
      <c r="F148" s="102" t="inlineStr">
        <is>
          <t>Giorno</t>
        </is>
      </c>
      <c r="G148" s="102" t="inlineStr">
        <is>
          <t>Data</t>
        </is>
      </c>
      <c r="H148" s="102" t="inlineStr">
        <is>
          <t>Ora</t>
        </is>
      </c>
      <c r="I148" s="10" t="n"/>
      <c r="J148" s="102" t="inlineStr">
        <is>
          <t>Risultato</t>
        </is>
      </c>
      <c r="K148" s="9" t="n"/>
      <c r="L148" s="10" t="n"/>
    </row>
    <row r="149" ht="24" customHeight="1">
      <c r="A149" s="104">
        <f>MAX(A$10:A148)+1</f>
        <v/>
      </c>
      <c r="B149" s="61">
        <f>IF(C149="","",IFERROR(VLOOKUP(C149,areaNomiBreviSquadre,7,FALSE),""))</f>
        <v/>
      </c>
      <c r="C149" s="62" t="n"/>
      <c r="D149" s="61">
        <f>IF(E149="","",IFERROR(VLOOKUP(E149,areaNomiBreviSquadre,7,FALSE),""))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IF($J149+$L149=0,,IF($J149&lt;$L149,IF($J149&amp;"-"&amp;$L149=MID(constPunteggioForfait,FIND("-",constPunteggioForfait)+1,LEN(constPunteggioForfait))&amp;"-"&amp;LEFT(constPunteggioForfait,FIND("-",constPunteggioForfait)-1),1,0),0))</f>
        <v/>
      </c>
      <c r="P149" s="67">
        <f>IF($J149+$L149=0,,IF($J149&lt;$L149,IF($J149&amp;"-"&amp;$L149&lt;&gt;MID(constPunteggioForfait,FIND("-",constPunteggioForfait)+1,LEN(constPunteggioForfait))&amp;"-"&amp;LEFT(constPunteggioForfait,FIND("-",constPunteggioForfait)-1),1,0),0))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IF($J149+$L149=0,,IF($L149&lt;$J149,IF($J149&amp;"-"&amp;$L149=constPunteggioForfait,1,0),0))</f>
        <v/>
      </c>
      <c r="W149" s="67">
        <f>IF($J149+$L149=0,,IF($L149&lt;$J149,IF($J149&amp;"-"&amp;$L149&lt;&gt;constPunteggioForfait,1,0),0))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IF(I150="","",HYPERLINK(VLOOKUP(I150,areaCampiSquadre,3,FALSE),VLOOKUP(I150,areaCampiSquadre,2,FALSE)))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102" t="inlineStr">
        <is>
          <t>Gara N.</t>
        </is>
      </c>
      <c r="B151" s="102" t="inlineStr">
        <is>
          <t>Squadra A</t>
        </is>
      </c>
      <c r="C151" s="10" t="n"/>
      <c r="D151" s="102" t="inlineStr">
        <is>
          <t>Squadra B</t>
        </is>
      </c>
      <c r="E151" s="10" t="n"/>
      <c r="F151" s="102" t="inlineStr">
        <is>
          <t>Giorno</t>
        </is>
      </c>
      <c r="G151" s="102" t="inlineStr">
        <is>
          <t>Data</t>
        </is>
      </c>
      <c r="H151" s="102" t="inlineStr">
        <is>
          <t>Ora</t>
        </is>
      </c>
      <c r="I151" s="10" t="n"/>
      <c r="J151" s="102" t="inlineStr">
        <is>
          <t>Risultato</t>
        </is>
      </c>
      <c r="K151" s="9" t="n"/>
      <c r="L151" s="10" t="n"/>
    </row>
    <row r="152" ht="24" customHeight="1">
      <c r="A152" s="104">
        <f>MAX(A$10:A151)+1</f>
        <v/>
      </c>
      <c r="B152" s="61">
        <f>IF(C152="","",IFERROR(VLOOKUP(C152,areaNomiBreviSquadre,7,FALSE),""))</f>
        <v/>
      </c>
      <c r="C152" s="62" t="n"/>
      <c r="D152" s="61">
        <f>IF(E152="","",IFERROR(VLOOKUP(E152,areaNomiBreviSquadre,7,FALSE),""))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IF($J152+$L152=0,,IF($J152&lt;$L152,IF($J152&amp;"-"&amp;$L152=MID(constPunteggioForfait,FIND("-",constPunteggioForfait)+1,LEN(constPunteggioForfait))&amp;"-"&amp;LEFT(constPunteggioForfait,FIND("-",constPunteggioForfait)-1),1,0),0))</f>
        <v/>
      </c>
      <c r="P152" s="67">
        <f>IF($J152+$L152=0,,IF($J152&lt;$L152,IF($J152&amp;"-"&amp;$L152&lt;&gt;MID(constPunteggioForfait,FIND("-",constPunteggioForfait)+1,LEN(constPunteggioForfait))&amp;"-"&amp;LEFT(constPunteggioForfait,FIND("-",constPunteggioForfait)-1),1,0),0))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IF($J152+$L152=0,,IF($L152&lt;$J152,IF($J152&amp;"-"&amp;$L152=constPunteggioForfait,1,0),0))</f>
        <v/>
      </c>
      <c r="W152" s="67">
        <f>IF($J152+$L152=0,,IF($L152&lt;$J152,IF($J152&amp;"-"&amp;$L152&lt;&gt;constPunteggioForfait,1,0),0))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IF(I153="","",HYPERLINK(VLOOKUP(I153,areaCampiSquadre,3,FALSE),VLOOKUP(I153,areaCampiSquadre,2,FALSE)))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102" t="inlineStr">
        <is>
          <t>Gara N.</t>
        </is>
      </c>
      <c r="B154" s="102" t="inlineStr">
        <is>
          <t>Squadra A</t>
        </is>
      </c>
      <c r="C154" s="10" t="n"/>
      <c r="D154" s="102" t="inlineStr">
        <is>
          <t>Squadra B</t>
        </is>
      </c>
      <c r="E154" s="10" t="n"/>
      <c r="F154" s="102" t="inlineStr">
        <is>
          <t>Giorno</t>
        </is>
      </c>
      <c r="G154" s="102" t="inlineStr">
        <is>
          <t>Data</t>
        </is>
      </c>
      <c r="H154" s="102" t="inlineStr">
        <is>
          <t>Ora</t>
        </is>
      </c>
      <c r="I154" s="10" t="n"/>
      <c r="J154" s="102" t="inlineStr">
        <is>
          <t>Risultato</t>
        </is>
      </c>
      <c r="K154" s="9" t="n"/>
      <c r="L154" s="10" t="n"/>
    </row>
    <row r="155" ht="24" customHeight="1">
      <c r="A155" s="104">
        <f>MAX(A$10:A154)+1</f>
        <v/>
      </c>
      <c r="B155" s="61">
        <f>IF(C155="","",IFERROR(VLOOKUP(C155,areaNomiBreviSquadre,7,FALSE),""))</f>
        <v/>
      </c>
      <c r="C155" s="62" t="n"/>
      <c r="D155" s="61">
        <f>IF(E155="","",IFERROR(VLOOKUP(E155,areaNomiBreviSquadre,7,FALSE),""))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IF($J155+$L155=0,,IF($J155&lt;$L155,IF($J155&amp;"-"&amp;$L155=MID(constPunteggioForfait,FIND("-",constPunteggioForfait)+1,LEN(constPunteggioForfait))&amp;"-"&amp;LEFT(constPunteggioForfait,FIND("-",constPunteggioForfait)-1),1,0),0))</f>
        <v/>
      </c>
      <c r="P155" s="67">
        <f>IF($J155+$L155=0,,IF($J155&lt;$L155,IF($J155&amp;"-"&amp;$L155&lt;&gt;MID(constPunteggioForfait,FIND("-",constPunteggioForfait)+1,LEN(constPunteggioForfait))&amp;"-"&amp;LEFT(constPunteggioForfait,FIND("-",constPunteggioForfait)-1),1,0),0))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IF($J155+$L155=0,,IF($L155&lt;$J155,IF($J155&amp;"-"&amp;$L155=constPunteggioForfait,1,0),0))</f>
        <v/>
      </c>
      <c r="W155" s="67">
        <f>IF($J155+$L155=0,,IF($L155&lt;$J155,IF($J155&amp;"-"&amp;$L155&lt;&gt;constPunteggioForfait,1,0),0))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IF(I156="","",HYPERLINK(VLOOKUP(I156,areaCampiSquadre,3,FALSE),VLOOKUP(I156,areaCampiSquadre,2,FALSE)))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102" t="inlineStr">
        <is>
          <t>Gara N.</t>
        </is>
      </c>
      <c r="B157" s="102" t="inlineStr">
        <is>
          <t>Squadra A</t>
        </is>
      </c>
      <c r="C157" s="10" t="n"/>
      <c r="D157" s="102" t="inlineStr">
        <is>
          <t>Squadra B</t>
        </is>
      </c>
      <c r="E157" s="10" t="n"/>
      <c r="F157" s="102" t="inlineStr">
        <is>
          <t>Giorno</t>
        </is>
      </c>
      <c r="G157" s="102" t="inlineStr">
        <is>
          <t>Data</t>
        </is>
      </c>
      <c r="H157" s="102" t="inlineStr">
        <is>
          <t>Ora</t>
        </is>
      </c>
      <c r="I157" s="10" t="n"/>
      <c r="J157" s="102" t="inlineStr">
        <is>
          <t>Risultato</t>
        </is>
      </c>
      <c r="K157" s="9" t="n"/>
      <c r="L157" s="10" t="n"/>
    </row>
    <row r="158" ht="24" customHeight="1">
      <c r="A158" s="104">
        <f>MAX(A$10:A157)+1</f>
        <v/>
      </c>
      <c r="B158" s="61">
        <f>IF(C158="","",IFERROR(VLOOKUP(C158,areaNomiBreviSquadre,7,FALSE),""))</f>
        <v/>
      </c>
      <c r="C158" s="62" t="n"/>
      <c r="D158" s="61">
        <f>IF(E158="","",IFERROR(VLOOKUP(E158,areaNomiBreviSquadre,7,FALSE),""))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IF($J158+$L158=0,,IF($J158&lt;$L158,IF($J158&amp;"-"&amp;$L158=MID(constPunteggioForfait,FIND("-",constPunteggioForfait)+1,LEN(constPunteggioForfait))&amp;"-"&amp;LEFT(constPunteggioForfait,FIND("-",constPunteggioForfait)-1),1,0),0))</f>
        <v/>
      </c>
      <c r="P158" s="67">
        <f>IF($J158+$L158=0,,IF($J158&lt;$L158,IF($J158&amp;"-"&amp;$L158&lt;&gt;MID(constPunteggioForfait,FIND("-",constPunteggioForfait)+1,LEN(constPunteggioForfait))&amp;"-"&amp;LEFT(constPunteggioForfait,FIND("-",constPunteggioForfait)-1),1,0),0))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IF($J158+$L158=0,,IF($L158&lt;$J158,IF($J158&amp;"-"&amp;$L158=constPunteggioForfait,1,0),0))</f>
        <v/>
      </c>
      <c r="W158" s="67">
        <f>IF($J158+$L158=0,,IF($L158&lt;$J158,IF($J158&amp;"-"&amp;$L158&lt;&gt;constPunteggioForfait,1,0),0))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IF(I159="","",HYPERLINK(VLOOKUP(I159,areaCampiSquadre,3,FALSE),VLOOKUP(I159,areaCampiSquadre,2,FALSE)))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tabColor rgb="FFC2185B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 t="str">
        <f>IFERROR(IMAGE(constLogo1),"")</f>
        <v/>
      </c>
      <c r="I1" t="str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105">
        <f>"GIRONE "&amp;UPPER($O$3)&amp;" - Stagione "&amp;constStagionaCampionato</f>
        <v/>
      </c>
      <c r="M3" t="str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106" t="inlineStr">
        <is>
          <t>1G</t>
        </is>
      </c>
      <c r="B8" s="107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09" t="inlineStr">
        <is>
          <t>Gara N.</t>
        </is>
      </c>
      <c r="B9" s="109" t="inlineStr">
        <is>
          <t>Squadra A</t>
        </is>
      </c>
      <c r="C9" s="10" t="n"/>
      <c r="D9" s="109" t="inlineStr">
        <is>
          <t>Squadra B</t>
        </is>
      </c>
      <c r="E9" s="10" t="n"/>
      <c r="F9" s="109" t="inlineStr">
        <is>
          <t>Giorno</t>
        </is>
      </c>
      <c r="G9" s="109" t="inlineStr">
        <is>
          <t>Data</t>
        </is>
      </c>
      <c r="H9" s="109" t="inlineStr">
        <is>
          <t>Ora</t>
        </is>
      </c>
      <c r="I9" s="10" t="n"/>
      <c r="J9" s="109" t="inlineStr">
        <is>
          <t>Risultato</t>
        </is>
      </c>
      <c r="K9" s="9" t="n"/>
      <c r="L9" s="10" t="n"/>
    </row>
    <row r="10" ht="24" customHeight="1">
      <c r="A10" s="111" t="n">
        <v>271</v>
      </c>
      <c r="B10" s="61">
        <f>IF(C10="","",IFERROR(VLOOKUP(C10,areaNomiBreviSquadre,7,FALSE),""))</f>
        <v/>
      </c>
      <c r="C10" s="62" t="n"/>
      <c r="D10" s="61">
        <f>IF(E10="","",IFERROR(VLOOKUP(E10,areaNomiBreviSquadre,7,FALSE),""))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109" t="inlineStr">
        <is>
          <t>Gara N.</t>
        </is>
      </c>
      <c r="B12" s="109" t="inlineStr">
        <is>
          <t>Squadra A</t>
        </is>
      </c>
      <c r="C12" s="10" t="n"/>
      <c r="D12" s="109" t="inlineStr">
        <is>
          <t>Squadra B</t>
        </is>
      </c>
      <c r="E12" s="10" t="n"/>
      <c r="F12" s="109" t="inlineStr">
        <is>
          <t>Giorno</t>
        </is>
      </c>
      <c r="G12" s="109" t="inlineStr">
        <is>
          <t>Data</t>
        </is>
      </c>
      <c r="H12" s="109" t="inlineStr">
        <is>
          <t>Ora</t>
        </is>
      </c>
      <c r="I12" s="10" t="n"/>
      <c r="J12" s="109" t="inlineStr">
        <is>
          <t>Risultato</t>
        </is>
      </c>
      <c r="K12" s="9" t="n"/>
      <c r="L12" s="10" t="n"/>
    </row>
    <row r="13" ht="24" customHeight="1">
      <c r="A13" s="111">
        <f>MAX(A$10:A12)+1</f>
        <v/>
      </c>
      <c r="B13" s="61">
        <f>IF(C13="","",IFERROR(VLOOKUP(C13,areaNomiBreviSquadre,7,FALSE),""))</f>
        <v/>
      </c>
      <c r="C13" s="62" t="n"/>
      <c r="D13" s="61">
        <f>IF(E13="","",IFERROR(VLOOKUP(E13,areaNomiBreviSquadre,7,FALSE),""))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109" t="inlineStr">
        <is>
          <t>Gara N.</t>
        </is>
      </c>
      <c r="B15" s="109" t="inlineStr">
        <is>
          <t>Squadra A</t>
        </is>
      </c>
      <c r="C15" s="10" t="n"/>
      <c r="D15" s="109" t="inlineStr">
        <is>
          <t>Squadra B</t>
        </is>
      </c>
      <c r="E15" s="10" t="n"/>
      <c r="F15" s="109" t="inlineStr">
        <is>
          <t>Giorno</t>
        </is>
      </c>
      <c r="G15" s="109" t="inlineStr">
        <is>
          <t>Data</t>
        </is>
      </c>
      <c r="H15" s="109" t="inlineStr">
        <is>
          <t>Ora</t>
        </is>
      </c>
      <c r="I15" s="10" t="n"/>
      <c r="J15" s="109" t="inlineStr">
        <is>
          <t>Risultato</t>
        </is>
      </c>
      <c r="K15" s="9" t="n"/>
      <c r="L15" s="10" t="n"/>
    </row>
    <row r="16" ht="24" customHeight="1">
      <c r="A16" s="111">
        <f>MAX(A$10:A15)+1</f>
        <v/>
      </c>
      <c r="B16" s="61">
        <f>IF(C16="","",IFERROR(VLOOKUP(C16,areaNomiBreviSquadre,7,FALSE),""))</f>
        <v/>
      </c>
      <c r="C16" s="62" t="n"/>
      <c r="D16" s="61">
        <f>IF(E16="","",IFERROR(VLOOKUP(E16,areaNomiBreviSquadre,7,FALSE),""))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109" t="inlineStr">
        <is>
          <t>Gara N.</t>
        </is>
      </c>
      <c r="B18" s="109" t="inlineStr">
        <is>
          <t>Squadra A</t>
        </is>
      </c>
      <c r="C18" s="10" t="n"/>
      <c r="D18" s="109" t="inlineStr">
        <is>
          <t>Squadra B</t>
        </is>
      </c>
      <c r="E18" s="10" t="n"/>
      <c r="F18" s="109" t="inlineStr">
        <is>
          <t>Giorno</t>
        </is>
      </c>
      <c r="G18" s="109" t="inlineStr">
        <is>
          <t>Data</t>
        </is>
      </c>
      <c r="H18" s="109" t="inlineStr">
        <is>
          <t>Ora</t>
        </is>
      </c>
      <c r="I18" s="10" t="n"/>
      <c r="J18" s="109" t="inlineStr">
        <is>
          <t>Risultato</t>
        </is>
      </c>
      <c r="K18" s="9" t="n"/>
      <c r="L18" s="10" t="n"/>
    </row>
    <row r="19" ht="24" customHeight="1">
      <c r="A19" s="111">
        <f>MAX(A$10:A18)+1</f>
        <v/>
      </c>
      <c r="B19" s="61">
        <f>IF(C19="","",IFERROR(VLOOKUP(C19,areaNomiBreviSquadre,7,FALSE),""))</f>
        <v/>
      </c>
      <c r="C19" s="62" t="n"/>
      <c r="D19" s="61">
        <f>IF(E19="","",IFERROR(VLOOKUP(E19,areaNomiBreviSquadre,7,FALSE),""))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109" t="inlineStr">
        <is>
          <t>Gara N.</t>
        </is>
      </c>
      <c r="B21" s="109" t="inlineStr">
        <is>
          <t>Squadra A</t>
        </is>
      </c>
      <c r="C21" s="10" t="n"/>
      <c r="D21" s="109" t="inlineStr">
        <is>
          <t>Squadra B</t>
        </is>
      </c>
      <c r="E21" s="10" t="n"/>
      <c r="F21" s="109" t="inlineStr">
        <is>
          <t>Giorno</t>
        </is>
      </c>
      <c r="G21" s="109" t="inlineStr">
        <is>
          <t>Data</t>
        </is>
      </c>
      <c r="H21" s="109" t="inlineStr">
        <is>
          <t>Ora</t>
        </is>
      </c>
      <c r="I21" s="10" t="n"/>
      <c r="J21" s="109" t="inlineStr">
        <is>
          <t>Risultato</t>
        </is>
      </c>
      <c r="K21" s="9" t="n"/>
      <c r="L21" s="10" t="n"/>
    </row>
    <row r="22" ht="24" customHeight="1">
      <c r="A22" s="111">
        <f>MAX(A$10:A21)+1</f>
        <v/>
      </c>
      <c r="B22" s="61">
        <f>IF(C22="","",IFERROR(VLOOKUP(C22,areaNomiBreviSquadre,7,FALSE),""))</f>
        <v/>
      </c>
      <c r="C22" s="62" t="n"/>
      <c r="D22" s="61">
        <f>IF(E22="","",IFERROR(VLOOKUP(E22,areaNomiBreviSquadre,7,FALSE),""))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106" t="inlineStr">
        <is>
          <t>2G</t>
        </is>
      </c>
      <c r="B25" s="107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109" t="inlineStr">
        <is>
          <t>Gara N.</t>
        </is>
      </c>
      <c r="B26" s="109" t="inlineStr">
        <is>
          <t>Squadra A</t>
        </is>
      </c>
      <c r="C26" s="10" t="n"/>
      <c r="D26" s="109" t="inlineStr">
        <is>
          <t>Squadra B</t>
        </is>
      </c>
      <c r="E26" s="10" t="n"/>
      <c r="F26" s="109" t="inlineStr">
        <is>
          <t>Giorno</t>
        </is>
      </c>
      <c r="G26" s="109" t="inlineStr">
        <is>
          <t>Data</t>
        </is>
      </c>
      <c r="H26" s="109" t="inlineStr">
        <is>
          <t>Ora</t>
        </is>
      </c>
      <c r="I26" s="10" t="n"/>
      <c r="J26" s="109" t="inlineStr">
        <is>
          <t>Risultato</t>
        </is>
      </c>
      <c r="K26" s="9" t="n"/>
      <c r="L26" s="10" t="n"/>
    </row>
    <row r="27" ht="24" customHeight="1">
      <c r="A27" s="111">
        <f>MAX(A$10:A26)+1</f>
        <v/>
      </c>
      <c r="B27" s="61">
        <f>IF(C27="","",IFERROR(VLOOKUP(C27,areaNomiBreviSquadre,7,FALSE),""))</f>
        <v/>
      </c>
      <c r="C27" s="62" t="n"/>
      <c r="D27" s="61">
        <f>IF(E27="","",IFERROR(VLOOKUP(E27,areaNomiBreviSquadre,7,FALSE),""))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IF($J27+$L27=0,,IF($J27&lt;$L27,IF($J27&amp;"-"&amp;$L27=MID(constPunteggioForfait,FIND("-",constPunteggioForfait)+1,LEN(constPunteggioForfait))&amp;"-"&amp;LEFT(constPunteggioForfait,FIND("-",constPunteggioForfait)-1),1,0),0))</f>
        <v/>
      </c>
      <c r="P27" s="67">
        <f>IF($J27+$L27=0,,IF($J27&lt;$L27,IF($J27&amp;"-"&amp;$L27&lt;&gt;MID(constPunteggioForfait,FIND("-",constPunteggioForfait)+1,LEN(constPunteggioForfait))&amp;"-"&amp;LEFT(constPunteggioForfait,FIND("-",constPunteggioForfait)-1),1,0),0))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IF($J27+$L27=0,,IF($L27&lt;$J27,IF($J27&amp;"-"&amp;$L27=constPunteggioForfait,1,0),0))</f>
        <v/>
      </c>
      <c r="W27" s="67">
        <f>IF($J27+$L27=0,,IF($L27&lt;$J27,IF($J27&amp;"-"&amp;$L27&lt;&gt;constPunteggioForfait,1,0),0))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IF(I28="","",HYPERLINK(VLOOKUP(I28,areaCampiSquadre,3,FALSE),VLOOKUP(I28,areaCampiSquadre,2,FALSE)))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109" t="inlineStr">
        <is>
          <t>Gara N.</t>
        </is>
      </c>
      <c r="B29" s="109" t="inlineStr">
        <is>
          <t>Squadra A</t>
        </is>
      </c>
      <c r="C29" s="10" t="n"/>
      <c r="D29" s="109" t="inlineStr">
        <is>
          <t>Squadra B</t>
        </is>
      </c>
      <c r="E29" s="10" t="n"/>
      <c r="F29" s="109" t="inlineStr">
        <is>
          <t>Giorno</t>
        </is>
      </c>
      <c r="G29" s="109" t="inlineStr">
        <is>
          <t>Data</t>
        </is>
      </c>
      <c r="H29" s="109" t="inlineStr">
        <is>
          <t>Ora</t>
        </is>
      </c>
      <c r="I29" s="10" t="n"/>
      <c r="J29" s="109" t="inlineStr">
        <is>
          <t>Risultato</t>
        </is>
      </c>
      <c r="K29" s="9" t="n"/>
      <c r="L29" s="10" t="n"/>
    </row>
    <row r="30" ht="24" customHeight="1">
      <c r="A30" s="111">
        <f>MAX(A$10:A29)+1</f>
        <v/>
      </c>
      <c r="B30" s="61">
        <f>IF(C30="","",IFERROR(VLOOKUP(C30,areaNomiBreviSquadre,7,FALSE),""))</f>
        <v/>
      </c>
      <c r="C30" s="62" t="n"/>
      <c r="D30" s="61">
        <f>IF(E30="","",IFERROR(VLOOKUP(E30,areaNomiBreviSquadre,7,FALSE),""))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IF($J30+$L30=0,,IF($J30&lt;$L30,IF($J30&amp;"-"&amp;$L30=MID(constPunteggioForfait,FIND("-",constPunteggioForfait)+1,LEN(constPunteggioForfait))&amp;"-"&amp;LEFT(constPunteggioForfait,FIND("-",constPunteggioForfait)-1),1,0),0))</f>
        <v/>
      </c>
      <c r="P30" s="67">
        <f>IF($J30+$L30=0,,IF($J30&lt;$L30,IF($J30&amp;"-"&amp;$L30&lt;&gt;MID(constPunteggioForfait,FIND("-",constPunteggioForfait)+1,LEN(constPunteggioForfait))&amp;"-"&amp;LEFT(constPunteggioForfait,FIND("-",constPunteggioForfait)-1),1,0),0))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IF($J30+$L30=0,,IF($L30&lt;$J30,IF($J30&amp;"-"&amp;$L30=constPunteggioForfait,1,0),0))</f>
        <v/>
      </c>
      <c r="W30" s="67">
        <f>IF($J30+$L30=0,,IF($L30&lt;$J30,IF($J30&amp;"-"&amp;$L30&lt;&gt;constPunteggioForfait,1,0),0))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IF(I31="","",HYPERLINK(VLOOKUP(I31,areaCampiSquadre,3,FALSE),VLOOKUP(I31,areaCampiSquadre,2,FALSE)))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109" t="inlineStr">
        <is>
          <t>Gara N.</t>
        </is>
      </c>
      <c r="B32" s="109" t="inlineStr">
        <is>
          <t>Squadra A</t>
        </is>
      </c>
      <c r="C32" s="10" t="n"/>
      <c r="D32" s="109" t="inlineStr">
        <is>
          <t>Squadra B</t>
        </is>
      </c>
      <c r="E32" s="10" t="n"/>
      <c r="F32" s="109" t="inlineStr">
        <is>
          <t>Giorno</t>
        </is>
      </c>
      <c r="G32" s="109" t="inlineStr">
        <is>
          <t>Data</t>
        </is>
      </c>
      <c r="H32" s="109" t="inlineStr">
        <is>
          <t>Ora</t>
        </is>
      </c>
      <c r="I32" s="10" t="n"/>
      <c r="J32" s="109" t="inlineStr">
        <is>
          <t>Risultato</t>
        </is>
      </c>
      <c r="K32" s="9" t="n"/>
      <c r="L32" s="10" t="n"/>
    </row>
    <row r="33" ht="24" customHeight="1">
      <c r="A33" s="111">
        <f>MAX(A$10:A32)+1</f>
        <v/>
      </c>
      <c r="B33" s="61">
        <f>IF(C33="","",IFERROR(VLOOKUP(C33,areaNomiBreviSquadre,7,FALSE),""))</f>
        <v/>
      </c>
      <c r="C33" s="62" t="n"/>
      <c r="D33" s="61">
        <f>IF(E33="","",IFERROR(VLOOKUP(E33,areaNomiBreviSquadre,7,FALSE),""))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IF($J33+$L33=0,,IF($J33&lt;$L33,IF($J33&amp;"-"&amp;$L33=MID(constPunteggioForfait,FIND("-",constPunteggioForfait)+1,LEN(constPunteggioForfait))&amp;"-"&amp;LEFT(constPunteggioForfait,FIND("-",constPunteggioForfait)-1),1,0),0))</f>
        <v/>
      </c>
      <c r="P33" s="67">
        <f>IF($J33+$L33=0,,IF($J33&lt;$L33,IF($J33&amp;"-"&amp;$L33&lt;&gt;MID(constPunteggioForfait,FIND("-",constPunteggioForfait)+1,LEN(constPunteggioForfait))&amp;"-"&amp;LEFT(constPunteggioForfait,FIND("-",constPunteggioForfait)-1),1,0),0))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IF($J33+$L33=0,,IF($L33&lt;$J33,IF($J33&amp;"-"&amp;$L33=constPunteggioForfait,1,0),0))</f>
        <v/>
      </c>
      <c r="W33" s="67">
        <f>IF($J33+$L33=0,,IF($L33&lt;$J33,IF($J33&amp;"-"&amp;$L33&lt;&gt;constPunteggioForfait,1,0),0))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IF(I34="","",HYPERLINK(VLOOKUP(I34,areaCampiSquadre,3,FALSE),VLOOKUP(I34,areaCampiSquadre,2,FALSE)))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109" t="inlineStr">
        <is>
          <t>Gara N.</t>
        </is>
      </c>
      <c r="B35" s="109" t="inlineStr">
        <is>
          <t>Squadra A</t>
        </is>
      </c>
      <c r="C35" s="10" t="n"/>
      <c r="D35" s="109" t="inlineStr">
        <is>
          <t>Squadra B</t>
        </is>
      </c>
      <c r="E35" s="10" t="n"/>
      <c r="F35" s="109" t="inlineStr">
        <is>
          <t>Giorno</t>
        </is>
      </c>
      <c r="G35" s="109" t="inlineStr">
        <is>
          <t>Data</t>
        </is>
      </c>
      <c r="H35" s="109" t="inlineStr">
        <is>
          <t>Ora</t>
        </is>
      </c>
      <c r="I35" s="10" t="n"/>
      <c r="J35" s="109" t="inlineStr">
        <is>
          <t>Risultato</t>
        </is>
      </c>
      <c r="K35" s="9" t="n"/>
      <c r="L35" s="10" t="n"/>
    </row>
    <row r="36" ht="24" customHeight="1">
      <c r="A36" s="111">
        <f>MAX(A$10:A35)+1</f>
        <v/>
      </c>
      <c r="B36" s="61">
        <f>IF(C36="","",IFERROR(VLOOKUP(C36,areaNomiBreviSquadre,7,FALSE),""))</f>
        <v/>
      </c>
      <c r="C36" s="62" t="n"/>
      <c r="D36" s="61">
        <f>IF(E36="","",IFERROR(VLOOKUP(E36,areaNomiBreviSquadre,7,FALSE),""))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IF($J36+$L36=0,,IF($J36&lt;$L36,IF($J36&amp;"-"&amp;$L36=MID(constPunteggioForfait,FIND("-",constPunteggioForfait)+1,LEN(constPunteggioForfait))&amp;"-"&amp;LEFT(constPunteggioForfait,FIND("-",constPunteggioForfait)-1),1,0),0))</f>
        <v/>
      </c>
      <c r="P36" s="67">
        <f>IF($J36+$L36=0,,IF($J36&lt;$L36,IF($J36&amp;"-"&amp;$L36&lt;&gt;MID(constPunteggioForfait,FIND("-",constPunteggioForfait)+1,LEN(constPunteggioForfait))&amp;"-"&amp;LEFT(constPunteggioForfait,FIND("-",constPunteggioForfait)-1),1,0),0))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IF($J36+$L36=0,,IF($L36&lt;$J36,IF($J36&amp;"-"&amp;$L36=constPunteggioForfait,1,0),0))</f>
        <v/>
      </c>
      <c r="W36" s="67">
        <f>IF($J36+$L36=0,,IF($L36&lt;$J36,IF($J36&amp;"-"&amp;$L36&lt;&gt;constPunteggioForfait,1,0),0))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IF(I37="","",HYPERLINK(VLOOKUP(I37,areaCampiSquadre,3,FALSE),VLOOKUP(I37,areaCampiSquadre,2,FALSE)))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109" t="inlineStr">
        <is>
          <t>Gara N.</t>
        </is>
      </c>
      <c r="B38" s="109" t="inlineStr">
        <is>
          <t>Squadra A</t>
        </is>
      </c>
      <c r="C38" s="10" t="n"/>
      <c r="D38" s="109" t="inlineStr">
        <is>
          <t>Squadra B</t>
        </is>
      </c>
      <c r="E38" s="10" t="n"/>
      <c r="F38" s="109" t="inlineStr">
        <is>
          <t>Giorno</t>
        </is>
      </c>
      <c r="G38" s="109" t="inlineStr">
        <is>
          <t>Data</t>
        </is>
      </c>
      <c r="H38" s="109" t="inlineStr">
        <is>
          <t>Ora</t>
        </is>
      </c>
      <c r="I38" s="10" t="n"/>
      <c r="J38" s="109" t="inlineStr">
        <is>
          <t>Risultato</t>
        </is>
      </c>
      <c r="K38" s="9" t="n"/>
      <c r="L38" s="10" t="n"/>
    </row>
    <row r="39" ht="24" customHeight="1">
      <c r="A39" s="111">
        <f>MAX(A$10:A38)+1</f>
        <v/>
      </c>
      <c r="B39" s="61">
        <f>IF(C39="","",IFERROR(VLOOKUP(C39,areaNomiBreviSquadre,7,FALSE),""))</f>
        <v/>
      </c>
      <c r="C39" s="62" t="n"/>
      <c r="D39" s="61">
        <f>IF(E39="","",IFERROR(VLOOKUP(E39,areaNomiBreviSquadre,7,FALSE),""))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IF($J39+$L39=0,,IF($J39&lt;$L39,IF($J39&amp;"-"&amp;$L39=MID(constPunteggioForfait,FIND("-",constPunteggioForfait)+1,LEN(constPunteggioForfait))&amp;"-"&amp;LEFT(constPunteggioForfait,FIND("-",constPunteggioForfait)-1),1,0),0))</f>
        <v/>
      </c>
      <c r="P39" s="67">
        <f>IF($J39+$L39=0,,IF($J39&lt;$L39,IF($J39&amp;"-"&amp;$L39&lt;&gt;MID(constPunteggioForfait,FIND("-",constPunteggioForfait)+1,LEN(constPunteggioForfait))&amp;"-"&amp;LEFT(constPunteggioForfait,FIND("-",constPunteggioForfait)-1),1,0),0))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IF($J39+$L39=0,,IF($L39&lt;$J39,IF($J39&amp;"-"&amp;$L39=constPunteggioForfait,1,0),0))</f>
        <v/>
      </c>
      <c r="W39" s="67">
        <f>IF($J39+$L39=0,,IF($L39&lt;$J39,IF($J39&amp;"-"&amp;$L39&lt;&gt;constPunteggioForfait,1,0),0))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IF(I40="","",HYPERLINK(VLOOKUP(I40,areaCampiSquadre,3,FALSE),VLOOKUP(I40,areaCampiSquadre,2,FALSE)))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106" t="inlineStr">
        <is>
          <t>3G</t>
        </is>
      </c>
      <c r="B42" s="107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109" t="inlineStr">
        <is>
          <t>Gara N.</t>
        </is>
      </c>
      <c r="B43" s="109" t="inlineStr">
        <is>
          <t>Squadra A</t>
        </is>
      </c>
      <c r="C43" s="10" t="n"/>
      <c r="D43" s="109" t="inlineStr">
        <is>
          <t>Squadra B</t>
        </is>
      </c>
      <c r="E43" s="10" t="n"/>
      <c r="F43" s="109" t="inlineStr">
        <is>
          <t>Giorno</t>
        </is>
      </c>
      <c r="G43" s="109" t="inlineStr">
        <is>
          <t>Data</t>
        </is>
      </c>
      <c r="H43" s="109" t="inlineStr">
        <is>
          <t>Ora</t>
        </is>
      </c>
      <c r="I43" s="10" t="n"/>
      <c r="J43" s="109" t="inlineStr">
        <is>
          <t>Risultato</t>
        </is>
      </c>
      <c r="K43" s="9" t="n"/>
      <c r="L43" s="10" t="n"/>
    </row>
    <row r="44" ht="24" customHeight="1">
      <c r="A44" s="111">
        <f>MAX(A$10:A43)+1</f>
        <v/>
      </c>
      <c r="B44" s="61">
        <f>IF(C44="","",IFERROR(VLOOKUP(C44,areaNomiBreviSquadre,7,FALSE),""))</f>
        <v/>
      </c>
      <c r="C44" s="62" t="n"/>
      <c r="D44" s="61">
        <f>IF(E44="","",IFERROR(VLOOKUP(E44,areaNomiBreviSquadre,7,FALSE),""))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IF($J44+$L44=0,,IF($J44&lt;$L44,IF($J44&amp;"-"&amp;$L44=MID(constPunteggioForfait,FIND("-",constPunteggioForfait)+1,LEN(constPunteggioForfait))&amp;"-"&amp;LEFT(constPunteggioForfait,FIND("-",constPunteggioForfait)-1),1,0),0))</f>
        <v/>
      </c>
      <c r="P44" s="67">
        <f>IF($J44+$L44=0,,IF($J44&lt;$L44,IF($J44&amp;"-"&amp;$L44&lt;&gt;MID(constPunteggioForfait,FIND("-",constPunteggioForfait)+1,LEN(constPunteggioForfait))&amp;"-"&amp;LEFT(constPunteggioForfait,FIND("-",constPunteggioForfait)-1),1,0),0))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IF($J44+$L44=0,,IF($L44&lt;$J44,IF($J44&amp;"-"&amp;$L44=constPunteggioForfait,1,0),0))</f>
        <v/>
      </c>
      <c r="W44" s="67">
        <f>IF($J44+$L44=0,,IF($L44&lt;$J44,IF($J44&amp;"-"&amp;$L44&lt;&gt;constPunteggioForfait,1,0),0))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IF(I45="","",HYPERLINK(VLOOKUP(I45,areaCampiSquadre,3,FALSE),VLOOKUP(I45,areaCampiSquadre,2,FALSE)))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109" t="inlineStr">
        <is>
          <t>Gara N.</t>
        </is>
      </c>
      <c r="B46" s="109" t="inlineStr">
        <is>
          <t>Squadra A</t>
        </is>
      </c>
      <c r="C46" s="10" t="n"/>
      <c r="D46" s="109" t="inlineStr">
        <is>
          <t>Squadra B</t>
        </is>
      </c>
      <c r="E46" s="10" t="n"/>
      <c r="F46" s="109" t="inlineStr">
        <is>
          <t>Giorno</t>
        </is>
      </c>
      <c r="G46" s="109" t="inlineStr">
        <is>
          <t>Data</t>
        </is>
      </c>
      <c r="H46" s="109" t="inlineStr">
        <is>
          <t>Ora</t>
        </is>
      </c>
      <c r="I46" s="10" t="n"/>
      <c r="J46" s="109" t="inlineStr">
        <is>
          <t>Risultato</t>
        </is>
      </c>
      <c r="K46" s="9" t="n"/>
      <c r="L46" s="10" t="n"/>
    </row>
    <row r="47" ht="24" customHeight="1">
      <c r="A47" s="111">
        <f>MAX(A$10:A46)+1</f>
        <v/>
      </c>
      <c r="B47" s="61">
        <f>IF(C47="","",IFERROR(VLOOKUP(C47,areaNomiBreviSquadre,7,FALSE),""))</f>
        <v/>
      </c>
      <c r="C47" s="62" t="n"/>
      <c r="D47" s="61">
        <f>IF(E47="","",IFERROR(VLOOKUP(E47,areaNomiBreviSquadre,7,FALSE),""))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IF($J47+$L47=0,,IF($J47&lt;$L47,IF($J47&amp;"-"&amp;$L47=MID(constPunteggioForfait,FIND("-",constPunteggioForfait)+1,LEN(constPunteggioForfait))&amp;"-"&amp;LEFT(constPunteggioForfait,FIND("-",constPunteggioForfait)-1),1,0),0))</f>
        <v/>
      </c>
      <c r="P47" s="67">
        <f>IF($J47+$L47=0,,IF($J47&lt;$L47,IF($J47&amp;"-"&amp;$L47&lt;&gt;MID(constPunteggioForfait,FIND("-",constPunteggioForfait)+1,LEN(constPunteggioForfait))&amp;"-"&amp;LEFT(constPunteggioForfait,FIND("-",constPunteggioForfait)-1),1,0),0))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IF($J47+$L47=0,,IF($L47&lt;$J47,IF($J47&amp;"-"&amp;$L47=constPunteggioForfait,1,0),0))</f>
        <v/>
      </c>
      <c r="W47" s="67">
        <f>IF($J47+$L47=0,,IF($L47&lt;$J47,IF($J47&amp;"-"&amp;$L47&lt;&gt;constPunteggioForfait,1,0),0))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IF(I48="","",HYPERLINK(VLOOKUP(I48,areaCampiSquadre,3,FALSE),VLOOKUP(I48,areaCampiSquadre,2,FALSE)))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109" t="inlineStr">
        <is>
          <t>Gara N.</t>
        </is>
      </c>
      <c r="B49" s="109" t="inlineStr">
        <is>
          <t>Squadra A</t>
        </is>
      </c>
      <c r="C49" s="10" t="n"/>
      <c r="D49" s="109" t="inlineStr">
        <is>
          <t>Squadra B</t>
        </is>
      </c>
      <c r="E49" s="10" t="n"/>
      <c r="F49" s="109" t="inlineStr">
        <is>
          <t>Giorno</t>
        </is>
      </c>
      <c r="G49" s="109" t="inlineStr">
        <is>
          <t>Data</t>
        </is>
      </c>
      <c r="H49" s="109" t="inlineStr">
        <is>
          <t>Ora</t>
        </is>
      </c>
      <c r="I49" s="10" t="n"/>
      <c r="J49" s="109" t="inlineStr">
        <is>
          <t>Risultato</t>
        </is>
      </c>
      <c r="K49" s="9" t="n"/>
      <c r="L49" s="10" t="n"/>
    </row>
    <row r="50" ht="24" customHeight="1">
      <c r="A50" s="111">
        <f>MAX(A$10:A49)+1</f>
        <v/>
      </c>
      <c r="B50" s="61">
        <f>IF(C50="","",IFERROR(VLOOKUP(C50,areaNomiBreviSquadre,7,FALSE),""))</f>
        <v/>
      </c>
      <c r="C50" s="62" t="n"/>
      <c r="D50" s="61">
        <f>IF(E50="","",IFERROR(VLOOKUP(E50,areaNomiBreviSquadre,7,FALSE),""))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IF($J50+$L50=0,,IF($J50&lt;$L50,IF($J50&amp;"-"&amp;$L50=MID(constPunteggioForfait,FIND("-",constPunteggioForfait)+1,LEN(constPunteggioForfait))&amp;"-"&amp;LEFT(constPunteggioForfait,FIND("-",constPunteggioForfait)-1),1,0),0))</f>
        <v/>
      </c>
      <c r="P50" s="67">
        <f>IF($J50+$L50=0,,IF($J50&lt;$L50,IF($J50&amp;"-"&amp;$L50&lt;&gt;MID(constPunteggioForfait,FIND("-",constPunteggioForfait)+1,LEN(constPunteggioForfait))&amp;"-"&amp;LEFT(constPunteggioForfait,FIND("-",constPunteggioForfait)-1),1,0),0))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IF($J50+$L50=0,,IF($L50&lt;$J50,IF($J50&amp;"-"&amp;$L50=constPunteggioForfait,1,0),0))</f>
        <v/>
      </c>
      <c r="W50" s="67">
        <f>IF($J50+$L50=0,,IF($L50&lt;$J50,IF($J50&amp;"-"&amp;$L50&lt;&gt;constPunteggioForfait,1,0),0))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IF(I51="","",HYPERLINK(VLOOKUP(I51,areaCampiSquadre,3,FALSE),VLOOKUP(I51,areaCampiSquadre,2,FALSE)))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109" t="inlineStr">
        <is>
          <t>Gara N.</t>
        </is>
      </c>
      <c r="B52" s="109" t="inlineStr">
        <is>
          <t>Squadra A</t>
        </is>
      </c>
      <c r="C52" s="10" t="n"/>
      <c r="D52" s="109" t="inlineStr">
        <is>
          <t>Squadra B</t>
        </is>
      </c>
      <c r="E52" s="10" t="n"/>
      <c r="F52" s="109" t="inlineStr">
        <is>
          <t>Giorno</t>
        </is>
      </c>
      <c r="G52" s="109" t="inlineStr">
        <is>
          <t>Data</t>
        </is>
      </c>
      <c r="H52" s="109" t="inlineStr">
        <is>
          <t>Ora</t>
        </is>
      </c>
      <c r="I52" s="10" t="n"/>
      <c r="J52" s="109" t="inlineStr">
        <is>
          <t>Risultato</t>
        </is>
      </c>
      <c r="K52" s="9" t="n"/>
      <c r="L52" s="10" t="n"/>
    </row>
    <row r="53" ht="24" customHeight="1">
      <c r="A53" s="111">
        <f>MAX(A$10:A52)+1</f>
        <v/>
      </c>
      <c r="B53" s="61">
        <f>IF(C53="","",IFERROR(VLOOKUP(C53,areaNomiBreviSquadre,7,FALSE),""))</f>
        <v/>
      </c>
      <c r="C53" s="62" t="n"/>
      <c r="D53" s="61">
        <f>IF(E53="","",IFERROR(VLOOKUP(E53,areaNomiBreviSquadre,7,FALSE),""))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IF($J53+$L53=0,,IF($J53&lt;$L53,IF($J53&amp;"-"&amp;$L53=MID(constPunteggioForfait,FIND("-",constPunteggioForfait)+1,LEN(constPunteggioForfait))&amp;"-"&amp;LEFT(constPunteggioForfait,FIND("-",constPunteggioForfait)-1),1,0),0))</f>
        <v/>
      </c>
      <c r="P53" s="67">
        <f>IF($J53+$L53=0,,IF($J53&lt;$L53,IF($J53&amp;"-"&amp;$L53&lt;&gt;MID(constPunteggioForfait,FIND("-",constPunteggioForfait)+1,LEN(constPunteggioForfait))&amp;"-"&amp;LEFT(constPunteggioForfait,FIND("-",constPunteggioForfait)-1),1,0),0))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IF($J53+$L53=0,,IF($L53&lt;$J53,IF($J53&amp;"-"&amp;$L53=constPunteggioForfait,1,0),0))</f>
        <v/>
      </c>
      <c r="W53" s="67">
        <f>IF($J53+$L53=0,,IF($L53&lt;$J53,IF($J53&amp;"-"&amp;$L53&lt;&gt;constPunteggioForfait,1,0),0))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IF(I54="","",HYPERLINK(VLOOKUP(I54,areaCampiSquadre,3,FALSE),VLOOKUP(I54,areaCampiSquadre,2,FALSE)))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109" t="inlineStr">
        <is>
          <t>Gara N.</t>
        </is>
      </c>
      <c r="B55" s="109" t="inlineStr">
        <is>
          <t>Squadra A</t>
        </is>
      </c>
      <c r="C55" s="10" t="n"/>
      <c r="D55" s="109" t="inlineStr">
        <is>
          <t>Squadra B</t>
        </is>
      </c>
      <c r="E55" s="10" t="n"/>
      <c r="F55" s="109" t="inlineStr">
        <is>
          <t>Giorno</t>
        </is>
      </c>
      <c r="G55" s="109" t="inlineStr">
        <is>
          <t>Data</t>
        </is>
      </c>
      <c r="H55" s="109" t="inlineStr">
        <is>
          <t>Ora</t>
        </is>
      </c>
      <c r="I55" s="10" t="n"/>
      <c r="J55" s="109" t="inlineStr">
        <is>
          <t>Risultato</t>
        </is>
      </c>
      <c r="K55" s="9" t="n"/>
      <c r="L55" s="10" t="n"/>
    </row>
    <row r="56" ht="24" customHeight="1">
      <c r="A56" s="111">
        <f>MAX(A$10:A55)+1</f>
        <v/>
      </c>
      <c r="B56" s="61">
        <f>IF(C56="","",IFERROR(VLOOKUP(C56,areaNomiBreviSquadre,7,FALSE),""))</f>
        <v/>
      </c>
      <c r="C56" s="62" t="n"/>
      <c r="D56" s="61">
        <f>IF(E56="","",IFERROR(VLOOKUP(E56,areaNomiBreviSquadre,7,FALSE),""))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IF($J56+$L56=0,,IF($J56&lt;$L56,IF($J56&amp;"-"&amp;$L56=MID(constPunteggioForfait,FIND("-",constPunteggioForfait)+1,LEN(constPunteggioForfait))&amp;"-"&amp;LEFT(constPunteggioForfait,FIND("-",constPunteggioForfait)-1),1,0),0))</f>
        <v/>
      </c>
      <c r="P56" s="67">
        <f>IF($J56+$L56=0,,IF($J56&lt;$L56,IF($J56&amp;"-"&amp;$L56&lt;&gt;MID(constPunteggioForfait,FIND("-",constPunteggioForfait)+1,LEN(constPunteggioForfait))&amp;"-"&amp;LEFT(constPunteggioForfait,FIND("-",constPunteggioForfait)-1),1,0),0))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IF($J56+$L56=0,,IF($L56&lt;$J56,IF($J56&amp;"-"&amp;$L56=constPunteggioForfait,1,0),0))</f>
        <v/>
      </c>
      <c r="W56" s="67">
        <f>IF($J56+$L56=0,,IF($L56&lt;$J56,IF($J56&amp;"-"&amp;$L56&lt;&gt;constPunteggioForfait,1,0),0))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IF(I57="","",HYPERLINK(VLOOKUP(I57,areaCampiSquadre,3,FALSE),VLOOKUP(I57,areaCampiSquadre,2,FALSE)))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106" t="inlineStr">
        <is>
          <t>4G</t>
        </is>
      </c>
      <c r="B59" s="107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109" t="inlineStr">
        <is>
          <t>Gara N.</t>
        </is>
      </c>
      <c r="B60" s="109" t="inlineStr">
        <is>
          <t>Squadra A</t>
        </is>
      </c>
      <c r="C60" s="10" t="n"/>
      <c r="D60" s="109" t="inlineStr">
        <is>
          <t>Squadra B</t>
        </is>
      </c>
      <c r="E60" s="10" t="n"/>
      <c r="F60" s="109" t="inlineStr">
        <is>
          <t>Giorno</t>
        </is>
      </c>
      <c r="G60" s="109" t="inlineStr">
        <is>
          <t>Data</t>
        </is>
      </c>
      <c r="H60" s="109" t="inlineStr">
        <is>
          <t>Ora</t>
        </is>
      </c>
      <c r="I60" s="10" t="n"/>
      <c r="J60" s="109" t="inlineStr">
        <is>
          <t>Risultato</t>
        </is>
      </c>
      <c r="K60" s="9" t="n"/>
      <c r="L60" s="10" t="n"/>
    </row>
    <row r="61" ht="24" customHeight="1">
      <c r="A61" s="111">
        <f>MAX(A$10:A60)+1</f>
        <v/>
      </c>
      <c r="B61" s="61">
        <f>IF(C61="","",IFERROR(VLOOKUP(C61,areaNomiBreviSquadre,7,FALSE),""))</f>
        <v/>
      </c>
      <c r="C61" s="62" t="n"/>
      <c r="D61" s="61">
        <f>IF(E61="","",IFERROR(VLOOKUP(E61,areaNomiBreviSquadre,7,FALSE),""))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IF($J61+$L61=0,,IF($J61&lt;$L61,IF($J61&amp;"-"&amp;$L61=MID(constPunteggioForfait,FIND("-",constPunteggioForfait)+1,LEN(constPunteggioForfait))&amp;"-"&amp;LEFT(constPunteggioForfait,FIND("-",constPunteggioForfait)-1),1,0),0))</f>
        <v/>
      </c>
      <c r="P61" s="67">
        <f>IF($J61+$L61=0,,IF($J61&lt;$L61,IF($J61&amp;"-"&amp;$L61&lt;&gt;MID(constPunteggioForfait,FIND("-",constPunteggioForfait)+1,LEN(constPunteggioForfait))&amp;"-"&amp;LEFT(constPunteggioForfait,FIND("-",constPunteggioForfait)-1),1,0),0))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IF($J61+$L61=0,,IF($L61&lt;$J61,IF($J61&amp;"-"&amp;$L61=constPunteggioForfait,1,0),0))</f>
        <v/>
      </c>
      <c r="W61" s="67">
        <f>IF($J61+$L61=0,,IF($L61&lt;$J61,IF($J61&amp;"-"&amp;$L61&lt;&gt;constPunteggioForfait,1,0),0))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IF(I62="","",HYPERLINK(VLOOKUP(I62,areaCampiSquadre,3,FALSE),VLOOKUP(I62,areaCampiSquadre,2,FALSE)))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109" t="inlineStr">
        <is>
          <t>Gara N.</t>
        </is>
      </c>
      <c r="B63" s="109" t="inlineStr">
        <is>
          <t>Squadra A</t>
        </is>
      </c>
      <c r="C63" s="10" t="n"/>
      <c r="D63" s="109" t="inlineStr">
        <is>
          <t>Squadra B</t>
        </is>
      </c>
      <c r="E63" s="10" t="n"/>
      <c r="F63" s="109" t="inlineStr">
        <is>
          <t>Giorno</t>
        </is>
      </c>
      <c r="G63" s="109" t="inlineStr">
        <is>
          <t>Data</t>
        </is>
      </c>
      <c r="H63" s="109" t="inlineStr">
        <is>
          <t>Ora</t>
        </is>
      </c>
      <c r="I63" s="10" t="n"/>
      <c r="J63" s="109" t="inlineStr">
        <is>
          <t>Risultato</t>
        </is>
      </c>
      <c r="K63" s="9" t="n"/>
      <c r="L63" s="10" t="n"/>
    </row>
    <row r="64" ht="24" customHeight="1">
      <c r="A64" s="111">
        <f>MAX(A$10:A63)+1</f>
        <v/>
      </c>
      <c r="B64" s="61">
        <f>IF(C64="","",IFERROR(VLOOKUP(C64,areaNomiBreviSquadre,7,FALSE),""))</f>
        <v/>
      </c>
      <c r="C64" s="62" t="n"/>
      <c r="D64" s="61">
        <f>IF(E64="","",IFERROR(VLOOKUP(E64,areaNomiBreviSquadre,7,FALSE),""))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IF($J64+$L64=0,,IF($J64&lt;$L64,IF($J64&amp;"-"&amp;$L64=MID(constPunteggioForfait,FIND("-",constPunteggioForfait)+1,LEN(constPunteggioForfait))&amp;"-"&amp;LEFT(constPunteggioForfait,FIND("-",constPunteggioForfait)-1),1,0),0))</f>
        <v/>
      </c>
      <c r="P64" s="67">
        <f>IF($J64+$L64=0,,IF($J64&lt;$L64,IF($J64&amp;"-"&amp;$L64&lt;&gt;MID(constPunteggioForfait,FIND("-",constPunteggioForfait)+1,LEN(constPunteggioForfait))&amp;"-"&amp;LEFT(constPunteggioForfait,FIND("-",constPunteggioForfait)-1),1,0),0))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IF($J64+$L64=0,,IF($L64&lt;$J64,IF($J64&amp;"-"&amp;$L64=constPunteggioForfait,1,0),0))</f>
        <v/>
      </c>
      <c r="W64" s="67">
        <f>IF($J64+$L64=0,,IF($L64&lt;$J64,IF($J64&amp;"-"&amp;$L64&lt;&gt;constPunteggioForfait,1,0),0))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IF(I65="","",HYPERLINK(VLOOKUP(I65,areaCampiSquadre,3,FALSE),VLOOKUP(I65,areaCampiSquadre,2,FALSE)))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109" t="inlineStr">
        <is>
          <t>Gara N.</t>
        </is>
      </c>
      <c r="B66" s="109" t="inlineStr">
        <is>
          <t>Squadra A</t>
        </is>
      </c>
      <c r="C66" s="10" t="n"/>
      <c r="D66" s="109" t="inlineStr">
        <is>
          <t>Squadra B</t>
        </is>
      </c>
      <c r="E66" s="10" t="n"/>
      <c r="F66" s="109" t="inlineStr">
        <is>
          <t>Giorno</t>
        </is>
      </c>
      <c r="G66" s="109" t="inlineStr">
        <is>
          <t>Data</t>
        </is>
      </c>
      <c r="H66" s="109" t="inlineStr">
        <is>
          <t>Ora</t>
        </is>
      </c>
      <c r="I66" s="10" t="n"/>
      <c r="J66" s="109" t="inlineStr">
        <is>
          <t>Risultato</t>
        </is>
      </c>
      <c r="K66" s="9" t="n"/>
      <c r="L66" s="10" t="n"/>
    </row>
    <row r="67" ht="24" customHeight="1">
      <c r="A67" s="111">
        <f>MAX(A$10:A66)+1</f>
        <v/>
      </c>
      <c r="B67" s="61">
        <f>IF(C67="","",IFERROR(VLOOKUP(C67,areaNomiBreviSquadre,7,FALSE),""))</f>
        <v/>
      </c>
      <c r="C67" s="62" t="n"/>
      <c r="D67" s="61">
        <f>IF(E67="","",IFERROR(VLOOKUP(E67,areaNomiBreviSquadre,7,FALSE),""))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IF($J67+$L67=0,,IF($J67&lt;$L67,IF($J67&amp;"-"&amp;$L67=MID(constPunteggioForfait,FIND("-",constPunteggioForfait)+1,LEN(constPunteggioForfait))&amp;"-"&amp;LEFT(constPunteggioForfait,FIND("-",constPunteggioForfait)-1),1,0),0))</f>
        <v/>
      </c>
      <c r="P67" s="67">
        <f>IF($J67+$L67=0,,IF($J67&lt;$L67,IF($J67&amp;"-"&amp;$L67&lt;&gt;MID(constPunteggioForfait,FIND("-",constPunteggioForfait)+1,LEN(constPunteggioForfait))&amp;"-"&amp;LEFT(constPunteggioForfait,FIND("-",constPunteggioForfait)-1),1,0),0))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IF($J67+$L67=0,,IF($L67&lt;$J67,IF($J67&amp;"-"&amp;$L67=constPunteggioForfait,1,0),0))</f>
        <v/>
      </c>
      <c r="W67" s="67">
        <f>IF($J67+$L67=0,,IF($L67&lt;$J67,IF($J67&amp;"-"&amp;$L67&lt;&gt;constPunteggioForfait,1,0),0))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IF(I68="","",HYPERLINK(VLOOKUP(I68,areaCampiSquadre,3,FALSE),VLOOKUP(I68,areaCampiSquadre,2,FALSE)))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109" t="inlineStr">
        <is>
          <t>Gara N.</t>
        </is>
      </c>
      <c r="B69" s="109" t="inlineStr">
        <is>
          <t>Squadra A</t>
        </is>
      </c>
      <c r="C69" s="10" t="n"/>
      <c r="D69" s="109" t="inlineStr">
        <is>
          <t>Squadra B</t>
        </is>
      </c>
      <c r="E69" s="10" t="n"/>
      <c r="F69" s="109" t="inlineStr">
        <is>
          <t>Giorno</t>
        </is>
      </c>
      <c r="G69" s="109" t="inlineStr">
        <is>
          <t>Data</t>
        </is>
      </c>
      <c r="H69" s="109" t="inlineStr">
        <is>
          <t>Ora</t>
        </is>
      </c>
      <c r="I69" s="10" t="n"/>
      <c r="J69" s="109" t="inlineStr">
        <is>
          <t>Risultato</t>
        </is>
      </c>
      <c r="K69" s="9" t="n"/>
      <c r="L69" s="10" t="n"/>
    </row>
    <row r="70" ht="24" customHeight="1">
      <c r="A70" s="111">
        <f>MAX(A$10:A69)+1</f>
        <v/>
      </c>
      <c r="B70" s="61">
        <f>IF(C70="","",IFERROR(VLOOKUP(C70,areaNomiBreviSquadre,7,FALSE),""))</f>
        <v/>
      </c>
      <c r="C70" s="62" t="n"/>
      <c r="D70" s="61">
        <f>IF(E70="","",IFERROR(VLOOKUP(E70,areaNomiBreviSquadre,7,FALSE),""))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IF($J70+$L70=0,,IF($J70&lt;$L70,IF($J70&amp;"-"&amp;$L70=MID(constPunteggioForfait,FIND("-",constPunteggioForfait)+1,LEN(constPunteggioForfait))&amp;"-"&amp;LEFT(constPunteggioForfait,FIND("-",constPunteggioForfait)-1),1,0),0))</f>
        <v/>
      </c>
      <c r="P70" s="67">
        <f>IF($J70+$L70=0,,IF($J70&lt;$L70,IF($J70&amp;"-"&amp;$L70&lt;&gt;MID(constPunteggioForfait,FIND("-",constPunteggioForfait)+1,LEN(constPunteggioForfait))&amp;"-"&amp;LEFT(constPunteggioForfait,FIND("-",constPunteggioForfait)-1),1,0),0))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IF($J70+$L70=0,,IF($L70&lt;$J70,IF($J70&amp;"-"&amp;$L70=constPunteggioForfait,1,0),0))</f>
        <v/>
      </c>
      <c r="W70" s="67">
        <f>IF($J70+$L70=0,,IF($L70&lt;$J70,IF($J70&amp;"-"&amp;$L70&lt;&gt;constPunteggioForfait,1,0),0))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IF(I71="","",HYPERLINK(VLOOKUP(I71,areaCampiSquadre,3,FALSE),VLOOKUP(I71,areaCampiSquadre,2,FALSE)))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109" t="inlineStr">
        <is>
          <t>Gara N.</t>
        </is>
      </c>
      <c r="B72" s="109" t="inlineStr">
        <is>
          <t>Squadra A</t>
        </is>
      </c>
      <c r="C72" s="10" t="n"/>
      <c r="D72" s="109" t="inlineStr">
        <is>
          <t>Squadra B</t>
        </is>
      </c>
      <c r="E72" s="10" t="n"/>
      <c r="F72" s="109" t="inlineStr">
        <is>
          <t>Giorno</t>
        </is>
      </c>
      <c r="G72" s="109" t="inlineStr">
        <is>
          <t>Data</t>
        </is>
      </c>
      <c r="H72" s="109" t="inlineStr">
        <is>
          <t>Ora</t>
        </is>
      </c>
      <c r="I72" s="10" t="n"/>
      <c r="J72" s="109" t="inlineStr">
        <is>
          <t>Risultato</t>
        </is>
      </c>
      <c r="K72" s="9" t="n"/>
      <c r="L72" s="10" t="n"/>
    </row>
    <row r="73" ht="24" customHeight="1">
      <c r="A73" s="111">
        <f>MAX(A$10:A72)+1</f>
        <v/>
      </c>
      <c r="B73" s="61">
        <f>IF(C73="","",IFERROR(VLOOKUP(C73,areaNomiBreviSquadre,7,FALSE),""))</f>
        <v/>
      </c>
      <c r="C73" s="62" t="n"/>
      <c r="D73" s="61">
        <f>IF(E73="","",IFERROR(VLOOKUP(E73,areaNomiBreviSquadre,7,FALSE),""))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IF($J73+$L73=0,,IF($J73&lt;$L73,IF($J73&amp;"-"&amp;$L73=MID(constPunteggioForfait,FIND("-",constPunteggioForfait)+1,LEN(constPunteggioForfait))&amp;"-"&amp;LEFT(constPunteggioForfait,FIND("-",constPunteggioForfait)-1),1,0),0))</f>
        <v/>
      </c>
      <c r="P73" s="67">
        <f>IF($J73+$L73=0,,IF($J73&lt;$L73,IF($J73&amp;"-"&amp;$L73&lt;&gt;MID(constPunteggioForfait,FIND("-",constPunteggioForfait)+1,LEN(constPunteggioForfait))&amp;"-"&amp;LEFT(constPunteggioForfait,FIND("-",constPunteggioForfait)-1),1,0),0))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IF($J73+$L73=0,,IF($L73&lt;$J73,IF($J73&amp;"-"&amp;$L73=constPunteggioForfait,1,0),0))</f>
        <v/>
      </c>
      <c r="W73" s="67">
        <f>IF($J73+$L73=0,,IF($L73&lt;$J73,IF($J73&amp;"-"&amp;$L73&lt;&gt;constPunteggioForfait,1,0),0))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IF(I74="","",HYPERLINK(VLOOKUP(I74,areaCampiSquadre,3,FALSE),VLOOKUP(I74,areaCampiSquadre,2,FALSE)))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106" t="inlineStr">
        <is>
          <t>5G</t>
        </is>
      </c>
      <c r="B76" s="107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109" t="inlineStr">
        <is>
          <t>Gara N.</t>
        </is>
      </c>
      <c r="B77" s="109" t="inlineStr">
        <is>
          <t>Squadra A</t>
        </is>
      </c>
      <c r="C77" s="10" t="n"/>
      <c r="D77" s="109" t="inlineStr">
        <is>
          <t>Squadra B</t>
        </is>
      </c>
      <c r="E77" s="10" t="n"/>
      <c r="F77" s="109" t="inlineStr">
        <is>
          <t>Giorno</t>
        </is>
      </c>
      <c r="G77" s="109" t="inlineStr">
        <is>
          <t>Data</t>
        </is>
      </c>
      <c r="H77" s="109" t="inlineStr">
        <is>
          <t>Ora</t>
        </is>
      </c>
      <c r="I77" s="10" t="n"/>
      <c r="J77" s="109" t="inlineStr">
        <is>
          <t>Risultato</t>
        </is>
      </c>
      <c r="K77" s="9" t="n"/>
      <c r="L77" s="10" t="n"/>
    </row>
    <row r="78" ht="24" customHeight="1">
      <c r="A78" s="111">
        <f>MAX(A$10:A77)+1</f>
        <v/>
      </c>
      <c r="B78" s="61">
        <f>IF(C78="","",IFERROR(VLOOKUP(C78,areaNomiBreviSquadre,7,FALSE),""))</f>
        <v/>
      </c>
      <c r="C78" s="62" t="n"/>
      <c r="D78" s="61">
        <f>IF(E78="","",IFERROR(VLOOKUP(E78,areaNomiBreviSquadre,7,FALSE),""))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IF($J78+$L78=0,,IF($J78&lt;$L78,IF($J78&amp;"-"&amp;$L78=MID(constPunteggioForfait,FIND("-",constPunteggioForfait)+1,LEN(constPunteggioForfait))&amp;"-"&amp;LEFT(constPunteggioForfait,FIND("-",constPunteggioForfait)-1),1,0),0))</f>
        <v/>
      </c>
      <c r="P78" s="67">
        <f>IF($J78+$L78=0,,IF($J78&lt;$L78,IF($J78&amp;"-"&amp;$L78&lt;&gt;MID(constPunteggioForfait,FIND("-",constPunteggioForfait)+1,LEN(constPunteggioForfait))&amp;"-"&amp;LEFT(constPunteggioForfait,FIND("-",constPunteggioForfait)-1),1,0),0))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IF($J78+$L78=0,,IF($L78&lt;$J78,IF($J78&amp;"-"&amp;$L78=constPunteggioForfait,1,0),0))</f>
        <v/>
      </c>
      <c r="W78" s="67">
        <f>IF($J78+$L78=0,,IF($L78&lt;$J78,IF($J78&amp;"-"&amp;$L78&lt;&gt;constPunteggioForfait,1,0),0))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IF(I79="","",HYPERLINK(VLOOKUP(I79,areaCampiSquadre,3,FALSE),VLOOKUP(I79,areaCampiSquadre,2,FALSE)))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109" t="inlineStr">
        <is>
          <t>Gara N.</t>
        </is>
      </c>
      <c r="B80" s="109" t="inlineStr">
        <is>
          <t>Squadra A</t>
        </is>
      </c>
      <c r="C80" s="10" t="n"/>
      <c r="D80" s="109" t="inlineStr">
        <is>
          <t>Squadra B</t>
        </is>
      </c>
      <c r="E80" s="10" t="n"/>
      <c r="F80" s="109" t="inlineStr">
        <is>
          <t>Giorno</t>
        </is>
      </c>
      <c r="G80" s="109" t="inlineStr">
        <is>
          <t>Data</t>
        </is>
      </c>
      <c r="H80" s="109" t="inlineStr">
        <is>
          <t>Ora</t>
        </is>
      </c>
      <c r="I80" s="10" t="n"/>
      <c r="J80" s="109" t="inlineStr">
        <is>
          <t>Risultato</t>
        </is>
      </c>
      <c r="K80" s="9" t="n"/>
      <c r="L80" s="10" t="n"/>
    </row>
    <row r="81" ht="24" customHeight="1">
      <c r="A81" s="111">
        <f>MAX(A$10:A80)+1</f>
        <v/>
      </c>
      <c r="B81" s="61">
        <f>IF(C81="","",IFERROR(VLOOKUP(C81,areaNomiBreviSquadre,7,FALSE),""))</f>
        <v/>
      </c>
      <c r="C81" s="62" t="n"/>
      <c r="D81" s="61">
        <f>IF(E81="","",IFERROR(VLOOKUP(E81,areaNomiBreviSquadre,7,FALSE),""))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IF($J81+$L81=0,,IF($J81&lt;$L81,IF($J81&amp;"-"&amp;$L81=MID(constPunteggioForfait,FIND("-",constPunteggioForfait)+1,LEN(constPunteggioForfait))&amp;"-"&amp;LEFT(constPunteggioForfait,FIND("-",constPunteggioForfait)-1),1,0),0))</f>
        <v/>
      </c>
      <c r="P81" s="67">
        <f>IF($J81+$L81=0,,IF($J81&lt;$L81,IF($J81&amp;"-"&amp;$L81&lt;&gt;MID(constPunteggioForfait,FIND("-",constPunteggioForfait)+1,LEN(constPunteggioForfait))&amp;"-"&amp;LEFT(constPunteggioForfait,FIND("-",constPunteggioForfait)-1),1,0),0))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IF($J81+$L81=0,,IF($L81&lt;$J81,IF($J81&amp;"-"&amp;$L81=constPunteggioForfait,1,0),0))</f>
        <v/>
      </c>
      <c r="W81" s="67">
        <f>IF($J81+$L81=0,,IF($L81&lt;$J81,IF($J81&amp;"-"&amp;$L81&lt;&gt;constPunteggioForfait,1,0),0))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IF(I82="","",HYPERLINK(VLOOKUP(I82,areaCampiSquadre,3,FALSE),VLOOKUP(I82,areaCampiSquadre,2,FALSE)))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109" t="inlineStr">
        <is>
          <t>Gara N.</t>
        </is>
      </c>
      <c r="B83" s="109" t="inlineStr">
        <is>
          <t>Squadra A</t>
        </is>
      </c>
      <c r="C83" s="10" t="n"/>
      <c r="D83" s="109" t="inlineStr">
        <is>
          <t>Squadra B</t>
        </is>
      </c>
      <c r="E83" s="10" t="n"/>
      <c r="F83" s="109" t="inlineStr">
        <is>
          <t>Giorno</t>
        </is>
      </c>
      <c r="G83" s="109" t="inlineStr">
        <is>
          <t>Data</t>
        </is>
      </c>
      <c r="H83" s="109" t="inlineStr">
        <is>
          <t>Ora</t>
        </is>
      </c>
      <c r="I83" s="10" t="n"/>
      <c r="J83" s="109" t="inlineStr">
        <is>
          <t>Risultato</t>
        </is>
      </c>
      <c r="K83" s="9" t="n"/>
      <c r="L83" s="10" t="n"/>
    </row>
    <row r="84" ht="24" customHeight="1">
      <c r="A84" s="111">
        <f>MAX(A$10:A83)+1</f>
        <v/>
      </c>
      <c r="B84" s="61">
        <f>IF(C84="","",IFERROR(VLOOKUP(C84,areaNomiBreviSquadre,7,FALSE),""))</f>
        <v/>
      </c>
      <c r="C84" s="62" t="n"/>
      <c r="D84" s="61">
        <f>IF(E84="","",IFERROR(VLOOKUP(E84,areaNomiBreviSquadre,7,FALSE),""))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IF($J84+$L84=0,,IF($J84&lt;$L84,IF($J84&amp;"-"&amp;$L84=MID(constPunteggioForfait,FIND("-",constPunteggioForfait)+1,LEN(constPunteggioForfait))&amp;"-"&amp;LEFT(constPunteggioForfait,FIND("-",constPunteggioForfait)-1),1,0),0))</f>
        <v/>
      </c>
      <c r="P84" s="67">
        <f>IF($J84+$L84=0,,IF($J84&lt;$L84,IF($J84&amp;"-"&amp;$L84&lt;&gt;MID(constPunteggioForfait,FIND("-",constPunteggioForfait)+1,LEN(constPunteggioForfait))&amp;"-"&amp;LEFT(constPunteggioForfait,FIND("-",constPunteggioForfait)-1),1,0),0))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IF($J84+$L84=0,,IF($L84&lt;$J84,IF($J84&amp;"-"&amp;$L84=constPunteggioForfait,1,0),0))</f>
        <v/>
      </c>
      <c r="W84" s="67">
        <f>IF($J84+$L84=0,,IF($L84&lt;$J84,IF($J84&amp;"-"&amp;$L84&lt;&gt;constPunteggioForfait,1,0),0))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IF(I85="","",HYPERLINK(VLOOKUP(I85,areaCampiSquadre,3,FALSE),VLOOKUP(I85,areaCampiSquadre,2,FALSE)))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109" t="inlineStr">
        <is>
          <t>Gara N.</t>
        </is>
      </c>
      <c r="B86" s="109" t="inlineStr">
        <is>
          <t>Squadra A</t>
        </is>
      </c>
      <c r="C86" s="10" t="n"/>
      <c r="D86" s="109" t="inlineStr">
        <is>
          <t>Squadra B</t>
        </is>
      </c>
      <c r="E86" s="10" t="n"/>
      <c r="F86" s="109" t="inlineStr">
        <is>
          <t>Giorno</t>
        </is>
      </c>
      <c r="G86" s="109" t="inlineStr">
        <is>
          <t>Data</t>
        </is>
      </c>
      <c r="H86" s="109" t="inlineStr">
        <is>
          <t>Ora</t>
        </is>
      </c>
      <c r="I86" s="10" t="n"/>
      <c r="J86" s="109" t="inlineStr">
        <is>
          <t>Risultato</t>
        </is>
      </c>
      <c r="K86" s="9" t="n"/>
      <c r="L86" s="10" t="n"/>
    </row>
    <row r="87" ht="24" customHeight="1">
      <c r="A87" s="111">
        <f>MAX(A$10:A86)+1</f>
        <v/>
      </c>
      <c r="B87" s="61">
        <f>IF(C87="","",IFERROR(VLOOKUP(C87,areaNomiBreviSquadre,7,FALSE),""))</f>
        <v/>
      </c>
      <c r="C87" s="62" t="n"/>
      <c r="D87" s="61">
        <f>IF(E87="","",IFERROR(VLOOKUP(E87,areaNomiBreviSquadre,7,FALSE),""))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IF($J87+$L87=0,,IF($J87&lt;$L87,IF($J87&amp;"-"&amp;$L87=MID(constPunteggioForfait,FIND("-",constPunteggioForfait)+1,LEN(constPunteggioForfait))&amp;"-"&amp;LEFT(constPunteggioForfait,FIND("-",constPunteggioForfait)-1),1,0),0))</f>
        <v/>
      </c>
      <c r="P87" s="67">
        <f>IF($J87+$L87=0,,IF($J87&lt;$L87,IF($J87&amp;"-"&amp;$L87&lt;&gt;MID(constPunteggioForfait,FIND("-",constPunteggioForfait)+1,LEN(constPunteggioForfait))&amp;"-"&amp;LEFT(constPunteggioForfait,FIND("-",constPunteggioForfait)-1),1,0),0))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IF($J87+$L87=0,,IF($L87&lt;$J87,IF($J87&amp;"-"&amp;$L87=constPunteggioForfait,1,0),0))</f>
        <v/>
      </c>
      <c r="W87" s="67">
        <f>IF($J87+$L87=0,,IF($L87&lt;$J87,IF($J87&amp;"-"&amp;$L87&lt;&gt;constPunteggioForfait,1,0),0))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IF(I88="","",HYPERLINK(VLOOKUP(I88,areaCampiSquadre,3,FALSE),VLOOKUP(I88,areaCampiSquadre,2,FALSE)))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109" t="inlineStr">
        <is>
          <t>Gara N.</t>
        </is>
      </c>
      <c r="B89" s="109" t="inlineStr">
        <is>
          <t>Squadra A</t>
        </is>
      </c>
      <c r="C89" s="10" t="n"/>
      <c r="D89" s="109" t="inlineStr">
        <is>
          <t>Squadra B</t>
        </is>
      </c>
      <c r="E89" s="10" t="n"/>
      <c r="F89" s="109" t="inlineStr">
        <is>
          <t>Giorno</t>
        </is>
      </c>
      <c r="G89" s="109" t="inlineStr">
        <is>
          <t>Data</t>
        </is>
      </c>
      <c r="H89" s="109" t="inlineStr">
        <is>
          <t>Ora</t>
        </is>
      </c>
      <c r="I89" s="10" t="n"/>
      <c r="J89" s="109" t="inlineStr">
        <is>
          <t>Risultato</t>
        </is>
      </c>
      <c r="K89" s="9" t="n"/>
      <c r="L89" s="10" t="n"/>
    </row>
    <row r="90" ht="24" customHeight="1">
      <c r="A90" s="111">
        <f>MAX(A$10:A89)+1</f>
        <v/>
      </c>
      <c r="B90" s="61">
        <f>IF(C90="","",IFERROR(VLOOKUP(C90,areaNomiBreviSquadre,7,FALSE),""))</f>
        <v/>
      </c>
      <c r="C90" s="62" t="n"/>
      <c r="D90" s="61">
        <f>IF(E90="","",IFERROR(VLOOKUP(E90,areaNomiBreviSquadre,7,FALSE),""))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IF($J90+$L90=0,,IF($J90&lt;$L90,IF($J90&amp;"-"&amp;$L90=MID(constPunteggioForfait,FIND("-",constPunteggioForfait)+1,LEN(constPunteggioForfait))&amp;"-"&amp;LEFT(constPunteggioForfait,FIND("-",constPunteggioForfait)-1),1,0),0))</f>
        <v/>
      </c>
      <c r="P90" s="67">
        <f>IF($J90+$L90=0,,IF($J90&lt;$L90,IF($J90&amp;"-"&amp;$L90&lt;&gt;MID(constPunteggioForfait,FIND("-",constPunteggioForfait)+1,LEN(constPunteggioForfait))&amp;"-"&amp;LEFT(constPunteggioForfait,FIND("-",constPunteggioForfait)-1),1,0),0))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IF($J90+$L90=0,,IF($L90&lt;$J90,IF($J90&amp;"-"&amp;$L90=constPunteggioForfait,1,0),0))</f>
        <v/>
      </c>
      <c r="W90" s="67">
        <f>IF($J90+$L90=0,,IF($L90&lt;$J90,IF($J90&amp;"-"&amp;$L90&lt;&gt;constPunteggioForfait,1,0),0))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IF(I91="","",HYPERLINK(VLOOKUP(I91,areaCampiSquadre,3,FALSE),VLOOKUP(I91,areaCampiSquadre,2,FALSE)))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106" t="inlineStr">
        <is>
          <t>6G</t>
        </is>
      </c>
      <c r="B93" s="107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109" t="inlineStr">
        <is>
          <t>Gara N.</t>
        </is>
      </c>
      <c r="B94" s="109" t="inlineStr">
        <is>
          <t>Squadra A</t>
        </is>
      </c>
      <c r="C94" s="10" t="n"/>
      <c r="D94" s="109" t="inlineStr">
        <is>
          <t>Squadra B</t>
        </is>
      </c>
      <c r="E94" s="10" t="n"/>
      <c r="F94" s="109" t="inlineStr">
        <is>
          <t>Giorno</t>
        </is>
      </c>
      <c r="G94" s="109" t="inlineStr">
        <is>
          <t>Data</t>
        </is>
      </c>
      <c r="H94" s="109" t="inlineStr">
        <is>
          <t>Ora</t>
        </is>
      </c>
      <c r="I94" s="10" t="n"/>
      <c r="J94" s="109" t="inlineStr">
        <is>
          <t>Risultato</t>
        </is>
      </c>
      <c r="K94" s="9" t="n"/>
      <c r="L94" s="10" t="n"/>
    </row>
    <row r="95" ht="24" customHeight="1">
      <c r="A95" s="111">
        <f>MAX(A$10:A94)+1</f>
        <v/>
      </c>
      <c r="B95" s="61">
        <f>IF(C95="","",IFERROR(VLOOKUP(C95,areaNomiBreviSquadre,7,FALSE),""))</f>
        <v/>
      </c>
      <c r="C95" s="62" t="n"/>
      <c r="D95" s="61">
        <f>IF(E95="","",IFERROR(VLOOKUP(E95,areaNomiBreviSquadre,7,FALSE),""))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109" t="inlineStr">
        <is>
          <t>Gara N.</t>
        </is>
      </c>
      <c r="B97" s="109" t="inlineStr">
        <is>
          <t>Squadra A</t>
        </is>
      </c>
      <c r="C97" s="10" t="n"/>
      <c r="D97" s="109" t="inlineStr">
        <is>
          <t>Squadra B</t>
        </is>
      </c>
      <c r="E97" s="10" t="n"/>
      <c r="F97" s="109" t="inlineStr">
        <is>
          <t>Giorno</t>
        </is>
      </c>
      <c r="G97" s="109" t="inlineStr">
        <is>
          <t>Data</t>
        </is>
      </c>
      <c r="H97" s="109" t="inlineStr">
        <is>
          <t>Ora</t>
        </is>
      </c>
      <c r="I97" s="10" t="n"/>
      <c r="J97" s="109" t="inlineStr">
        <is>
          <t>Risultato</t>
        </is>
      </c>
      <c r="K97" s="9" t="n"/>
      <c r="L97" s="10" t="n"/>
    </row>
    <row r="98" ht="24" customHeight="1">
      <c r="A98" s="111">
        <f>MAX(A$10:A97)+1</f>
        <v/>
      </c>
      <c r="B98" s="61">
        <f>IF(C98="","",IFERROR(VLOOKUP(C98,areaNomiBreviSquadre,7,FALSE),""))</f>
        <v/>
      </c>
      <c r="C98" s="62" t="n"/>
      <c r="D98" s="61">
        <f>IF(E98="","",IFERROR(VLOOKUP(E98,areaNomiBreviSquadre,7,FALSE),""))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109" t="inlineStr">
        <is>
          <t>Gara N.</t>
        </is>
      </c>
      <c r="B100" s="109" t="inlineStr">
        <is>
          <t>Squadra A</t>
        </is>
      </c>
      <c r="C100" s="10" t="n"/>
      <c r="D100" s="109" t="inlineStr">
        <is>
          <t>Squadra B</t>
        </is>
      </c>
      <c r="E100" s="10" t="n"/>
      <c r="F100" s="109" t="inlineStr">
        <is>
          <t>Giorno</t>
        </is>
      </c>
      <c r="G100" s="109" t="inlineStr">
        <is>
          <t>Data</t>
        </is>
      </c>
      <c r="H100" s="109" t="inlineStr">
        <is>
          <t>Ora</t>
        </is>
      </c>
      <c r="I100" s="10" t="n"/>
      <c r="J100" s="109" t="inlineStr">
        <is>
          <t>Risultato</t>
        </is>
      </c>
      <c r="K100" s="9" t="n"/>
      <c r="L100" s="10" t="n"/>
    </row>
    <row r="101" ht="24" customHeight="1">
      <c r="A101" s="111">
        <f>MAX(A$10:A100)+1</f>
        <v/>
      </c>
      <c r="B101" s="61">
        <f>IF(C101="","",IFERROR(VLOOKUP(C101,areaNomiBreviSquadre,7,FALSE),""))</f>
        <v/>
      </c>
      <c r="C101" s="62" t="n"/>
      <c r="D101" s="61">
        <f>IF(E101="","",IFERROR(VLOOKUP(E101,areaNomiBreviSquadre,7,FALSE),""))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109" t="inlineStr">
        <is>
          <t>Gara N.</t>
        </is>
      </c>
      <c r="B103" s="109" t="inlineStr">
        <is>
          <t>Squadra A</t>
        </is>
      </c>
      <c r="C103" s="10" t="n"/>
      <c r="D103" s="109" t="inlineStr">
        <is>
          <t>Squadra B</t>
        </is>
      </c>
      <c r="E103" s="10" t="n"/>
      <c r="F103" s="109" t="inlineStr">
        <is>
          <t>Giorno</t>
        </is>
      </c>
      <c r="G103" s="109" t="inlineStr">
        <is>
          <t>Data</t>
        </is>
      </c>
      <c r="H103" s="109" t="inlineStr">
        <is>
          <t>Ora</t>
        </is>
      </c>
      <c r="I103" s="10" t="n"/>
      <c r="J103" s="109" t="inlineStr">
        <is>
          <t>Risultato</t>
        </is>
      </c>
      <c r="K103" s="9" t="n"/>
      <c r="L103" s="10" t="n"/>
    </row>
    <row r="104" ht="24" customHeight="1">
      <c r="A104" s="111">
        <f>MAX(A$10:A103)+1</f>
        <v/>
      </c>
      <c r="B104" s="61">
        <f>IF(C104="","",IFERROR(VLOOKUP(C104,areaNomiBreviSquadre,7,FALSE),""))</f>
        <v/>
      </c>
      <c r="C104" s="62" t="n"/>
      <c r="D104" s="61">
        <f>IF(E104="","",IFERROR(VLOOKUP(E104,areaNomiBreviSquadre,7,FALSE),""))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IF($J104+$L104=0,,IF($J104&lt;$L104,IF($J104&amp;"-"&amp;$L104=MID(constPunteggioForfait,FIND("-",constPunteggioForfait)+1,LEN(constPunteggioForfait))&amp;"-"&amp;LEFT(constPunteggioForfait,FIND("-",constPunteggioForfait)-1),1,0),0))</f>
        <v/>
      </c>
      <c r="P104" s="67">
        <f>IF($J104+$L104=0,,IF($J104&lt;$L104,IF($J104&amp;"-"&amp;$L104&lt;&gt;MID(constPunteggioForfait,FIND("-",constPunteggioForfait)+1,LEN(constPunteggioForfait))&amp;"-"&amp;LEFT(constPunteggioForfait,FIND("-",constPunteggioForfait)-1),1,0),0))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IF($J104+$L104=0,,IF($L104&lt;$J104,IF($J104&amp;"-"&amp;$L104=constPunteggioForfait,1,0),0))</f>
        <v/>
      </c>
      <c r="W104" s="67">
        <f>IF($J104+$L104=0,,IF($L104&lt;$J104,IF($J104&amp;"-"&amp;$L104&lt;&gt;constPunteggioForfait,1,0),0))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IF(I105="","",HYPERLINK(VLOOKUP(I105,areaCampiSquadre,3,FALSE),VLOOKUP(I105,areaCampiSquadre,2,FALSE)))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109" t="inlineStr">
        <is>
          <t>Gara N.</t>
        </is>
      </c>
      <c r="B106" s="109" t="inlineStr">
        <is>
          <t>Squadra A</t>
        </is>
      </c>
      <c r="C106" s="10" t="n"/>
      <c r="D106" s="109" t="inlineStr">
        <is>
          <t>Squadra B</t>
        </is>
      </c>
      <c r="E106" s="10" t="n"/>
      <c r="F106" s="109" t="inlineStr">
        <is>
          <t>Giorno</t>
        </is>
      </c>
      <c r="G106" s="109" t="inlineStr">
        <is>
          <t>Data</t>
        </is>
      </c>
      <c r="H106" s="109" t="inlineStr">
        <is>
          <t>Ora</t>
        </is>
      </c>
      <c r="I106" s="10" t="n"/>
      <c r="J106" s="109" t="inlineStr">
        <is>
          <t>Risultato</t>
        </is>
      </c>
      <c r="K106" s="9" t="n"/>
      <c r="L106" s="10" t="n"/>
    </row>
    <row r="107" ht="24" customHeight="1">
      <c r="A107" s="111">
        <f>MAX(A$10:A106)+1</f>
        <v/>
      </c>
      <c r="B107" s="61">
        <f>IF(C107="","",IFERROR(VLOOKUP(C107,areaNomiBreviSquadre,7,FALSE),""))</f>
        <v/>
      </c>
      <c r="C107" s="62" t="n"/>
      <c r="D107" s="61">
        <f>IF(E107="","",IFERROR(VLOOKUP(E107,areaNomiBreviSquadre,7,FALSE),""))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IF($J107+$L107=0,,IF($J107&lt;$L107,IF($J107&amp;"-"&amp;$L107=MID(constPunteggioForfait,FIND("-",constPunteggioForfait)+1,LEN(constPunteggioForfait))&amp;"-"&amp;LEFT(constPunteggioForfait,FIND("-",constPunteggioForfait)-1),1,0),0))</f>
        <v/>
      </c>
      <c r="P107" s="67">
        <f>IF($J107+$L107=0,,IF($J107&lt;$L107,IF($J107&amp;"-"&amp;$L107&lt;&gt;MID(constPunteggioForfait,FIND("-",constPunteggioForfait)+1,LEN(constPunteggioForfait))&amp;"-"&amp;LEFT(constPunteggioForfait,FIND("-",constPunteggioForfait)-1),1,0),0))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IF($J107+$L107=0,,IF($L107&lt;$J107,IF($J107&amp;"-"&amp;$L107=constPunteggioForfait,1,0),0))</f>
        <v/>
      </c>
      <c r="W107" s="67">
        <f>IF($J107+$L107=0,,IF($L107&lt;$J107,IF($J107&amp;"-"&amp;$L107&lt;&gt;constPunteggioForfait,1,0),0))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IF(I108="","",HYPERLINK(VLOOKUP(I108,areaCampiSquadre,3,FALSE),VLOOKUP(I108,areaCampiSquadre,2,FALSE)))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106" t="inlineStr">
        <is>
          <t>7G</t>
        </is>
      </c>
      <c r="B110" s="107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109" t="inlineStr">
        <is>
          <t>Gara N.</t>
        </is>
      </c>
      <c r="B111" s="109" t="inlineStr">
        <is>
          <t>Squadra A</t>
        </is>
      </c>
      <c r="C111" s="10" t="n"/>
      <c r="D111" s="109" t="inlineStr">
        <is>
          <t>Squadra B</t>
        </is>
      </c>
      <c r="E111" s="10" t="n"/>
      <c r="F111" s="109" t="inlineStr">
        <is>
          <t>Giorno</t>
        </is>
      </c>
      <c r="G111" s="109" t="inlineStr">
        <is>
          <t>Data</t>
        </is>
      </c>
      <c r="H111" s="109" t="inlineStr">
        <is>
          <t>Ora</t>
        </is>
      </c>
      <c r="I111" s="10" t="n"/>
      <c r="J111" s="109" t="inlineStr">
        <is>
          <t>Risultato</t>
        </is>
      </c>
      <c r="K111" s="9" t="n"/>
      <c r="L111" s="10" t="n"/>
    </row>
    <row r="112" ht="24" customHeight="1">
      <c r="A112" s="111">
        <f>MAX(A$10:A111)+1</f>
        <v/>
      </c>
      <c r="B112" s="61">
        <f>IF(C112="","",IFERROR(VLOOKUP(C112,areaNomiBreviSquadre,7,FALSE),""))</f>
        <v/>
      </c>
      <c r="C112" s="62" t="n"/>
      <c r="D112" s="61">
        <f>IF(E112="","",IFERROR(VLOOKUP(E112,areaNomiBreviSquadre,7,FALSE),""))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109" t="inlineStr">
        <is>
          <t>Gara N.</t>
        </is>
      </c>
      <c r="B114" s="109" t="inlineStr">
        <is>
          <t>Squadra A</t>
        </is>
      </c>
      <c r="C114" s="10" t="n"/>
      <c r="D114" s="109" t="inlineStr">
        <is>
          <t>Squadra B</t>
        </is>
      </c>
      <c r="E114" s="10" t="n"/>
      <c r="F114" s="109" t="inlineStr">
        <is>
          <t>Giorno</t>
        </is>
      </c>
      <c r="G114" s="109" t="inlineStr">
        <is>
          <t>Data</t>
        </is>
      </c>
      <c r="H114" s="109" t="inlineStr">
        <is>
          <t>Ora</t>
        </is>
      </c>
      <c r="I114" s="10" t="n"/>
      <c r="J114" s="109" t="inlineStr">
        <is>
          <t>Risultato</t>
        </is>
      </c>
      <c r="K114" s="9" t="n"/>
      <c r="L114" s="10" t="n"/>
    </row>
    <row r="115" ht="24" customHeight="1">
      <c r="A115" s="111">
        <f>MAX(A$10:A114)+1</f>
        <v/>
      </c>
      <c r="B115" s="61">
        <f>IF(C115="","",IFERROR(VLOOKUP(C115,areaNomiBreviSquadre,7,FALSE),""))</f>
        <v/>
      </c>
      <c r="C115" s="62" t="n"/>
      <c r="D115" s="61">
        <f>IF(E115="","",IFERROR(VLOOKUP(E115,areaNomiBreviSquadre,7,FALSE),""))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109" t="inlineStr">
        <is>
          <t>Gara N.</t>
        </is>
      </c>
      <c r="B117" s="109" t="inlineStr">
        <is>
          <t>Squadra A</t>
        </is>
      </c>
      <c r="C117" s="10" t="n"/>
      <c r="D117" s="109" t="inlineStr">
        <is>
          <t>Squadra B</t>
        </is>
      </c>
      <c r="E117" s="10" t="n"/>
      <c r="F117" s="109" t="inlineStr">
        <is>
          <t>Giorno</t>
        </is>
      </c>
      <c r="G117" s="109" t="inlineStr">
        <is>
          <t>Data</t>
        </is>
      </c>
      <c r="H117" s="109" t="inlineStr">
        <is>
          <t>Ora</t>
        </is>
      </c>
      <c r="I117" s="10" t="n"/>
      <c r="J117" s="109" t="inlineStr">
        <is>
          <t>Risultato</t>
        </is>
      </c>
      <c r="K117" s="9" t="n"/>
      <c r="L117" s="10" t="n"/>
    </row>
    <row r="118" ht="24" customHeight="1">
      <c r="A118" s="111">
        <f>MAX(A$10:A117)+1</f>
        <v/>
      </c>
      <c r="B118" s="61">
        <f>IF(C118="","",IFERROR(VLOOKUP(C118,areaNomiBreviSquadre,7,FALSE),""))</f>
        <v/>
      </c>
      <c r="C118" s="62" t="n"/>
      <c r="D118" s="61">
        <f>IF(E118="","",IFERROR(VLOOKUP(E118,areaNomiBreviSquadre,7,FALSE),""))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109" t="inlineStr">
        <is>
          <t>Gara N.</t>
        </is>
      </c>
      <c r="B120" s="109" t="inlineStr">
        <is>
          <t>Squadra A</t>
        </is>
      </c>
      <c r="C120" s="10" t="n"/>
      <c r="D120" s="109" t="inlineStr">
        <is>
          <t>Squadra B</t>
        </is>
      </c>
      <c r="E120" s="10" t="n"/>
      <c r="F120" s="109" t="inlineStr">
        <is>
          <t>Giorno</t>
        </is>
      </c>
      <c r="G120" s="109" t="inlineStr">
        <is>
          <t>Data</t>
        </is>
      </c>
      <c r="H120" s="109" t="inlineStr">
        <is>
          <t>Ora</t>
        </is>
      </c>
      <c r="I120" s="10" t="n"/>
      <c r="J120" s="109" t="inlineStr">
        <is>
          <t>Risultato</t>
        </is>
      </c>
      <c r="K120" s="9" t="n"/>
      <c r="L120" s="10" t="n"/>
    </row>
    <row r="121" ht="24" customHeight="1">
      <c r="A121" s="111">
        <f>MAX(A$10:A120)+1</f>
        <v/>
      </c>
      <c r="B121" s="61">
        <f>IF(C121="","",IFERROR(VLOOKUP(C121,areaNomiBreviSquadre,7,FALSE),""))</f>
        <v/>
      </c>
      <c r="C121" s="62" t="n"/>
      <c r="D121" s="61">
        <f>IF(E121="","",IFERROR(VLOOKUP(E121,areaNomiBreviSquadre,7,FALSE),""))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109" t="inlineStr">
        <is>
          <t>Gara N.</t>
        </is>
      </c>
      <c r="B123" s="109" t="inlineStr">
        <is>
          <t>Squadra A</t>
        </is>
      </c>
      <c r="C123" s="10" t="n"/>
      <c r="D123" s="109" t="inlineStr">
        <is>
          <t>Squadra B</t>
        </is>
      </c>
      <c r="E123" s="10" t="n"/>
      <c r="F123" s="109" t="inlineStr">
        <is>
          <t>Giorno</t>
        </is>
      </c>
      <c r="G123" s="109" t="inlineStr">
        <is>
          <t>Data</t>
        </is>
      </c>
      <c r="H123" s="109" t="inlineStr">
        <is>
          <t>Ora</t>
        </is>
      </c>
      <c r="I123" s="10" t="n"/>
      <c r="J123" s="109" t="inlineStr">
        <is>
          <t>Risultato</t>
        </is>
      </c>
      <c r="K123" s="9" t="n"/>
      <c r="L123" s="10" t="n"/>
    </row>
    <row r="124" ht="24" customHeight="1">
      <c r="A124" s="111">
        <f>MAX(A$10:A123)+1</f>
        <v/>
      </c>
      <c r="B124" s="61">
        <f>IF(C124="","",IFERROR(VLOOKUP(C124,areaNomiBreviSquadre,7,FALSE),""))</f>
        <v/>
      </c>
      <c r="C124" s="62" t="n"/>
      <c r="D124" s="61">
        <f>IF(E124="","",IFERROR(VLOOKUP(E124,areaNomiBreviSquadre,7,FALSE),""))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106" t="inlineStr">
        <is>
          <t>8G</t>
        </is>
      </c>
      <c r="B127" s="107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109" t="inlineStr">
        <is>
          <t>Gara N.</t>
        </is>
      </c>
      <c r="B128" s="109" t="inlineStr">
        <is>
          <t>Squadra A</t>
        </is>
      </c>
      <c r="C128" s="10" t="n"/>
      <c r="D128" s="109" t="inlineStr">
        <is>
          <t>Squadra B</t>
        </is>
      </c>
      <c r="E128" s="10" t="n"/>
      <c r="F128" s="109" t="inlineStr">
        <is>
          <t>Giorno</t>
        </is>
      </c>
      <c r="G128" s="109" t="inlineStr">
        <is>
          <t>Data</t>
        </is>
      </c>
      <c r="H128" s="109" t="inlineStr">
        <is>
          <t>Ora</t>
        </is>
      </c>
      <c r="I128" s="10" t="n"/>
      <c r="J128" s="109" t="inlineStr">
        <is>
          <t>Risultato</t>
        </is>
      </c>
      <c r="K128" s="9" t="n"/>
      <c r="L128" s="10" t="n"/>
    </row>
    <row r="129" ht="24" customHeight="1">
      <c r="A129" s="111">
        <f>MAX(A$10:A128)+1</f>
        <v/>
      </c>
      <c r="B129" s="61">
        <f>IF(C129="","",IFERROR(VLOOKUP(C129,areaNomiBreviSquadre,7,FALSE),""))</f>
        <v/>
      </c>
      <c r="C129" s="62" t="n"/>
      <c r="D129" s="61">
        <f>IF(E129="","",IFERROR(VLOOKUP(E129,areaNomiBreviSquadre,7,FALSE),""))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IF($J129+$L129=0,,IF($J129&lt;$L129,IF($J129&amp;"-"&amp;$L129=MID(constPunteggioForfait,FIND("-",constPunteggioForfait)+1,LEN(constPunteggioForfait))&amp;"-"&amp;LEFT(constPunteggioForfait,FIND("-",constPunteggioForfait)-1),1,0),0))</f>
        <v/>
      </c>
      <c r="P129" s="67">
        <f>IF($J129+$L129=0,,IF($J129&lt;$L129,IF($J129&amp;"-"&amp;$L129&lt;&gt;MID(constPunteggioForfait,FIND("-",constPunteggioForfait)+1,LEN(constPunteggioForfait))&amp;"-"&amp;LEFT(constPunteggioForfait,FIND("-",constPunteggioForfait)-1),1,0),0))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IF($J129+$L129=0,,IF($L129&lt;$J129,IF($J129&amp;"-"&amp;$L129=constPunteggioForfait,1,0),0))</f>
        <v/>
      </c>
      <c r="W129" s="67">
        <f>IF($J129+$L129=0,,IF($L129&lt;$J129,IF($J129&amp;"-"&amp;$L129&lt;&gt;constPunteggioForfait,1,0),0))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IF(I130="","",HYPERLINK(VLOOKUP(I130,areaCampiSquadre,3,FALSE),VLOOKUP(I130,areaCampiSquadre,2,FALSE)))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109" t="inlineStr">
        <is>
          <t>Gara N.</t>
        </is>
      </c>
      <c r="B131" s="109" t="inlineStr">
        <is>
          <t>Squadra A</t>
        </is>
      </c>
      <c r="C131" s="10" t="n"/>
      <c r="D131" s="109" t="inlineStr">
        <is>
          <t>Squadra B</t>
        </is>
      </c>
      <c r="E131" s="10" t="n"/>
      <c r="F131" s="109" t="inlineStr">
        <is>
          <t>Giorno</t>
        </is>
      </c>
      <c r="G131" s="109" t="inlineStr">
        <is>
          <t>Data</t>
        </is>
      </c>
      <c r="H131" s="109" t="inlineStr">
        <is>
          <t>Ora</t>
        </is>
      </c>
      <c r="I131" s="10" t="n"/>
      <c r="J131" s="109" t="inlineStr">
        <is>
          <t>Risultato</t>
        </is>
      </c>
      <c r="K131" s="9" t="n"/>
      <c r="L131" s="10" t="n"/>
    </row>
    <row r="132" ht="24" customHeight="1">
      <c r="A132" s="111">
        <f>MAX(A$10:A131)+1</f>
        <v/>
      </c>
      <c r="B132" s="61">
        <f>IF(C132="","",IFERROR(VLOOKUP(C132,areaNomiBreviSquadre,7,FALSE),""))</f>
        <v/>
      </c>
      <c r="C132" s="62" t="n"/>
      <c r="D132" s="61">
        <f>IF(E132="","",IFERROR(VLOOKUP(E132,areaNomiBreviSquadre,7,FALSE),""))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IF($J132+$L132=0,,IF($J132&lt;$L132,IF($J132&amp;"-"&amp;$L132=MID(constPunteggioForfait,FIND("-",constPunteggioForfait)+1,LEN(constPunteggioForfait))&amp;"-"&amp;LEFT(constPunteggioForfait,FIND("-",constPunteggioForfait)-1),1,0),0))</f>
        <v/>
      </c>
      <c r="P132" s="67">
        <f>IF($J132+$L132=0,,IF($J132&lt;$L132,IF($J132&amp;"-"&amp;$L132&lt;&gt;MID(constPunteggioForfait,FIND("-",constPunteggioForfait)+1,LEN(constPunteggioForfait))&amp;"-"&amp;LEFT(constPunteggioForfait,FIND("-",constPunteggioForfait)-1),1,0),0))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IF($J132+$L132=0,,IF($L132&lt;$J132,IF($J132&amp;"-"&amp;$L132=constPunteggioForfait,1,0),0))</f>
        <v/>
      </c>
      <c r="W132" s="67">
        <f>IF($J132+$L132=0,,IF($L132&lt;$J132,IF($J132&amp;"-"&amp;$L132&lt;&gt;constPunteggioForfait,1,0),0))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IF(I133="","",HYPERLINK(VLOOKUP(I133,areaCampiSquadre,3,FALSE),VLOOKUP(I133,areaCampiSquadre,2,FALSE)))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109" t="inlineStr">
        <is>
          <t>Gara N.</t>
        </is>
      </c>
      <c r="B134" s="109" t="inlineStr">
        <is>
          <t>Squadra A</t>
        </is>
      </c>
      <c r="C134" s="10" t="n"/>
      <c r="D134" s="109" t="inlineStr">
        <is>
          <t>Squadra B</t>
        </is>
      </c>
      <c r="E134" s="10" t="n"/>
      <c r="F134" s="109" t="inlineStr">
        <is>
          <t>Giorno</t>
        </is>
      </c>
      <c r="G134" s="109" t="inlineStr">
        <is>
          <t>Data</t>
        </is>
      </c>
      <c r="H134" s="109" t="inlineStr">
        <is>
          <t>Ora</t>
        </is>
      </c>
      <c r="I134" s="10" t="n"/>
      <c r="J134" s="109" t="inlineStr">
        <is>
          <t>Risultato</t>
        </is>
      </c>
      <c r="K134" s="9" t="n"/>
      <c r="L134" s="10" t="n"/>
    </row>
    <row r="135" ht="24" customHeight="1">
      <c r="A135" s="111">
        <f>MAX(A$10:A134)+1</f>
        <v/>
      </c>
      <c r="B135" s="61">
        <f>IF(C135="","",IFERROR(VLOOKUP(C135,areaNomiBreviSquadre,7,FALSE),""))</f>
        <v/>
      </c>
      <c r="C135" s="62" t="n"/>
      <c r="D135" s="61">
        <f>IF(E135="","",IFERROR(VLOOKUP(E135,areaNomiBreviSquadre,7,FALSE),""))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IF($J135+$L135=0,,IF($J135&lt;$L135,IF($J135&amp;"-"&amp;$L135=MID(constPunteggioForfait,FIND("-",constPunteggioForfait)+1,LEN(constPunteggioForfait))&amp;"-"&amp;LEFT(constPunteggioForfait,FIND("-",constPunteggioForfait)-1),1,0),0))</f>
        <v/>
      </c>
      <c r="P135" s="67">
        <f>IF($J135+$L135=0,,IF($J135&lt;$L135,IF($J135&amp;"-"&amp;$L135&lt;&gt;MID(constPunteggioForfait,FIND("-",constPunteggioForfait)+1,LEN(constPunteggioForfait))&amp;"-"&amp;LEFT(constPunteggioForfait,FIND("-",constPunteggioForfait)-1),1,0),0))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IF($J135+$L135=0,,IF($L135&lt;$J135,IF($J135&amp;"-"&amp;$L135=constPunteggioForfait,1,0),0))</f>
        <v/>
      </c>
      <c r="W135" s="67">
        <f>IF($J135+$L135=0,,IF($L135&lt;$J135,IF($J135&amp;"-"&amp;$L135&lt;&gt;constPunteggioForfait,1,0),0))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IF(I136="","",HYPERLINK(VLOOKUP(I136,areaCampiSquadre,3,FALSE),VLOOKUP(I136,areaCampiSquadre,2,FALSE)))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109" t="inlineStr">
        <is>
          <t>Gara N.</t>
        </is>
      </c>
      <c r="B137" s="109" t="inlineStr">
        <is>
          <t>Squadra A</t>
        </is>
      </c>
      <c r="C137" s="10" t="n"/>
      <c r="D137" s="109" t="inlineStr">
        <is>
          <t>Squadra B</t>
        </is>
      </c>
      <c r="E137" s="10" t="n"/>
      <c r="F137" s="109" t="inlineStr">
        <is>
          <t>Giorno</t>
        </is>
      </c>
      <c r="G137" s="109" t="inlineStr">
        <is>
          <t>Data</t>
        </is>
      </c>
      <c r="H137" s="109" t="inlineStr">
        <is>
          <t>Ora</t>
        </is>
      </c>
      <c r="I137" s="10" t="n"/>
      <c r="J137" s="109" t="inlineStr">
        <is>
          <t>Risultato</t>
        </is>
      </c>
      <c r="K137" s="9" t="n"/>
      <c r="L137" s="10" t="n"/>
    </row>
    <row r="138" ht="24" customHeight="1">
      <c r="A138" s="111">
        <f>MAX(A$10:A137)+1</f>
        <v/>
      </c>
      <c r="B138" s="61">
        <f>IF(C138="","",IFERROR(VLOOKUP(C138,areaNomiBreviSquadre,7,FALSE),""))</f>
        <v/>
      </c>
      <c r="C138" s="62" t="n"/>
      <c r="D138" s="61">
        <f>IF(E138="","",IFERROR(VLOOKUP(E138,areaNomiBreviSquadre,7,FALSE),""))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109" t="inlineStr">
        <is>
          <t>Gara N.</t>
        </is>
      </c>
      <c r="B140" s="109" t="inlineStr">
        <is>
          <t>Squadra A</t>
        </is>
      </c>
      <c r="C140" s="10" t="n"/>
      <c r="D140" s="109" t="inlineStr">
        <is>
          <t>Squadra B</t>
        </is>
      </c>
      <c r="E140" s="10" t="n"/>
      <c r="F140" s="109" t="inlineStr">
        <is>
          <t>Giorno</t>
        </is>
      </c>
      <c r="G140" s="109" t="inlineStr">
        <is>
          <t>Data</t>
        </is>
      </c>
      <c r="H140" s="109" t="inlineStr">
        <is>
          <t>Ora</t>
        </is>
      </c>
      <c r="I140" s="10" t="n"/>
      <c r="J140" s="109" t="inlineStr">
        <is>
          <t>Risultato</t>
        </is>
      </c>
      <c r="K140" s="9" t="n"/>
      <c r="L140" s="10" t="n"/>
    </row>
    <row r="141" ht="24" customHeight="1">
      <c r="A141" s="111">
        <f>MAX(A$10:A140)+1</f>
        <v/>
      </c>
      <c r="B141" s="61">
        <f>IF(C141="","",IFERROR(VLOOKUP(C141,areaNomiBreviSquadre,7,FALSE),""))</f>
        <v/>
      </c>
      <c r="C141" s="62" t="n"/>
      <c r="D141" s="61">
        <f>IF(E141="","",IFERROR(VLOOKUP(E141,areaNomiBreviSquadre,7,FALSE),""))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106" t="inlineStr">
        <is>
          <t>9G</t>
        </is>
      </c>
      <c r="B144" s="107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109" t="inlineStr">
        <is>
          <t>Gara N.</t>
        </is>
      </c>
      <c r="B145" s="109" t="inlineStr">
        <is>
          <t>Squadra A</t>
        </is>
      </c>
      <c r="C145" s="10" t="n"/>
      <c r="D145" s="109" t="inlineStr">
        <is>
          <t>Squadra B</t>
        </is>
      </c>
      <c r="E145" s="10" t="n"/>
      <c r="F145" s="109" t="inlineStr">
        <is>
          <t>Giorno</t>
        </is>
      </c>
      <c r="G145" s="109" t="inlineStr">
        <is>
          <t>Data</t>
        </is>
      </c>
      <c r="H145" s="109" t="inlineStr">
        <is>
          <t>Ora</t>
        </is>
      </c>
      <c r="I145" s="10" t="n"/>
      <c r="J145" s="109" t="inlineStr">
        <is>
          <t>Risultato</t>
        </is>
      </c>
      <c r="K145" s="9" t="n"/>
      <c r="L145" s="10" t="n"/>
    </row>
    <row r="146" ht="24" customHeight="1">
      <c r="A146" s="111">
        <f>MAX(A$10:A145)+1</f>
        <v/>
      </c>
      <c r="B146" s="61">
        <f>IF(C146="","",IFERROR(VLOOKUP(C146,areaNomiBreviSquadre,7,FALSE),""))</f>
        <v/>
      </c>
      <c r="C146" s="62" t="n"/>
      <c r="D146" s="61">
        <f>IF(E146="","",IFERROR(VLOOKUP(E146,areaNomiBreviSquadre,7,FALSE),""))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IF($J146+$L146=0,,IF($J146&lt;$L146,IF($J146&amp;"-"&amp;$L146=MID(constPunteggioForfait,FIND("-",constPunteggioForfait)+1,LEN(constPunteggioForfait))&amp;"-"&amp;LEFT(constPunteggioForfait,FIND("-",constPunteggioForfait)-1),1,0),0))</f>
        <v/>
      </c>
      <c r="P146" s="67">
        <f>IF($J146+$L146=0,,IF($J146&lt;$L146,IF($J146&amp;"-"&amp;$L146&lt;&gt;MID(constPunteggioForfait,FIND("-",constPunteggioForfait)+1,LEN(constPunteggioForfait))&amp;"-"&amp;LEFT(constPunteggioForfait,FIND("-",constPunteggioForfait)-1),1,0),0))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IF($J146+$L146=0,,IF($L146&lt;$J146,IF($J146&amp;"-"&amp;$L146=constPunteggioForfait,1,0),0))</f>
        <v/>
      </c>
      <c r="W146" s="67">
        <f>IF($J146+$L146=0,,IF($L146&lt;$J146,IF($J146&amp;"-"&amp;$L146&lt;&gt;constPunteggioForfait,1,0),0))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IF(I147="","",HYPERLINK(VLOOKUP(I147,areaCampiSquadre,3,FALSE),VLOOKUP(I147,areaCampiSquadre,2,FALSE)))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109" t="inlineStr">
        <is>
          <t>Gara N.</t>
        </is>
      </c>
      <c r="B148" s="109" t="inlineStr">
        <is>
          <t>Squadra A</t>
        </is>
      </c>
      <c r="C148" s="10" t="n"/>
      <c r="D148" s="109" t="inlineStr">
        <is>
          <t>Squadra B</t>
        </is>
      </c>
      <c r="E148" s="10" t="n"/>
      <c r="F148" s="109" t="inlineStr">
        <is>
          <t>Giorno</t>
        </is>
      </c>
      <c r="G148" s="109" t="inlineStr">
        <is>
          <t>Data</t>
        </is>
      </c>
      <c r="H148" s="109" t="inlineStr">
        <is>
          <t>Ora</t>
        </is>
      </c>
      <c r="I148" s="10" t="n"/>
      <c r="J148" s="109" t="inlineStr">
        <is>
          <t>Risultato</t>
        </is>
      </c>
      <c r="K148" s="9" t="n"/>
      <c r="L148" s="10" t="n"/>
    </row>
    <row r="149" ht="24" customHeight="1">
      <c r="A149" s="111">
        <f>MAX(A$10:A148)+1</f>
        <v/>
      </c>
      <c r="B149" s="61">
        <f>IF(C149="","",IFERROR(VLOOKUP(C149,areaNomiBreviSquadre,7,FALSE),""))</f>
        <v/>
      </c>
      <c r="C149" s="62" t="n"/>
      <c r="D149" s="61">
        <f>IF(E149="","",IFERROR(VLOOKUP(E149,areaNomiBreviSquadre,7,FALSE),""))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IF($J149+$L149=0,,IF($J149&lt;$L149,IF($J149&amp;"-"&amp;$L149=MID(constPunteggioForfait,FIND("-",constPunteggioForfait)+1,LEN(constPunteggioForfait))&amp;"-"&amp;LEFT(constPunteggioForfait,FIND("-",constPunteggioForfait)-1),1,0),0))</f>
        <v/>
      </c>
      <c r="P149" s="67">
        <f>IF($J149+$L149=0,,IF($J149&lt;$L149,IF($J149&amp;"-"&amp;$L149&lt;&gt;MID(constPunteggioForfait,FIND("-",constPunteggioForfait)+1,LEN(constPunteggioForfait))&amp;"-"&amp;LEFT(constPunteggioForfait,FIND("-",constPunteggioForfait)-1),1,0),0))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IF($J149+$L149=0,,IF($L149&lt;$J149,IF($J149&amp;"-"&amp;$L149=constPunteggioForfait,1,0),0))</f>
        <v/>
      </c>
      <c r="W149" s="67">
        <f>IF($J149+$L149=0,,IF($L149&lt;$J149,IF($J149&amp;"-"&amp;$L149&lt;&gt;constPunteggioForfait,1,0),0))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IF(I150="","",HYPERLINK(VLOOKUP(I150,areaCampiSquadre,3,FALSE),VLOOKUP(I150,areaCampiSquadre,2,FALSE)))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109" t="inlineStr">
        <is>
          <t>Gara N.</t>
        </is>
      </c>
      <c r="B151" s="109" t="inlineStr">
        <is>
          <t>Squadra A</t>
        </is>
      </c>
      <c r="C151" s="10" t="n"/>
      <c r="D151" s="109" t="inlineStr">
        <is>
          <t>Squadra B</t>
        </is>
      </c>
      <c r="E151" s="10" t="n"/>
      <c r="F151" s="109" t="inlineStr">
        <is>
          <t>Giorno</t>
        </is>
      </c>
      <c r="G151" s="109" t="inlineStr">
        <is>
          <t>Data</t>
        </is>
      </c>
      <c r="H151" s="109" t="inlineStr">
        <is>
          <t>Ora</t>
        </is>
      </c>
      <c r="I151" s="10" t="n"/>
      <c r="J151" s="109" t="inlineStr">
        <is>
          <t>Risultato</t>
        </is>
      </c>
      <c r="K151" s="9" t="n"/>
      <c r="L151" s="10" t="n"/>
    </row>
    <row r="152" ht="24" customHeight="1">
      <c r="A152" s="111">
        <f>MAX(A$10:A151)+1</f>
        <v/>
      </c>
      <c r="B152" s="61">
        <f>IF(C152="","",IFERROR(VLOOKUP(C152,areaNomiBreviSquadre,7,FALSE),""))</f>
        <v/>
      </c>
      <c r="C152" s="62" t="n"/>
      <c r="D152" s="61">
        <f>IF(E152="","",IFERROR(VLOOKUP(E152,areaNomiBreviSquadre,7,FALSE),""))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IF($J152+$L152=0,,IF($J152&lt;$L152,IF($J152&amp;"-"&amp;$L152=MID(constPunteggioForfait,FIND("-",constPunteggioForfait)+1,LEN(constPunteggioForfait))&amp;"-"&amp;LEFT(constPunteggioForfait,FIND("-",constPunteggioForfait)-1),1,0),0))</f>
        <v/>
      </c>
      <c r="P152" s="67">
        <f>IF($J152+$L152=0,,IF($J152&lt;$L152,IF($J152&amp;"-"&amp;$L152&lt;&gt;MID(constPunteggioForfait,FIND("-",constPunteggioForfait)+1,LEN(constPunteggioForfait))&amp;"-"&amp;LEFT(constPunteggioForfait,FIND("-",constPunteggioForfait)-1),1,0),0))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IF($J152+$L152=0,,IF($L152&lt;$J152,IF($J152&amp;"-"&amp;$L152=constPunteggioForfait,1,0),0))</f>
        <v/>
      </c>
      <c r="W152" s="67">
        <f>IF($J152+$L152=0,,IF($L152&lt;$J152,IF($J152&amp;"-"&amp;$L152&lt;&gt;constPunteggioForfait,1,0),0))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IF(I153="","",HYPERLINK(VLOOKUP(I153,areaCampiSquadre,3,FALSE),VLOOKUP(I153,areaCampiSquadre,2,FALSE)))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109" t="inlineStr">
        <is>
          <t>Gara N.</t>
        </is>
      </c>
      <c r="B154" s="109" t="inlineStr">
        <is>
          <t>Squadra A</t>
        </is>
      </c>
      <c r="C154" s="10" t="n"/>
      <c r="D154" s="109" t="inlineStr">
        <is>
          <t>Squadra B</t>
        </is>
      </c>
      <c r="E154" s="10" t="n"/>
      <c r="F154" s="109" t="inlineStr">
        <is>
          <t>Giorno</t>
        </is>
      </c>
      <c r="G154" s="109" t="inlineStr">
        <is>
          <t>Data</t>
        </is>
      </c>
      <c r="H154" s="109" t="inlineStr">
        <is>
          <t>Ora</t>
        </is>
      </c>
      <c r="I154" s="10" t="n"/>
      <c r="J154" s="109" t="inlineStr">
        <is>
          <t>Risultato</t>
        </is>
      </c>
      <c r="K154" s="9" t="n"/>
      <c r="L154" s="10" t="n"/>
    </row>
    <row r="155" ht="24" customHeight="1">
      <c r="A155" s="111">
        <f>MAX(A$10:A154)+1</f>
        <v/>
      </c>
      <c r="B155" s="61">
        <f>IF(C155="","",IFERROR(VLOOKUP(C155,areaNomiBreviSquadre,7,FALSE),""))</f>
        <v/>
      </c>
      <c r="C155" s="62" t="n"/>
      <c r="D155" s="61">
        <f>IF(E155="","",IFERROR(VLOOKUP(E155,areaNomiBreviSquadre,7,FALSE),""))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IF($J155+$L155=0,,IF($J155&lt;$L155,IF($J155&amp;"-"&amp;$L155=MID(constPunteggioForfait,FIND("-",constPunteggioForfait)+1,LEN(constPunteggioForfait))&amp;"-"&amp;LEFT(constPunteggioForfait,FIND("-",constPunteggioForfait)-1),1,0),0))</f>
        <v/>
      </c>
      <c r="P155" s="67">
        <f>IF($J155+$L155=0,,IF($J155&lt;$L155,IF($J155&amp;"-"&amp;$L155&lt;&gt;MID(constPunteggioForfait,FIND("-",constPunteggioForfait)+1,LEN(constPunteggioForfait))&amp;"-"&amp;LEFT(constPunteggioForfait,FIND("-",constPunteggioForfait)-1),1,0),0))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IF($J155+$L155=0,,IF($L155&lt;$J155,IF($J155&amp;"-"&amp;$L155=constPunteggioForfait,1,0),0))</f>
        <v/>
      </c>
      <c r="W155" s="67">
        <f>IF($J155+$L155=0,,IF($L155&lt;$J155,IF($J155&amp;"-"&amp;$L155&lt;&gt;constPunteggioForfait,1,0),0))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IF(I156="","",HYPERLINK(VLOOKUP(I156,areaCampiSquadre,3,FALSE),VLOOKUP(I156,areaCampiSquadre,2,FALSE)))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109" t="inlineStr">
        <is>
          <t>Gara N.</t>
        </is>
      </c>
      <c r="B157" s="109" t="inlineStr">
        <is>
          <t>Squadra A</t>
        </is>
      </c>
      <c r="C157" s="10" t="n"/>
      <c r="D157" s="109" t="inlineStr">
        <is>
          <t>Squadra B</t>
        </is>
      </c>
      <c r="E157" s="10" t="n"/>
      <c r="F157" s="109" t="inlineStr">
        <is>
          <t>Giorno</t>
        </is>
      </c>
      <c r="G157" s="109" t="inlineStr">
        <is>
          <t>Data</t>
        </is>
      </c>
      <c r="H157" s="109" t="inlineStr">
        <is>
          <t>Ora</t>
        </is>
      </c>
      <c r="I157" s="10" t="n"/>
      <c r="J157" s="109" t="inlineStr">
        <is>
          <t>Risultato</t>
        </is>
      </c>
      <c r="K157" s="9" t="n"/>
      <c r="L157" s="10" t="n"/>
    </row>
    <row r="158" ht="24" customHeight="1">
      <c r="A158" s="111">
        <f>MAX(A$10:A157)+1</f>
        <v/>
      </c>
      <c r="B158" s="61">
        <f>IF(C158="","",IFERROR(VLOOKUP(C158,areaNomiBreviSquadre,7,FALSE),""))</f>
        <v/>
      </c>
      <c r="C158" s="62" t="n"/>
      <c r="D158" s="61">
        <f>IF(E158="","",IFERROR(VLOOKUP(E158,areaNomiBreviSquadre,7,FALSE),""))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IF($J158+$L158=0,,IF($J158&lt;$L158,IF($J158&amp;"-"&amp;$L158=MID(constPunteggioForfait,FIND("-",constPunteggioForfait)+1,LEN(constPunteggioForfait))&amp;"-"&amp;LEFT(constPunteggioForfait,FIND("-",constPunteggioForfait)-1),1,0),0))</f>
        <v/>
      </c>
      <c r="P158" s="67">
        <f>IF($J158+$L158=0,,IF($J158&lt;$L158,IF($J158&amp;"-"&amp;$L158&lt;&gt;MID(constPunteggioForfait,FIND("-",constPunteggioForfait)+1,LEN(constPunteggioForfait))&amp;"-"&amp;LEFT(constPunteggioForfait,FIND("-",constPunteggioForfait)-1),1,0),0))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IF($J158+$L158=0,,IF($L158&lt;$J158,IF($J158&amp;"-"&amp;$L158=constPunteggioForfait,1,0),0))</f>
        <v/>
      </c>
      <c r="W158" s="67">
        <f>IF($J158+$L158=0,,IF($L158&lt;$J158,IF($J158&amp;"-"&amp;$L158&lt;&gt;constPunteggioForfait,1,0),0))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IF(I159="","",HYPERLINK(VLOOKUP(I159,areaCampiSquadre,3,FALSE),VLOOKUP(I159,areaCampiSquadre,2,FALSE)))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tabColor rgb="FFA08019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 t="str">
        <f>IFERROR(IMAGE(constLogo1),"")</f>
        <v/>
      </c>
      <c r="I1" t="str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112">
        <f>"GIRONE "&amp;UPPER($O$3)&amp;" - Stagione "&amp;constStagionaCampionato</f>
        <v/>
      </c>
      <c r="M3" t="str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113" t="inlineStr">
        <is>
          <t>1H</t>
        </is>
      </c>
      <c r="B8" s="114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16" t="inlineStr">
        <is>
          <t>Gara N.</t>
        </is>
      </c>
      <c r="B9" s="116" t="inlineStr">
        <is>
          <t>Squadra A</t>
        </is>
      </c>
      <c r="C9" s="10" t="n"/>
      <c r="D9" s="116" t="inlineStr">
        <is>
          <t>Squadra B</t>
        </is>
      </c>
      <c r="E9" s="10" t="n"/>
      <c r="F9" s="116" t="inlineStr">
        <is>
          <t>Giorno</t>
        </is>
      </c>
      <c r="G9" s="116" t="inlineStr">
        <is>
          <t>Data</t>
        </is>
      </c>
      <c r="H9" s="116" t="inlineStr">
        <is>
          <t>Ora</t>
        </is>
      </c>
      <c r="I9" s="10" t="n"/>
      <c r="J9" s="116" t="inlineStr">
        <is>
          <t>Risultato</t>
        </is>
      </c>
      <c r="K9" s="9" t="n"/>
      <c r="L9" s="10" t="n"/>
    </row>
    <row r="10" ht="24" customHeight="1">
      <c r="A10" s="118" t="n">
        <v>316</v>
      </c>
      <c r="B10" s="61">
        <f>IF(C10="","",IFERROR(VLOOKUP(C10,areaNomiBreviSquadre,7,FALSE),""))</f>
        <v/>
      </c>
      <c r="C10" s="62" t="n"/>
      <c r="D10" s="61">
        <f>IF(E10="","",IFERROR(VLOOKUP(E10,areaNomiBreviSquadre,7,FALSE),""))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116" t="inlineStr">
        <is>
          <t>Gara N.</t>
        </is>
      </c>
      <c r="B12" s="116" t="inlineStr">
        <is>
          <t>Squadra A</t>
        </is>
      </c>
      <c r="C12" s="10" t="n"/>
      <c r="D12" s="116" t="inlineStr">
        <is>
          <t>Squadra B</t>
        </is>
      </c>
      <c r="E12" s="10" t="n"/>
      <c r="F12" s="116" t="inlineStr">
        <is>
          <t>Giorno</t>
        </is>
      </c>
      <c r="G12" s="116" t="inlineStr">
        <is>
          <t>Data</t>
        </is>
      </c>
      <c r="H12" s="116" t="inlineStr">
        <is>
          <t>Ora</t>
        </is>
      </c>
      <c r="I12" s="10" t="n"/>
      <c r="J12" s="116" t="inlineStr">
        <is>
          <t>Risultato</t>
        </is>
      </c>
      <c r="K12" s="9" t="n"/>
      <c r="L12" s="10" t="n"/>
    </row>
    <row r="13" ht="24" customHeight="1">
      <c r="A13" s="118">
        <f>MAX(A$10:A12)+1</f>
        <v/>
      </c>
      <c r="B13" s="61">
        <f>IF(C13="","",IFERROR(VLOOKUP(C13,areaNomiBreviSquadre,7,FALSE),""))</f>
        <v/>
      </c>
      <c r="C13" s="62" t="n"/>
      <c r="D13" s="61">
        <f>IF(E13="","",IFERROR(VLOOKUP(E13,areaNomiBreviSquadre,7,FALSE),""))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116" t="inlineStr">
        <is>
          <t>Gara N.</t>
        </is>
      </c>
      <c r="B15" s="116" t="inlineStr">
        <is>
          <t>Squadra A</t>
        </is>
      </c>
      <c r="C15" s="10" t="n"/>
      <c r="D15" s="116" t="inlineStr">
        <is>
          <t>Squadra B</t>
        </is>
      </c>
      <c r="E15" s="10" t="n"/>
      <c r="F15" s="116" t="inlineStr">
        <is>
          <t>Giorno</t>
        </is>
      </c>
      <c r="G15" s="116" t="inlineStr">
        <is>
          <t>Data</t>
        </is>
      </c>
      <c r="H15" s="116" t="inlineStr">
        <is>
          <t>Ora</t>
        </is>
      </c>
      <c r="I15" s="10" t="n"/>
      <c r="J15" s="116" t="inlineStr">
        <is>
          <t>Risultato</t>
        </is>
      </c>
      <c r="K15" s="9" t="n"/>
      <c r="L15" s="10" t="n"/>
    </row>
    <row r="16" ht="24" customHeight="1">
      <c r="A16" s="118">
        <f>MAX(A$10:A15)+1</f>
        <v/>
      </c>
      <c r="B16" s="61">
        <f>IF(C16="","",IFERROR(VLOOKUP(C16,areaNomiBreviSquadre,7,FALSE),""))</f>
        <v/>
      </c>
      <c r="C16" s="62" t="n"/>
      <c r="D16" s="61">
        <f>IF(E16="","",IFERROR(VLOOKUP(E16,areaNomiBreviSquadre,7,FALSE),""))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116" t="inlineStr">
        <is>
          <t>Gara N.</t>
        </is>
      </c>
      <c r="B18" s="116" t="inlineStr">
        <is>
          <t>Squadra A</t>
        </is>
      </c>
      <c r="C18" s="10" t="n"/>
      <c r="D18" s="116" t="inlineStr">
        <is>
          <t>Squadra B</t>
        </is>
      </c>
      <c r="E18" s="10" t="n"/>
      <c r="F18" s="116" t="inlineStr">
        <is>
          <t>Giorno</t>
        </is>
      </c>
      <c r="G18" s="116" t="inlineStr">
        <is>
          <t>Data</t>
        </is>
      </c>
      <c r="H18" s="116" t="inlineStr">
        <is>
          <t>Ora</t>
        </is>
      </c>
      <c r="I18" s="10" t="n"/>
      <c r="J18" s="116" t="inlineStr">
        <is>
          <t>Risultato</t>
        </is>
      </c>
      <c r="K18" s="9" t="n"/>
      <c r="L18" s="10" t="n"/>
    </row>
    <row r="19" ht="24" customHeight="1">
      <c r="A19" s="118">
        <f>MAX(A$10:A18)+1</f>
        <v/>
      </c>
      <c r="B19" s="61">
        <f>IF(C19="","",IFERROR(VLOOKUP(C19,areaNomiBreviSquadre,7,FALSE),""))</f>
        <v/>
      </c>
      <c r="C19" s="62" t="n"/>
      <c r="D19" s="61">
        <f>IF(E19="","",IFERROR(VLOOKUP(E19,areaNomiBreviSquadre,7,FALSE),""))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116" t="inlineStr">
        <is>
          <t>Gara N.</t>
        </is>
      </c>
      <c r="B21" s="116" t="inlineStr">
        <is>
          <t>Squadra A</t>
        </is>
      </c>
      <c r="C21" s="10" t="n"/>
      <c r="D21" s="116" t="inlineStr">
        <is>
          <t>Squadra B</t>
        </is>
      </c>
      <c r="E21" s="10" t="n"/>
      <c r="F21" s="116" t="inlineStr">
        <is>
          <t>Giorno</t>
        </is>
      </c>
      <c r="G21" s="116" t="inlineStr">
        <is>
          <t>Data</t>
        </is>
      </c>
      <c r="H21" s="116" t="inlineStr">
        <is>
          <t>Ora</t>
        </is>
      </c>
      <c r="I21" s="10" t="n"/>
      <c r="J21" s="116" t="inlineStr">
        <is>
          <t>Risultato</t>
        </is>
      </c>
      <c r="K21" s="9" t="n"/>
      <c r="L21" s="10" t="n"/>
    </row>
    <row r="22" ht="24" customHeight="1">
      <c r="A22" s="118">
        <f>MAX(A$10:A21)+1</f>
        <v/>
      </c>
      <c r="B22" s="61">
        <f>IF(C22="","",IFERROR(VLOOKUP(C22,areaNomiBreviSquadre,7,FALSE),""))</f>
        <v/>
      </c>
      <c r="C22" s="62" t="n"/>
      <c r="D22" s="61">
        <f>IF(E22="","",IFERROR(VLOOKUP(E22,areaNomiBreviSquadre,7,FALSE),""))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113" t="inlineStr">
        <is>
          <t>2H</t>
        </is>
      </c>
      <c r="B25" s="114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116" t="inlineStr">
        <is>
          <t>Gara N.</t>
        </is>
      </c>
      <c r="B26" s="116" t="inlineStr">
        <is>
          <t>Squadra A</t>
        </is>
      </c>
      <c r="C26" s="10" t="n"/>
      <c r="D26" s="116" t="inlineStr">
        <is>
          <t>Squadra B</t>
        </is>
      </c>
      <c r="E26" s="10" t="n"/>
      <c r="F26" s="116" t="inlineStr">
        <is>
          <t>Giorno</t>
        </is>
      </c>
      <c r="G26" s="116" t="inlineStr">
        <is>
          <t>Data</t>
        </is>
      </c>
      <c r="H26" s="116" t="inlineStr">
        <is>
          <t>Ora</t>
        </is>
      </c>
      <c r="I26" s="10" t="n"/>
      <c r="J26" s="116" t="inlineStr">
        <is>
          <t>Risultato</t>
        </is>
      </c>
      <c r="K26" s="9" t="n"/>
      <c r="L26" s="10" t="n"/>
    </row>
    <row r="27" ht="24" customHeight="1">
      <c r="A27" s="118">
        <f>MAX(A$10:A26)+1</f>
        <v/>
      </c>
      <c r="B27" s="61">
        <f>IF(C27="","",IFERROR(VLOOKUP(C27,areaNomiBreviSquadre,7,FALSE),""))</f>
        <v/>
      </c>
      <c r="C27" s="62" t="n"/>
      <c r="D27" s="61">
        <f>IF(E27="","",IFERROR(VLOOKUP(E27,areaNomiBreviSquadre,7,FALSE),""))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IF($J27+$L27=0,,IF($J27&lt;$L27,IF($J27&amp;"-"&amp;$L27=MID(constPunteggioForfait,FIND("-",constPunteggioForfait)+1,LEN(constPunteggioForfait))&amp;"-"&amp;LEFT(constPunteggioForfait,FIND("-",constPunteggioForfait)-1),1,0),0))</f>
        <v/>
      </c>
      <c r="P27" s="67">
        <f>IF($J27+$L27=0,,IF($J27&lt;$L27,IF($J27&amp;"-"&amp;$L27&lt;&gt;MID(constPunteggioForfait,FIND("-",constPunteggioForfait)+1,LEN(constPunteggioForfait))&amp;"-"&amp;LEFT(constPunteggioForfait,FIND("-",constPunteggioForfait)-1),1,0),0))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IF($J27+$L27=0,,IF($L27&lt;$J27,IF($J27&amp;"-"&amp;$L27=constPunteggioForfait,1,0),0))</f>
        <v/>
      </c>
      <c r="W27" s="67">
        <f>IF($J27+$L27=0,,IF($L27&lt;$J27,IF($J27&amp;"-"&amp;$L27&lt;&gt;constPunteggioForfait,1,0),0))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IF(I28="","",HYPERLINK(VLOOKUP(I28,areaCampiSquadre,3,FALSE),VLOOKUP(I28,areaCampiSquadre,2,FALSE)))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116" t="inlineStr">
        <is>
          <t>Gara N.</t>
        </is>
      </c>
      <c r="B29" s="116" t="inlineStr">
        <is>
          <t>Squadra A</t>
        </is>
      </c>
      <c r="C29" s="10" t="n"/>
      <c r="D29" s="116" t="inlineStr">
        <is>
          <t>Squadra B</t>
        </is>
      </c>
      <c r="E29" s="10" t="n"/>
      <c r="F29" s="116" t="inlineStr">
        <is>
          <t>Giorno</t>
        </is>
      </c>
      <c r="G29" s="116" t="inlineStr">
        <is>
          <t>Data</t>
        </is>
      </c>
      <c r="H29" s="116" t="inlineStr">
        <is>
          <t>Ora</t>
        </is>
      </c>
      <c r="I29" s="10" t="n"/>
      <c r="J29" s="116" t="inlineStr">
        <is>
          <t>Risultato</t>
        </is>
      </c>
      <c r="K29" s="9" t="n"/>
      <c r="L29" s="10" t="n"/>
    </row>
    <row r="30" ht="24" customHeight="1">
      <c r="A30" s="118">
        <f>MAX(A$10:A29)+1</f>
        <v/>
      </c>
      <c r="B30" s="61">
        <f>IF(C30="","",IFERROR(VLOOKUP(C30,areaNomiBreviSquadre,7,FALSE),""))</f>
        <v/>
      </c>
      <c r="C30" s="62" t="n"/>
      <c r="D30" s="61">
        <f>IF(E30="","",IFERROR(VLOOKUP(E30,areaNomiBreviSquadre,7,FALSE),""))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IF($J30+$L30=0,,IF($J30&lt;$L30,IF($J30&amp;"-"&amp;$L30=MID(constPunteggioForfait,FIND("-",constPunteggioForfait)+1,LEN(constPunteggioForfait))&amp;"-"&amp;LEFT(constPunteggioForfait,FIND("-",constPunteggioForfait)-1),1,0),0))</f>
        <v/>
      </c>
      <c r="P30" s="67">
        <f>IF($J30+$L30=0,,IF($J30&lt;$L30,IF($J30&amp;"-"&amp;$L30&lt;&gt;MID(constPunteggioForfait,FIND("-",constPunteggioForfait)+1,LEN(constPunteggioForfait))&amp;"-"&amp;LEFT(constPunteggioForfait,FIND("-",constPunteggioForfait)-1),1,0),0))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IF($J30+$L30=0,,IF($L30&lt;$J30,IF($J30&amp;"-"&amp;$L30=constPunteggioForfait,1,0),0))</f>
        <v/>
      </c>
      <c r="W30" s="67">
        <f>IF($J30+$L30=0,,IF($L30&lt;$J30,IF($J30&amp;"-"&amp;$L30&lt;&gt;constPunteggioForfait,1,0),0))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IF(I31="","",HYPERLINK(VLOOKUP(I31,areaCampiSquadre,3,FALSE),VLOOKUP(I31,areaCampiSquadre,2,FALSE)))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116" t="inlineStr">
        <is>
          <t>Gara N.</t>
        </is>
      </c>
      <c r="B32" s="116" t="inlineStr">
        <is>
          <t>Squadra A</t>
        </is>
      </c>
      <c r="C32" s="10" t="n"/>
      <c r="D32" s="116" t="inlineStr">
        <is>
          <t>Squadra B</t>
        </is>
      </c>
      <c r="E32" s="10" t="n"/>
      <c r="F32" s="116" t="inlineStr">
        <is>
          <t>Giorno</t>
        </is>
      </c>
      <c r="G32" s="116" t="inlineStr">
        <is>
          <t>Data</t>
        </is>
      </c>
      <c r="H32" s="116" t="inlineStr">
        <is>
          <t>Ora</t>
        </is>
      </c>
      <c r="I32" s="10" t="n"/>
      <c r="J32" s="116" t="inlineStr">
        <is>
          <t>Risultato</t>
        </is>
      </c>
      <c r="K32" s="9" t="n"/>
      <c r="L32" s="10" t="n"/>
    </row>
    <row r="33" ht="24" customHeight="1">
      <c r="A33" s="118">
        <f>MAX(A$10:A32)+1</f>
        <v/>
      </c>
      <c r="B33" s="61">
        <f>IF(C33="","",IFERROR(VLOOKUP(C33,areaNomiBreviSquadre,7,FALSE),""))</f>
        <v/>
      </c>
      <c r="C33" s="62" t="n"/>
      <c r="D33" s="61">
        <f>IF(E33="","",IFERROR(VLOOKUP(E33,areaNomiBreviSquadre,7,FALSE),""))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IF($J33+$L33=0,,IF($J33&lt;$L33,IF($J33&amp;"-"&amp;$L33=MID(constPunteggioForfait,FIND("-",constPunteggioForfait)+1,LEN(constPunteggioForfait))&amp;"-"&amp;LEFT(constPunteggioForfait,FIND("-",constPunteggioForfait)-1),1,0),0))</f>
        <v/>
      </c>
      <c r="P33" s="67">
        <f>IF($J33+$L33=0,,IF($J33&lt;$L33,IF($J33&amp;"-"&amp;$L33&lt;&gt;MID(constPunteggioForfait,FIND("-",constPunteggioForfait)+1,LEN(constPunteggioForfait))&amp;"-"&amp;LEFT(constPunteggioForfait,FIND("-",constPunteggioForfait)-1),1,0),0))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IF($J33+$L33=0,,IF($L33&lt;$J33,IF($J33&amp;"-"&amp;$L33=constPunteggioForfait,1,0),0))</f>
        <v/>
      </c>
      <c r="W33" s="67">
        <f>IF($J33+$L33=0,,IF($L33&lt;$J33,IF($J33&amp;"-"&amp;$L33&lt;&gt;constPunteggioForfait,1,0),0))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IF(I34="","",HYPERLINK(VLOOKUP(I34,areaCampiSquadre,3,FALSE),VLOOKUP(I34,areaCampiSquadre,2,FALSE)))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116" t="inlineStr">
        <is>
          <t>Gara N.</t>
        </is>
      </c>
      <c r="B35" s="116" t="inlineStr">
        <is>
          <t>Squadra A</t>
        </is>
      </c>
      <c r="C35" s="10" t="n"/>
      <c r="D35" s="116" t="inlineStr">
        <is>
          <t>Squadra B</t>
        </is>
      </c>
      <c r="E35" s="10" t="n"/>
      <c r="F35" s="116" t="inlineStr">
        <is>
          <t>Giorno</t>
        </is>
      </c>
      <c r="G35" s="116" t="inlineStr">
        <is>
          <t>Data</t>
        </is>
      </c>
      <c r="H35" s="116" t="inlineStr">
        <is>
          <t>Ora</t>
        </is>
      </c>
      <c r="I35" s="10" t="n"/>
      <c r="J35" s="116" t="inlineStr">
        <is>
          <t>Risultato</t>
        </is>
      </c>
      <c r="K35" s="9" t="n"/>
      <c r="L35" s="10" t="n"/>
    </row>
    <row r="36" ht="24" customHeight="1">
      <c r="A36" s="118">
        <f>MAX(A$10:A35)+1</f>
        <v/>
      </c>
      <c r="B36" s="61">
        <f>IF(C36="","",IFERROR(VLOOKUP(C36,areaNomiBreviSquadre,7,FALSE),""))</f>
        <v/>
      </c>
      <c r="C36" s="62" t="n"/>
      <c r="D36" s="61">
        <f>IF(E36="","",IFERROR(VLOOKUP(E36,areaNomiBreviSquadre,7,FALSE),""))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IF($J36+$L36=0,,IF($J36&lt;$L36,IF($J36&amp;"-"&amp;$L36=MID(constPunteggioForfait,FIND("-",constPunteggioForfait)+1,LEN(constPunteggioForfait))&amp;"-"&amp;LEFT(constPunteggioForfait,FIND("-",constPunteggioForfait)-1),1,0),0))</f>
        <v/>
      </c>
      <c r="P36" s="67">
        <f>IF($J36+$L36=0,,IF($J36&lt;$L36,IF($J36&amp;"-"&amp;$L36&lt;&gt;MID(constPunteggioForfait,FIND("-",constPunteggioForfait)+1,LEN(constPunteggioForfait))&amp;"-"&amp;LEFT(constPunteggioForfait,FIND("-",constPunteggioForfait)-1),1,0),0))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IF($J36+$L36=0,,IF($L36&lt;$J36,IF($J36&amp;"-"&amp;$L36=constPunteggioForfait,1,0),0))</f>
        <v/>
      </c>
      <c r="W36" s="67">
        <f>IF($J36+$L36=0,,IF($L36&lt;$J36,IF($J36&amp;"-"&amp;$L36&lt;&gt;constPunteggioForfait,1,0),0))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IF(I37="","",HYPERLINK(VLOOKUP(I37,areaCampiSquadre,3,FALSE),VLOOKUP(I37,areaCampiSquadre,2,FALSE)))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116" t="inlineStr">
        <is>
          <t>Gara N.</t>
        </is>
      </c>
      <c r="B38" s="116" t="inlineStr">
        <is>
          <t>Squadra A</t>
        </is>
      </c>
      <c r="C38" s="10" t="n"/>
      <c r="D38" s="116" t="inlineStr">
        <is>
          <t>Squadra B</t>
        </is>
      </c>
      <c r="E38" s="10" t="n"/>
      <c r="F38" s="116" t="inlineStr">
        <is>
          <t>Giorno</t>
        </is>
      </c>
      <c r="G38" s="116" t="inlineStr">
        <is>
          <t>Data</t>
        </is>
      </c>
      <c r="H38" s="116" t="inlineStr">
        <is>
          <t>Ora</t>
        </is>
      </c>
      <c r="I38" s="10" t="n"/>
      <c r="J38" s="116" t="inlineStr">
        <is>
          <t>Risultato</t>
        </is>
      </c>
      <c r="K38" s="9" t="n"/>
      <c r="L38" s="10" t="n"/>
    </row>
    <row r="39" ht="24" customHeight="1">
      <c r="A39" s="118">
        <f>MAX(A$10:A38)+1</f>
        <v/>
      </c>
      <c r="B39" s="61">
        <f>IF(C39="","",IFERROR(VLOOKUP(C39,areaNomiBreviSquadre,7,FALSE),""))</f>
        <v/>
      </c>
      <c r="C39" s="62" t="n"/>
      <c r="D39" s="61">
        <f>IF(E39="","",IFERROR(VLOOKUP(E39,areaNomiBreviSquadre,7,FALSE),""))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IF($J39+$L39=0,,IF($J39&lt;$L39,IF($J39&amp;"-"&amp;$L39=MID(constPunteggioForfait,FIND("-",constPunteggioForfait)+1,LEN(constPunteggioForfait))&amp;"-"&amp;LEFT(constPunteggioForfait,FIND("-",constPunteggioForfait)-1),1,0),0))</f>
        <v/>
      </c>
      <c r="P39" s="67">
        <f>IF($J39+$L39=0,,IF($J39&lt;$L39,IF($J39&amp;"-"&amp;$L39&lt;&gt;MID(constPunteggioForfait,FIND("-",constPunteggioForfait)+1,LEN(constPunteggioForfait))&amp;"-"&amp;LEFT(constPunteggioForfait,FIND("-",constPunteggioForfait)-1),1,0),0))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IF($J39+$L39=0,,IF($L39&lt;$J39,IF($J39&amp;"-"&amp;$L39=constPunteggioForfait,1,0),0))</f>
        <v/>
      </c>
      <c r="W39" s="67">
        <f>IF($J39+$L39=0,,IF($L39&lt;$J39,IF($J39&amp;"-"&amp;$L39&lt;&gt;constPunteggioForfait,1,0),0))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IF(I40="","",HYPERLINK(VLOOKUP(I40,areaCampiSquadre,3,FALSE),VLOOKUP(I40,areaCampiSquadre,2,FALSE)))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113" t="inlineStr">
        <is>
          <t>3H</t>
        </is>
      </c>
      <c r="B42" s="114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116" t="inlineStr">
        <is>
          <t>Gara N.</t>
        </is>
      </c>
      <c r="B43" s="116" t="inlineStr">
        <is>
          <t>Squadra A</t>
        </is>
      </c>
      <c r="C43" s="10" t="n"/>
      <c r="D43" s="116" t="inlineStr">
        <is>
          <t>Squadra B</t>
        </is>
      </c>
      <c r="E43" s="10" t="n"/>
      <c r="F43" s="116" t="inlineStr">
        <is>
          <t>Giorno</t>
        </is>
      </c>
      <c r="G43" s="116" t="inlineStr">
        <is>
          <t>Data</t>
        </is>
      </c>
      <c r="H43" s="116" t="inlineStr">
        <is>
          <t>Ora</t>
        </is>
      </c>
      <c r="I43" s="10" t="n"/>
      <c r="J43" s="116" t="inlineStr">
        <is>
          <t>Risultato</t>
        </is>
      </c>
      <c r="K43" s="9" t="n"/>
      <c r="L43" s="10" t="n"/>
    </row>
    <row r="44" ht="24" customHeight="1">
      <c r="A44" s="118">
        <f>MAX(A$10:A43)+1</f>
        <v/>
      </c>
      <c r="B44" s="61">
        <f>IF(C44="","",IFERROR(VLOOKUP(C44,areaNomiBreviSquadre,7,FALSE),""))</f>
        <v/>
      </c>
      <c r="C44" s="62" t="n"/>
      <c r="D44" s="61">
        <f>IF(E44="","",IFERROR(VLOOKUP(E44,areaNomiBreviSquadre,7,FALSE),""))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IF($J44+$L44=0,,IF($J44&lt;$L44,IF($J44&amp;"-"&amp;$L44=MID(constPunteggioForfait,FIND("-",constPunteggioForfait)+1,LEN(constPunteggioForfait))&amp;"-"&amp;LEFT(constPunteggioForfait,FIND("-",constPunteggioForfait)-1),1,0),0))</f>
        <v/>
      </c>
      <c r="P44" s="67">
        <f>IF($J44+$L44=0,,IF($J44&lt;$L44,IF($J44&amp;"-"&amp;$L44&lt;&gt;MID(constPunteggioForfait,FIND("-",constPunteggioForfait)+1,LEN(constPunteggioForfait))&amp;"-"&amp;LEFT(constPunteggioForfait,FIND("-",constPunteggioForfait)-1),1,0),0))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IF($J44+$L44=0,,IF($L44&lt;$J44,IF($J44&amp;"-"&amp;$L44=constPunteggioForfait,1,0),0))</f>
        <v/>
      </c>
      <c r="W44" s="67">
        <f>IF($J44+$L44=0,,IF($L44&lt;$J44,IF($J44&amp;"-"&amp;$L44&lt;&gt;constPunteggioForfait,1,0),0))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IF(I45="","",HYPERLINK(VLOOKUP(I45,areaCampiSquadre,3,FALSE),VLOOKUP(I45,areaCampiSquadre,2,FALSE)))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116" t="inlineStr">
        <is>
          <t>Gara N.</t>
        </is>
      </c>
      <c r="B46" s="116" t="inlineStr">
        <is>
          <t>Squadra A</t>
        </is>
      </c>
      <c r="C46" s="10" t="n"/>
      <c r="D46" s="116" t="inlineStr">
        <is>
          <t>Squadra B</t>
        </is>
      </c>
      <c r="E46" s="10" t="n"/>
      <c r="F46" s="116" t="inlineStr">
        <is>
          <t>Giorno</t>
        </is>
      </c>
      <c r="G46" s="116" t="inlineStr">
        <is>
          <t>Data</t>
        </is>
      </c>
      <c r="H46" s="116" t="inlineStr">
        <is>
          <t>Ora</t>
        </is>
      </c>
      <c r="I46" s="10" t="n"/>
      <c r="J46" s="116" t="inlineStr">
        <is>
          <t>Risultato</t>
        </is>
      </c>
      <c r="K46" s="9" t="n"/>
      <c r="L46" s="10" t="n"/>
    </row>
    <row r="47" ht="24" customHeight="1">
      <c r="A47" s="118">
        <f>MAX(A$10:A46)+1</f>
        <v/>
      </c>
      <c r="B47" s="61">
        <f>IF(C47="","",IFERROR(VLOOKUP(C47,areaNomiBreviSquadre,7,FALSE),""))</f>
        <v/>
      </c>
      <c r="C47" s="62" t="n"/>
      <c r="D47" s="61">
        <f>IF(E47="","",IFERROR(VLOOKUP(E47,areaNomiBreviSquadre,7,FALSE),""))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IF($J47+$L47=0,,IF($J47&lt;$L47,IF($J47&amp;"-"&amp;$L47=MID(constPunteggioForfait,FIND("-",constPunteggioForfait)+1,LEN(constPunteggioForfait))&amp;"-"&amp;LEFT(constPunteggioForfait,FIND("-",constPunteggioForfait)-1),1,0),0))</f>
        <v/>
      </c>
      <c r="P47" s="67">
        <f>IF($J47+$L47=0,,IF($J47&lt;$L47,IF($J47&amp;"-"&amp;$L47&lt;&gt;MID(constPunteggioForfait,FIND("-",constPunteggioForfait)+1,LEN(constPunteggioForfait))&amp;"-"&amp;LEFT(constPunteggioForfait,FIND("-",constPunteggioForfait)-1),1,0),0))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IF($J47+$L47=0,,IF($L47&lt;$J47,IF($J47&amp;"-"&amp;$L47=constPunteggioForfait,1,0),0))</f>
        <v/>
      </c>
      <c r="W47" s="67">
        <f>IF($J47+$L47=0,,IF($L47&lt;$J47,IF($J47&amp;"-"&amp;$L47&lt;&gt;constPunteggioForfait,1,0),0))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IF(I48="","",HYPERLINK(VLOOKUP(I48,areaCampiSquadre,3,FALSE),VLOOKUP(I48,areaCampiSquadre,2,FALSE)))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116" t="inlineStr">
        <is>
          <t>Gara N.</t>
        </is>
      </c>
      <c r="B49" s="116" t="inlineStr">
        <is>
          <t>Squadra A</t>
        </is>
      </c>
      <c r="C49" s="10" t="n"/>
      <c r="D49" s="116" t="inlineStr">
        <is>
          <t>Squadra B</t>
        </is>
      </c>
      <c r="E49" s="10" t="n"/>
      <c r="F49" s="116" t="inlineStr">
        <is>
          <t>Giorno</t>
        </is>
      </c>
      <c r="G49" s="116" t="inlineStr">
        <is>
          <t>Data</t>
        </is>
      </c>
      <c r="H49" s="116" t="inlineStr">
        <is>
          <t>Ora</t>
        </is>
      </c>
      <c r="I49" s="10" t="n"/>
      <c r="J49" s="116" t="inlineStr">
        <is>
          <t>Risultato</t>
        </is>
      </c>
      <c r="K49" s="9" t="n"/>
      <c r="L49" s="10" t="n"/>
    </row>
    <row r="50" ht="24" customHeight="1">
      <c r="A50" s="118">
        <f>MAX(A$10:A49)+1</f>
        <v/>
      </c>
      <c r="B50" s="61">
        <f>IF(C50="","",IFERROR(VLOOKUP(C50,areaNomiBreviSquadre,7,FALSE),""))</f>
        <v/>
      </c>
      <c r="C50" s="62" t="n"/>
      <c r="D50" s="61">
        <f>IF(E50="","",IFERROR(VLOOKUP(E50,areaNomiBreviSquadre,7,FALSE),""))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IF($J50+$L50=0,,IF($J50&lt;$L50,IF($J50&amp;"-"&amp;$L50=MID(constPunteggioForfait,FIND("-",constPunteggioForfait)+1,LEN(constPunteggioForfait))&amp;"-"&amp;LEFT(constPunteggioForfait,FIND("-",constPunteggioForfait)-1),1,0),0))</f>
        <v/>
      </c>
      <c r="P50" s="67">
        <f>IF($J50+$L50=0,,IF($J50&lt;$L50,IF($J50&amp;"-"&amp;$L50&lt;&gt;MID(constPunteggioForfait,FIND("-",constPunteggioForfait)+1,LEN(constPunteggioForfait))&amp;"-"&amp;LEFT(constPunteggioForfait,FIND("-",constPunteggioForfait)-1),1,0),0))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IF($J50+$L50=0,,IF($L50&lt;$J50,IF($J50&amp;"-"&amp;$L50=constPunteggioForfait,1,0),0))</f>
        <v/>
      </c>
      <c r="W50" s="67">
        <f>IF($J50+$L50=0,,IF($L50&lt;$J50,IF($J50&amp;"-"&amp;$L50&lt;&gt;constPunteggioForfait,1,0),0))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IF(I51="","",HYPERLINK(VLOOKUP(I51,areaCampiSquadre,3,FALSE),VLOOKUP(I51,areaCampiSquadre,2,FALSE)))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116" t="inlineStr">
        <is>
          <t>Gara N.</t>
        </is>
      </c>
      <c r="B52" s="116" t="inlineStr">
        <is>
          <t>Squadra A</t>
        </is>
      </c>
      <c r="C52" s="10" t="n"/>
      <c r="D52" s="116" t="inlineStr">
        <is>
          <t>Squadra B</t>
        </is>
      </c>
      <c r="E52" s="10" t="n"/>
      <c r="F52" s="116" t="inlineStr">
        <is>
          <t>Giorno</t>
        </is>
      </c>
      <c r="G52" s="116" t="inlineStr">
        <is>
          <t>Data</t>
        </is>
      </c>
      <c r="H52" s="116" t="inlineStr">
        <is>
          <t>Ora</t>
        </is>
      </c>
      <c r="I52" s="10" t="n"/>
      <c r="J52" s="116" t="inlineStr">
        <is>
          <t>Risultato</t>
        </is>
      </c>
      <c r="K52" s="9" t="n"/>
      <c r="L52" s="10" t="n"/>
    </row>
    <row r="53" ht="24" customHeight="1">
      <c r="A53" s="118">
        <f>MAX(A$10:A52)+1</f>
        <v/>
      </c>
      <c r="B53" s="61">
        <f>IF(C53="","",IFERROR(VLOOKUP(C53,areaNomiBreviSquadre,7,FALSE),""))</f>
        <v/>
      </c>
      <c r="C53" s="62" t="n"/>
      <c r="D53" s="61">
        <f>IF(E53="","",IFERROR(VLOOKUP(E53,areaNomiBreviSquadre,7,FALSE),""))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IF($J53+$L53=0,,IF($J53&lt;$L53,IF($J53&amp;"-"&amp;$L53=MID(constPunteggioForfait,FIND("-",constPunteggioForfait)+1,LEN(constPunteggioForfait))&amp;"-"&amp;LEFT(constPunteggioForfait,FIND("-",constPunteggioForfait)-1),1,0),0))</f>
        <v/>
      </c>
      <c r="P53" s="67">
        <f>IF($J53+$L53=0,,IF($J53&lt;$L53,IF($J53&amp;"-"&amp;$L53&lt;&gt;MID(constPunteggioForfait,FIND("-",constPunteggioForfait)+1,LEN(constPunteggioForfait))&amp;"-"&amp;LEFT(constPunteggioForfait,FIND("-",constPunteggioForfait)-1),1,0),0))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IF($J53+$L53=0,,IF($L53&lt;$J53,IF($J53&amp;"-"&amp;$L53=constPunteggioForfait,1,0),0))</f>
        <v/>
      </c>
      <c r="W53" s="67">
        <f>IF($J53+$L53=0,,IF($L53&lt;$J53,IF($J53&amp;"-"&amp;$L53&lt;&gt;constPunteggioForfait,1,0),0))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IF(I54="","",HYPERLINK(VLOOKUP(I54,areaCampiSquadre,3,FALSE),VLOOKUP(I54,areaCampiSquadre,2,FALSE)))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116" t="inlineStr">
        <is>
          <t>Gara N.</t>
        </is>
      </c>
      <c r="B55" s="116" t="inlineStr">
        <is>
          <t>Squadra A</t>
        </is>
      </c>
      <c r="C55" s="10" t="n"/>
      <c r="D55" s="116" t="inlineStr">
        <is>
          <t>Squadra B</t>
        </is>
      </c>
      <c r="E55" s="10" t="n"/>
      <c r="F55" s="116" t="inlineStr">
        <is>
          <t>Giorno</t>
        </is>
      </c>
      <c r="G55" s="116" t="inlineStr">
        <is>
          <t>Data</t>
        </is>
      </c>
      <c r="H55" s="116" t="inlineStr">
        <is>
          <t>Ora</t>
        </is>
      </c>
      <c r="I55" s="10" t="n"/>
      <c r="J55" s="116" t="inlineStr">
        <is>
          <t>Risultato</t>
        </is>
      </c>
      <c r="K55" s="9" t="n"/>
      <c r="L55" s="10" t="n"/>
    </row>
    <row r="56" ht="24" customHeight="1">
      <c r="A56" s="118">
        <f>MAX(A$10:A55)+1</f>
        <v/>
      </c>
      <c r="B56" s="61">
        <f>IF(C56="","",IFERROR(VLOOKUP(C56,areaNomiBreviSquadre,7,FALSE),""))</f>
        <v/>
      </c>
      <c r="C56" s="62" t="n"/>
      <c r="D56" s="61">
        <f>IF(E56="","",IFERROR(VLOOKUP(E56,areaNomiBreviSquadre,7,FALSE),""))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IF($J56+$L56=0,,IF($J56&lt;$L56,IF($J56&amp;"-"&amp;$L56=MID(constPunteggioForfait,FIND("-",constPunteggioForfait)+1,LEN(constPunteggioForfait))&amp;"-"&amp;LEFT(constPunteggioForfait,FIND("-",constPunteggioForfait)-1),1,0),0))</f>
        <v/>
      </c>
      <c r="P56" s="67">
        <f>IF($J56+$L56=0,,IF($J56&lt;$L56,IF($J56&amp;"-"&amp;$L56&lt;&gt;MID(constPunteggioForfait,FIND("-",constPunteggioForfait)+1,LEN(constPunteggioForfait))&amp;"-"&amp;LEFT(constPunteggioForfait,FIND("-",constPunteggioForfait)-1),1,0),0))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IF($J56+$L56=0,,IF($L56&lt;$J56,IF($J56&amp;"-"&amp;$L56=constPunteggioForfait,1,0),0))</f>
        <v/>
      </c>
      <c r="W56" s="67">
        <f>IF($J56+$L56=0,,IF($L56&lt;$J56,IF($J56&amp;"-"&amp;$L56&lt;&gt;constPunteggioForfait,1,0),0))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IF(I57="","",HYPERLINK(VLOOKUP(I57,areaCampiSquadre,3,FALSE),VLOOKUP(I57,areaCampiSquadre,2,FALSE)))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113" t="inlineStr">
        <is>
          <t>4H</t>
        </is>
      </c>
      <c r="B59" s="114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116" t="inlineStr">
        <is>
          <t>Gara N.</t>
        </is>
      </c>
      <c r="B60" s="116" t="inlineStr">
        <is>
          <t>Squadra A</t>
        </is>
      </c>
      <c r="C60" s="10" t="n"/>
      <c r="D60" s="116" t="inlineStr">
        <is>
          <t>Squadra B</t>
        </is>
      </c>
      <c r="E60" s="10" t="n"/>
      <c r="F60" s="116" t="inlineStr">
        <is>
          <t>Giorno</t>
        </is>
      </c>
      <c r="G60" s="116" t="inlineStr">
        <is>
          <t>Data</t>
        </is>
      </c>
      <c r="H60" s="116" t="inlineStr">
        <is>
          <t>Ora</t>
        </is>
      </c>
      <c r="I60" s="10" t="n"/>
      <c r="J60" s="116" t="inlineStr">
        <is>
          <t>Risultato</t>
        </is>
      </c>
      <c r="K60" s="9" t="n"/>
      <c r="L60" s="10" t="n"/>
    </row>
    <row r="61" ht="24" customHeight="1">
      <c r="A61" s="118">
        <f>MAX(A$10:A60)+1</f>
        <v/>
      </c>
      <c r="B61" s="61">
        <f>IF(C61="","",IFERROR(VLOOKUP(C61,areaNomiBreviSquadre,7,FALSE),""))</f>
        <v/>
      </c>
      <c r="C61" s="62" t="n"/>
      <c r="D61" s="61">
        <f>IF(E61="","",IFERROR(VLOOKUP(E61,areaNomiBreviSquadre,7,FALSE),""))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IF($J61+$L61=0,,IF($J61&lt;$L61,IF($J61&amp;"-"&amp;$L61=MID(constPunteggioForfait,FIND("-",constPunteggioForfait)+1,LEN(constPunteggioForfait))&amp;"-"&amp;LEFT(constPunteggioForfait,FIND("-",constPunteggioForfait)-1),1,0),0))</f>
        <v/>
      </c>
      <c r="P61" s="67">
        <f>IF($J61+$L61=0,,IF($J61&lt;$L61,IF($J61&amp;"-"&amp;$L61&lt;&gt;MID(constPunteggioForfait,FIND("-",constPunteggioForfait)+1,LEN(constPunteggioForfait))&amp;"-"&amp;LEFT(constPunteggioForfait,FIND("-",constPunteggioForfait)-1),1,0),0))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IF($J61+$L61=0,,IF($L61&lt;$J61,IF($J61&amp;"-"&amp;$L61=constPunteggioForfait,1,0),0))</f>
        <v/>
      </c>
      <c r="W61" s="67">
        <f>IF($J61+$L61=0,,IF($L61&lt;$J61,IF($J61&amp;"-"&amp;$L61&lt;&gt;constPunteggioForfait,1,0),0))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IF(I62="","",HYPERLINK(VLOOKUP(I62,areaCampiSquadre,3,FALSE),VLOOKUP(I62,areaCampiSquadre,2,FALSE)))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116" t="inlineStr">
        <is>
          <t>Gara N.</t>
        </is>
      </c>
      <c r="B63" s="116" t="inlineStr">
        <is>
          <t>Squadra A</t>
        </is>
      </c>
      <c r="C63" s="10" t="n"/>
      <c r="D63" s="116" t="inlineStr">
        <is>
          <t>Squadra B</t>
        </is>
      </c>
      <c r="E63" s="10" t="n"/>
      <c r="F63" s="116" t="inlineStr">
        <is>
          <t>Giorno</t>
        </is>
      </c>
      <c r="G63" s="116" t="inlineStr">
        <is>
          <t>Data</t>
        </is>
      </c>
      <c r="H63" s="116" t="inlineStr">
        <is>
          <t>Ora</t>
        </is>
      </c>
      <c r="I63" s="10" t="n"/>
      <c r="J63" s="116" t="inlineStr">
        <is>
          <t>Risultato</t>
        </is>
      </c>
      <c r="K63" s="9" t="n"/>
      <c r="L63" s="10" t="n"/>
    </row>
    <row r="64" ht="24" customHeight="1">
      <c r="A64" s="118">
        <f>MAX(A$10:A63)+1</f>
        <v/>
      </c>
      <c r="B64" s="61">
        <f>IF(C64="","",IFERROR(VLOOKUP(C64,areaNomiBreviSquadre,7,FALSE),""))</f>
        <v/>
      </c>
      <c r="C64" s="62" t="n"/>
      <c r="D64" s="61">
        <f>IF(E64="","",IFERROR(VLOOKUP(E64,areaNomiBreviSquadre,7,FALSE),""))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IF($J64+$L64=0,,IF($J64&lt;$L64,IF($J64&amp;"-"&amp;$L64=MID(constPunteggioForfait,FIND("-",constPunteggioForfait)+1,LEN(constPunteggioForfait))&amp;"-"&amp;LEFT(constPunteggioForfait,FIND("-",constPunteggioForfait)-1),1,0),0))</f>
        <v/>
      </c>
      <c r="P64" s="67">
        <f>IF($J64+$L64=0,,IF($J64&lt;$L64,IF($J64&amp;"-"&amp;$L64&lt;&gt;MID(constPunteggioForfait,FIND("-",constPunteggioForfait)+1,LEN(constPunteggioForfait))&amp;"-"&amp;LEFT(constPunteggioForfait,FIND("-",constPunteggioForfait)-1),1,0),0))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IF($J64+$L64=0,,IF($L64&lt;$J64,IF($J64&amp;"-"&amp;$L64=constPunteggioForfait,1,0),0))</f>
        <v/>
      </c>
      <c r="W64" s="67">
        <f>IF($J64+$L64=0,,IF($L64&lt;$J64,IF($J64&amp;"-"&amp;$L64&lt;&gt;constPunteggioForfait,1,0),0))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IF(I65="","",HYPERLINK(VLOOKUP(I65,areaCampiSquadre,3,FALSE),VLOOKUP(I65,areaCampiSquadre,2,FALSE)))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116" t="inlineStr">
        <is>
          <t>Gara N.</t>
        </is>
      </c>
      <c r="B66" s="116" t="inlineStr">
        <is>
          <t>Squadra A</t>
        </is>
      </c>
      <c r="C66" s="10" t="n"/>
      <c r="D66" s="116" t="inlineStr">
        <is>
          <t>Squadra B</t>
        </is>
      </c>
      <c r="E66" s="10" t="n"/>
      <c r="F66" s="116" t="inlineStr">
        <is>
          <t>Giorno</t>
        </is>
      </c>
      <c r="G66" s="116" t="inlineStr">
        <is>
          <t>Data</t>
        </is>
      </c>
      <c r="H66" s="116" t="inlineStr">
        <is>
          <t>Ora</t>
        </is>
      </c>
      <c r="I66" s="10" t="n"/>
      <c r="J66" s="116" t="inlineStr">
        <is>
          <t>Risultato</t>
        </is>
      </c>
      <c r="K66" s="9" t="n"/>
      <c r="L66" s="10" t="n"/>
    </row>
    <row r="67" ht="24" customHeight="1">
      <c r="A67" s="118">
        <f>MAX(A$10:A66)+1</f>
        <v/>
      </c>
      <c r="B67" s="61">
        <f>IF(C67="","",IFERROR(VLOOKUP(C67,areaNomiBreviSquadre,7,FALSE),""))</f>
        <v/>
      </c>
      <c r="C67" s="62" t="n"/>
      <c r="D67" s="61">
        <f>IF(E67="","",IFERROR(VLOOKUP(E67,areaNomiBreviSquadre,7,FALSE),""))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IF($J67+$L67=0,,IF($J67&lt;$L67,IF($J67&amp;"-"&amp;$L67=MID(constPunteggioForfait,FIND("-",constPunteggioForfait)+1,LEN(constPunteggioForfait))&amp;"-"&amp;LEFT(constPunteggioForfait,FIND("-",constPunteggioForfait)-1),1,0),0))</f>
        <v/>
      </c>
      <c r="P67" s="67">
        <f>IF($J67+$L67=0,,IF($J67&lt;$L67,IF($J67&amp;"-"&amp;$L67&lt;&gt;MID(constPunteggioForfait,FIND("-",constPunteggioForfait)+1,LEN(constPunteggioForfait))&amp;"-"&amp;LEFT(constPunteggioForfait,FIND("-",constPunteggioForfait)-1),1,0),0))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IF($J67+$L67=0,,IF($L67&lt;$J67,IF($J67&amp;"-"&amp;$L67=constPunteggioForfait,1,0),0))</f>
        <v/>
      </c>
      <c r="W67" s="67">
        <f>IF($J67+$L67=0,,IF($L67&lt;$J67,IF($J67&amp;"-"&amp;$L67&lt;&gt;constPunteggioForfait,1,0),0))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IF(I68="","",HYPERLINK(VLOOKUP(I68,areaCampiSquadre,3,FALSE),VLOOKUP(I68,areaCampiSquadre,2,FALSE)))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116" t="inlineStr">
        <is>
          <t>Gara N.</t>
        </is>
      </c>
      <c r="B69" s="116" t="inlineStr">
        <is>
          <t>Squadra A</t>
        </is>
      </c>
      <c r="C69" s="10" t="n"/>
      <c r="D69" s="116" t="inlineStr">
        <is>
          <t>Squadra B</t>
        </is>
      </c>
      <c r="E69" s="10" t="n"/>
      <c r="F69" s="116" t="inlineStr">
        <is>
          <t>Giorno</t>
        </is>
      </c>
      <c r="G69" s="116" t="inlineStr">
        <is>
          <t>Data</t>
        </is>
      </c>
      <c r="H69" s="116" t="inlineStr">
        <is>
          <t>Ora</t>
        </is>
      </c>
      <c r="I69" s="10" t="n"/>
      <c r="J69" s="116" t="inlineStr">
        <is>
          <t>Risultato</t>
        </is>
      </c>
      <c r="K69" s="9" t="n"/>
      <c r="L69" s="10" t="n"/>
    </row>
    <row r="70" ht="24" customHeight="1">
      <c r="A70" s="118">
        <f>MAX(A$10:A69)+1</f>
        <v/>
      </c>
      <c r="B70" s="61">
        <f>IF(C70="","",IFERROR(VLOOKUP(C70,areaNomiBreviSquadre,7,FALSE),""))</f>
        <v/>
      </c>
      <c r="C70" s="62" t="n"/>
      <c r="D70" s="61">
        <f>IF(E70="","",IFERROR(VLOOKUP(E70,areaNomiBreviSquadre,7,FALSE),""))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IF($J70+$L70=0,,IF($J70&lt;$L70,IF($J70&amp;"-"&amp;$L70=MID(constPunteggioForfait,FIND("-",constPunteggioForfait)+1,LEN(constPunteggioForfait))&amp;"-"&amp;LEFT(constPunteggioForfait,FIND("-",constPunteggioForfait)-1),1,0),0))</f>
        <v/>
      </c>
      <c r="P70" s="67">
        <f>IF($J70+$L70=0,,IF($J70&lt;$L70,IF($J70&amp;"-"&amp;$L70&lt;&gt;MID(constPunteggioForfait,FIND("-",constPunteggioForfait)+1,LEN(constPunteggioForfait))&amp;"-"&amp;LEFT(constPunteggioForfait,FIND("-",constPunteggioForfait)-1),1,0),0))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IF($J70+$L70=0,,IF($L70&lt;$J70,IF($J70&amp;"-"&amp;$L70=constPunteggioForfait,1,0),0))</f>
        <v/>
      </c>
      <c r="W70" s="67">
        <f>IF($J70+$L70=0,,IF($L70&lt;$J70,IF($J70&amp;"-"&amp;$L70&lt;&gt;constPunteggioForfait,1,0),0))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IF(I71="","",HYPERLINK(VLOOKUP(I71,areaCampiSquadre,3,FALSE),VLOOKUP(I71,areaCampiSquadre,2,FALSE)))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116" t="inlineStr">
        <is>
          <t>Gara N.</t>
        </is>
      </c>
      <c r="B72" s="116" t="inlineStr">
        <is>
          <t>Squadra A</t>
        </is>
      </c>
      <c r="C72" s="10" t="n"/>
      <c r="D72" s="116" t="inlineStr">
        <is>
          <t>Squadra B</t>
        </is>
      </c>
      <c r="E72" s="10" t="n"/>
      <c r="F72" s="116" t="inlineStr">
        <is>
          <t>Giorno</t>
        </is>
      </c>
      <c r="G72" s="116" t="inlineStr">
        <is>
          <t>Data</t>
        </is>
      </c>
      <c r="H72" s="116" t="inlineStr">
        <is>
          <t>Ora</t>
        </is>
      </c>
      <c r="I72" s="10" t="n"/>
      <c r="J72" s="116" t="inlineStr">
        <is>
          <t>Risultato</t>
        </is>
      </c>
      <c r="K72" s="9" t="n"/>
      <c r="L72" s="10" t="n"/>
    </row>
    <row r="73" ht="24" customHeight="1">
      <c r="A73" s="118">
        <f>MAX(A$10:A72)+1</f>
        <v/>
      </c>
      <c r="B73" s="61">
        <f>IF(C73="","",IFERROR(VLOOKUP(C73,areaNomiBreviSquadre,7,FALSE),""))</f>
        <v/>
      </c>
      <c r="C73" s="62" t="n"/>
      <c r="D73" s="61">
        <f>IF(E73="","",IFERROR(VLOOKUP(E73,areaNomiBreviSquadre,7,FALSE),""))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IF($J73+$L73=0,,IF($J73&lt;$L73,IF($J73&amp;"-"&amp;$L73=MID(constPunteggioForfait,FIND("-",constPunteggioForfait)+1,LEN(constPunteggioForfait))&amp;"-"&amp;LEFT(constPunteggioForfait,FIND("-",constPunteggioForfait)-1),1,0),0))</f>
        <v/>
      </c>
      <c r="P73" s="67">
        <f>IF($J73+$L73=0,,IF($J73&lt;$L73,IF($J73&amp;"-"&amp;$L73&lt;&gt;MID(constPunteggioForfait,FIND("-",constPunteggioForfait)+1,LEN(constPunteggioForfait))&amp;"-"&amp;LEFT(constPunteggioForfait,FIND("-",constPunteggioForfait)-1),1,0),0))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IF($J73+$L73=0,,IF($L73&lt;$J73,IF($J73&amp;"-"&amp;$L73=constPunteggioForfait,1,0),0))</f>
        <v/>
      </c>
      <c r="W73" s="67">
        <f>IF($J73+$L73=0,,IF($L73&lt;$J73,IF($J73&amp;"-"&amp;$L73&lt;&gt;constPunteggioForfait,1,0),0))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IF(I74="","",HYPERLINK(VLOOKUP(I74,areaCampiSquadre,3,FALSE),VLOOKUP(I74,areaCampiSquadre,2,FALSE)))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113" t="inlineStr">
        <is>
          <t>5H</t>
        </is>
      </c>
      <c r="B76" s="114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116" t="inlineStr">
        <is>
          <t>Gara N.</t>
        </is>
      </c>
      <c r="B77" s="116" t="inlineStr">
        <is>
          <t>Squadra A</t>
        </is>
      </c>
      <c r="C77" s="10" t="n"/>
      <c r="D77" s="116" t="inlineStr">
        <is>
          <t>Squadra B</t>
        </is>
      </c>
      <c r="E77" s="10" t="n"/>
      <c r="F77" s="116" t="inlineStr">
        <is>
          <t>Giorno</t>
        </is>
      </c>
      <c r="G77" s="116" t="inlineStr">
        <is>
          <t>Data</t>
        </is>
      </c>
      <c r="H77" s="116" t="inlineStr">
        <is>
          <t>Ora</t>
        </is>
      </c>
      <c r="I77" s="10" t="n"/>
      <c r="J77" s="116" t="inlineStr">
        <is>
          <t>Risultato</t>
        </is>
      </c>
      <c r="K77" s="9" t="n"/>
      <c r="L77" s="10" t="n"/>
    </row>
    <row r="78" ht="24" customHeight="1">
      <c r="A78" s="118">
        <f>MAX(A$10:A77)+1</f>
        <v/>
      </c>
      <c r="B78" s="61">
        <f>IF(C78="","",IFERROR(VLOOKUP(C78,areaNomiBreviSquadre,7,FALSE),""))</f>
        <v/>
      </c>
      <c r="C78" s="62" t="n"/>
      <c r="D78" s="61">
        <f>IF(E78="","",IFERROR(VLOOKUP(E78,areaNomiBreviSquadre,7,FALSE),""))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IF($J78+$L78=0,,IF($J78&lt;$L78,IF($J78&amp;"-"&amp;$L78=MID(constPunteggioForfait,FIND("-",constPunteggioForfait)+1,LEN(constPunteggioForfait))&amp;"-"&amp;LEFT(constPunteggioForfait,FIND("-",constPunteggioForfait)-1),1,0),0))</f>
        <v/>
      </c>
      <c r="P78" s="67">
        <f>IF($J78+$L78=0,,IF($J78&lt;$L78,IF($J78&amp;"-"&amp;$L78&lt;&gt;MID(constPunteggioForfait,FIND("-",constPunteggioForfait)+1,LEN(constPunteggioForfait))&amp;"-"&amp;LEFT(constPunteggioForfait,FIND("-",constPunteggioForfait)-1),1,0),0))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IF($J78+$L78=0,,IF($L78&lt;$J78,IF($J78&amp;"-"&amp;$L78=constPunteggioForfait,1,0),0))</f>
        <v/>
      </c>
      <c r="W78" s="67">
        <f>IF($J78+$L78=0,,IF($L78&lt;$J78,IF($J78&amp;"-"&amp;$L78&lt;&gt;constPunteggioForfait,1,0),0))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IF(I79="","",HYPERLINK(VLOOKUP(I79,areaCampiSquadre,3,FALSE),VLOOKUP(I79,areaCampiSquadre,2,FALSE)))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116" t="inlineStr">
        <is>
          <t>Gara N.</t>
        </is>
      </c>
      <c r="B80" s="116" t="inlineStr">
        <is>
          <t>Squadra A</t>
        </is>
      </c>
      <c r="C80" s="10" t="n"/>
      <c r="D80" s="116" t="inlineStr">
        <is>
          <t>Squadra B</t>
        </is>
      </c>
      <c r="E80" s="10" t="n"/>
      <c r="F80" s="116" t="inlineStr">
        <is>
          <t>Giorno</t>
        </is>
      </c>
      <c r="G80" s="116" t="inlineStr">
        <is>
          <t>Data</t>
        </is>
      </c>
      <c r="H80" s="116" t="inlineStr">
        <is>
          <t>Ora</t>
        </is>
      </c>
      <c r="I80" s="10" t="n"/>
      <c r="J80" s="116" t="inlineStr">
        <is>
          <t>Risultato</t>
        </is>
      </c>
      <c r="K80" s="9" t="n"/>
      <c r="L80" s="10" t="n"/>
    </row>
    <row r="81" ht="24" customHeight="1">
      <c r="A81" s="118">
        <f>MAX(A$10:A80)+1</f>
        <v/>
      </c>
      <c r="B81" s="61">
        <f>IF(C81="","",IFERROR(VLOOKUP(C81,areaNomiBreviSquadre,7,FALSE),""))</f>
        <v/>
      </c>
      <c r="C81" s="62" t="n"/>
      <c r="D81" s="61">
        <f>IF(E81="","",IFERROR(VLOOKUP(E81,areaNomiBreviSquadre,7,FALSE),""))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IF($J81+$L81=0,,IF($J81&lt;$L81,IF($J81&amp;"-"&amp;$L81=MID(constPunteggioForfait,FIND("-",constPunteggioForfait)+1,LEN(constPunteggioForfait))&amp;"-"&amp;LEFT(constPunteggioForfait,FIND("-",constPunteggioForfait)-1),1,0),0))</f>
        <v/>
      </c>
      <c r="P81" s="67">
        <f>IF($J81+$L81=0,,IF($J81&lt;$L81,IF($J81&amp;"-"&amp;$L81&lt;&gt;MID(constPunteggioForfait,FIND("-",constPunteggioForfait)+1,LEN(constPunteggioForfait))&amp;"-"&amp;LEFT(constPunteggioForfait,FIND("-",constPunteggioForfait)-1),1,0),0))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IF($J81+$L81=0,,IF($L81&lt;$J81,IF($J81&amp;"-"&amp;$L81=constPunteggioForfait,1,0),0))</f>
        <v/>
      </c>
      <c r="W81" s="67">
        <f>IF($J81+$L81=0,,IF($L81&lt;$J81,IF($J81&amp;"-"&amp;$L81&lt;&gt;constPunteggioForfait,1,0),0))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IF(I82="","",HYPERLINK(VLOOKUP(I82,areaCampiSquadre,3,FALSE),VLOOKUP(I82,areaCampiSquadre,2,FALSE)))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116" t="inlineStr">
        <is>
          <t>Gara N.</t>
        </is>
      </c>
      <c r="B83" s="116" t="inlineStr">
        <is>
          <t>Squadra A</t>
        </is>
      </c>
      <c r="C83" s="10" t="n"/>
      <c r="D83" s="116" t="inlineStr">
        <is>
          <t>Squadra B</t>
        </is>
      </c>
      <c r="E83" s="10" t="n"/>
      <c r="F83" s="116" t="inlineStr">
        <is>
          <t>Giorno</t>
        </is>
      </c>
      <c r="G83" s="116" t="inlineStr">
        <is>
          <t>Data</t>
        </is>
      </c>
      <c r="H83" s="116" t="inlineStr">
        <is>
          <t>Ora</t>
        </is>
      </c>
      <c r="I83" s="10" t="n"/>
      <c r="J83" s="116" t="inlineStr">
        <is>
          <t>Risultato</t>
        </is>
      </c>
      <c r="K83" s="9" t="n"/>
      <c r="L83" s="10" t="n"/>
    </row>
    <row r="84" ht="24" customHeight="1">
      <c r="A84" s="118">
        <f>MAX(A$10:A83)+1</f>
        <v/>
      </c>
      <c r="B84" s="61">
        <f>IF(C84="","",IFERROR(VLOOKUP(C84,areaNomiBreviSquadre,7,FALSE),""))</f>
        <v/>
      </c>
      <c r="C84" s="62" t="n"/>
      <c r="D84" s="61">
        <f>IF(E84="","",IFERROR(VLOOKUP(E84,areaNomiBreviSquadre,7,FALSE),""))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IF($J84+$L84=0,,IF($J84&lt;$L84,IF($J84&amp;"-"&amp;$L84=MID(constPunteggioForfait,FIND("-",constPunteggioForfait)+1,LEN(constPunteggioForfait))&amp;"-"&amp;LEFT(constPunteggioForfait,FIND("-",constPunteggioForfait)-1),1,0),0))</f>
        <v/>
      </c>
      <c r="P84" s="67">
        <f>IF($J84+$L84=0,,IF($J84&lt;$L84,IF($J84&amp;"-"&amp;$L84&lt;&gt;MID(constPunteggioForfait,FIND("-",constPunteggioForfait)+1,LEN(constPunteggioForfait))&amp;"-"&amp;LEFT(constPunteggioForfait,FIND("-",constPunteggioForfait)-1),1,0),0))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IF($J84+$L84=0,,IF($L84&lt;$J84,IF($J84&amp;"-"&amp;$L84=constPunteggioForfait,1,0),0))</f>
        <v/>
      </c>
      <c r="W84" s="67">
        <f>IF($J84+$L84=0,,IF($L84&lt;$J84,IF($J84&amp;"-"&amp;$L84&lt;&gt;constPunteggioForfait,1,0),0))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IF(I85="","",HYPERLINK(VLOOKUP(I85,areaCampiSquadre,3,FALSE),VLOOKUP(I85,areaCampiSquadre,2,FALSE)))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116" t="inlineStr">
        <is>
          <t>Gara N.</t>
        </is>
      </c>
      <c r="B86" s="116" t="inlineStr">
        <is>
          <t>Squadra A</t>
        </is>
      </c>
      <c r="C86" s="10" t="n"/>
      <c r="D86" s="116" t="inlineStr">
        <is>
          <t>Squadra B</t>
        </is>
      </c>
      <c r="E86" s="10" t="n"/>
      <c r="F86" s="116" t="inlineStr">
        <is>
          <t>Giorno</t>
        </is>
      </c>
      <c r="G86" s="116" t="inlineStr">
        <is>
          <t>Data</t>
        </is>
      </c>
      <c r="H86" s="116" t="inlineStr">
        <is>
          <t>Ora</t>
        </is>
      </c>
      <c r="I86" s="10" t="n"/>
      <c r="J86" s="116" t="inlineStr">
        <is>
          <t>Risultato</t>
        </is>
      </c>
      <c r="K86" s="9" t="n"/>
      <c r="L86" s="10" t="n"/>
    </row>
    <row r="87" ht="24" customHeight="1">
      <c r="A87" s="118">
        <f>MAX(A$10:A86)+1</f>
        <v/>
      </c>
      <c r="B87" s="61">
        <f>IF(C87="","",IFERROR(VLOOKUP(C87,areaNomiBreviSquadre,7,FALSE),""))</f>
        <v/>
      </c>
      <c r="C87" s="62" t="n"/>
      <c r="D87" s="61">
        <f>IF(E87="","",IFERROR(VLOOKUP(E87,areaNomiBreviSquadre,7,FALSE),""))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IF($J87+$L87=0,,IF($J87&lt;$L87,IF($J87&amp;"-"&amp;$L87=MID(constPunteggioForfait,FIND("-",constPunteggioForfait)+1,LEN(constPunteggioForfait))&amp;"-"&amp;LEFT(constPunteggioForfait,FIND("-",constPunteggioForfait)-1),1,0),0))</f>
        <v/>
      </c>
      <c r="P87" s="67">
        <f>IF($J87+$L87=0,,IF($J87&lt;$L87,IF($J87&amp;"-"&amp;$L87&lt;&gt;MID(constPunteggioForfait,FIND("-",constPunteggioForfait)+1,LEN(constPunteggioForfait))&amp;"-"&amp;LEFT(constPunteggioForfait,FIND("-",constPunteggioForfait)-1),1,0),0))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IF($J87+$L87=0,,IF($L87&lt;$J87,IF($J87&amp;"-"&amp;$L87=constPunteggioForfait,1,0),0))</f>
        <v/>
      </c>
      <c r="W87" s="67">
        <f>IF($J87+$L87=0,,IF($L87&lt;$J87,IF($J87&amp;"-"&amp;$L87&lt;&gt;constPunteggioForfait,1,0),0))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IF(I88="","",HYPERLINK(VLOOKUP(I88,areaCampiSquadre,3,FALSE),VLOOKUP(I88,areaCampiSquadre,2,FALSE)))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116" t="inlineStr">
        <is>
          <t>Gara N.</t>
        </is>
      </c>
      <c r="B89" s="116" t="inlineStr">
        <is>
          <t>Squadra A</t>
        </is>
      </c>
      <c r="C89" s="10" t="n"/>
      <c r="D89" s="116" t="inlineStr">
        <is>
          <t>Squadra B</t>
        </is>
      </c>
      <c r="E89" s="10" t="n"/>
      <c r="F89" s="116" t="inlineStr">
        <is>
          <t>Giorno</t>
        </is>
      </c>
      <c r="G89" s="116" t="inlineStr">
        <is>
          <t>Data</t>
        </is>
      </c>
      <c r="H89" s="116" t="inlineStr">
        <is>
          <t>Ora</t>
        </is>
      </c>
      <c r="I89" s="10" t="n"/>
      <c r="J89" s="116" t="inlineStr">
        <is>
          <t>Risultato</t>
        </is>
      </c>
      <c r="K89" s="9" t="n"/>
      <c r="L89" s="10" t="n"/>
    </row>
    <row r="90" ht="24" customHeight="1">
      <c r="A90" s="118">
        <f>MAX(A$10:A89)+1</f>
        <v/>
      </c>
      <c r="B90" s="61">
        <f>IF(C90="","",IFERROR(VLOOKUP(C90,areaNomiBreviSquadre,7,FALSE),""))</f>
        <v/>
      </c>
      <c r="C90" s="62" t="n"/>
      <c r="D90" s="61">
        <f>IF(E90="","",IFERROR(VLOOKUP(E90,areaNomiBreviSquadre,7,FALSE),""))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IF($J90+$L90=0,,IF($J90&lt;$L90,IF($J90&amp;"-"&amp;$L90=MID(constPunteggioForfait,FIND("-",constPunteggioForfait)+1,LEN(constPunteggioForfait))&amp;"-"&amp;LEFT(constPunteggioForfait,FIND("-",constPunteggioForfait)-1),1,0),0))</f>
        <v/>
      </c>
      <c r="P90" s="67">
        <f>IF($J90+$L90=0,,IF($J90&lt;$L90,IF($J90&amp;"-"&amp;$L90&lt;&gt;MID(constPunteggioForfait,FIND("-",constPunteggioForfait)+1,LEN(constPunteggioForfait))&amp;"-"&amp;LEFT(constPunteggioForfait,FIND("-",constPunteggioForfait)-1),1,0),0))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IF($J90+$L90=0,,IF($L90&lt;$J90,IF($J90&amp;"-"&amp;$L90=constPunteggioForfait,1,0),0))</f>
        <v/>
      </c>
      <c r="W90" s="67">
        <f>IF($J90+$L90=0,,IF($L90&lt;$J90,IF($J90&amp;"-"&amp;$L90&lt;&gt;constPunteggioForfait,1,0),0))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IF(I91="","",HYPERLINK(VLOOKUP(I91,areaCampiSquadre,3,FALSE),VLOOKUP(I91,areaCampiSquadre,2,FALSE)))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113" t="inlineStr">
        <is>
          <t>6H</t>
        </is>
      </c>
      <c r="B93" s="114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116" t="inlineStr">
        <is>
          <t>Gara N.</t>
        </is>
      </c>
      <c r="B94" s="116" t="inlineStr">
        <is>
          <t>Squadra A</t>
        </is>
      </c>
      <c r="C94" s="10" t="n"/>
      <c r="D94" s="116" t="inlineStr">
        <is>
          <t>Squadra B</t>
        </is>
      </c>
      <c r="E94" s="10" t="n"/>
      <c r="F94" s="116" t="inlineStr">
        <is>
          <t>Giorno</t>
        </is>
      </c>
      <c r="G94" s="116" t="inlineStr">
        <is>
          <t>Data</t>
        </is>
      </c>
      <c r="H94" s="116" t="inlineStr">
        <is>
          <t>Ora</t>
        </is>
      </c>
      <c r="I94" s="10" t="n"/>
      <c r="J94" s="116" t="inlineStr">
        <is>
          <t>Risultato</t>
        </is>
      </c>
      <c r="K94" s="9" t="n"/>
      <c r="L94" s="10" t="n"/>
    </row>
    <row r="95" ht="24" customHeight="1">
      <c r="A95" s="118">
        <f>MAX(A$10:A94)+1</f>
        <v/>
      </c>
      <c r="B95" s="61">
        <f>IF(C95="","",IFERROR(VLOOKUP(C95,areaNomiBreviSquadre,7,FALSE),""))</f>
        <v/>
      </c>
      <c r="C95" s="62" t="n"/>
      <c r="D95" s="61">
        <f>IF(E95="","",IFERROR(VLOOKUP(E95,areaNomiBreviSquadre,7,FALSE),""))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116" t="inlineStr">
        <is>
          <t>Gara N.</t>
        </is>
      </c>
      <c r="B97" s="116" t="inlineStr">
        <is>
          <t>Squadra A</t>
        </is>
      </c>
      <c r="C97" s="10" t="n"/>
      <c r="D97" s="116" t="inlineStr">
        <is>
          <t>Squadra B</t>
        </is>
      </c>
      <c r="E97" s="10" t="n"/>
      <c r="F97" s="116" t="inlineStr">
        <is>
          <t>Giorno</t>
        </is>
      </c>
      <c r="G97" s="116" t="inlineStr">
        <is>
          <t>Data</t>
        </is>
      </c>
      <c r="H97" s="116" t="inlineStr">
        <is>
          <t>Ora</t>
        </is>
      </c>
      <c r="I97" s="10" t="n"/>
      <c r="J97" s="116" t="inlineStr">
        <is>
          <t>Risultato</t>
        </is>
      </c>
      <c r="K97" s="9" t="n"/>
      <c r="L97" s="10" t="n"/>
    </row>
    <row r="98" ht="24" customHeight="1">
      <c r="A98" s="118">
        <f>MAX(A$10:A97)+1</f>
        <v/>
      </c>
      <c r="B98" s="61">
        <f>IF(C98="","",IFERROR(VLOOKUP(C98,areaNomiBreviSquadre,7,FALSE),""))</f>
        <v/>
      </c>
      <c r="C98" s="62" t="n"/>
      <c r="D98" s="61">
        <f>IF(E98="","",IFERROR(VLOOKUP(E98,areaNomiBreviSquadre,7,FALSE),""))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116" t="inlineStr">
        <is>
          <t>Gara N.</t>
        </is>
      </c>
      <c r="B100" s="116" t="inlineStr">
        <is>
          <t>Squadra A</t>
        </is>
      </c>
      <c r="C100" s="10" t="n"/>
      <c r="D100" s="116" t="inlineStr">
        <is>
          <t>Squadra B</t>
        </is>
      </c>
      <c r="E100" s="10" t="n"/>
      <c r="F100" s="116" t="inlineStr">
        <is>
          <t>Giorno</t>
        </is>
      </c>
      <c r="G100" s="116" t="inlineStr">
        <is>
          <t>Data</t>
        </is>
      </c>
      <c r="H100" s="116" t="inlineStr">
        <is>
          <t>Ora</t>
        </is>
      </c>
      <c r="I100" s="10" t="n"/>
      <c r="J100" s="116" t="inlineStr">
        <is>
          <t>Risultato</t>
        </is>
      </c>
      <c r="K100" s="9" t="n"/>
      <c r="L100" s="10" t="n"/>
    </row>
    <row r="101" ht="24" customHeight="1">
      <c r="A101" s="118">
        <f>MAX(A$10:A100)+1</f>
        <v/>
      </c>
      <c r="B101" s="61">
        <f>IF(C101="","",IFERROR(VLOOKUP(C101,areaNomiBreviSquadre,7,FALSE),""))</f>
        <v/>
      </c>
      <c r="C101" s="62" t="n"/>
      <c r="D101" s="61">
        <f>IF(E101="","",IFERROR(VLOOKUP(E101,areaNomiBreviSquadre,7,FALSE),""))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116" t="inlineStr">
        <is>
          <t>Gara N.</t>
        </is>
      </c>
      <c r="B103" s="116" t="inlineStr">
        <is>
          <t>Squadra A</t>
        </is>
      </c>
      <c r="C103" s="10" t="n"/>
      <c r="D103" s="116" t="inlineStr">
        <is>
          <t>Squadra B</t>
        </is>
      </c>
      <c r="E103" s="10" t="n"/>
      <c r="F103" s="116" t="inlineStr">
        <is>
          <t>Giorno</t>
        </is>
      </c>
      <c r="G103" s="116" t="inlineStr">
        <is>
          <t>Data</t>
        </is>
      </c>
      <c r="H103" s="116" t="inlineStr">
        <is>
          <t>Ora</t>
        </is>
      </c>
      <c r="I103" s="10" t="n"/>
      <c r="J103" s="116" t="inlineStr">
        <is>
          <t>Risultato</t>
        </is>
      </c>
      <c r="K103" s="9" t="n"/>
      <c r="L103" s="10" t="n"/>
    </row>
    <row r="104" ht="24" customHeight="1">
      <c r="A104" s="118">
        <f>MAX(A$10:A103)+1</f>
        <v/>
      </c>
      <c r="B104" s="61">
        <f>IF(C104="","",IFERROR(VLOOKUP(C104,areaNomiBreviSquadre,7,FALSE),""))</f>
        <v/>
      </c>
      <c r="C104" s="62" t="n"/>
      <c r="D104" s="61">
        <f>IF(E104="","",IFERROR(VLOOKUP(E104,areaNomiBreviSquadre,7,FALSE),""))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IF($J104+$L104=0,,IF($J104&lt;$L104,IF($J104&amp;"-"&amp;$L104=MID(constPunteggioForfait,FIND("-",constPunteggioForfait)+1,LEN(constPunteggioForfait))&amp;"-"&amp;LEFT(constPunteggioForfait,FIND("-",constPunteggioForfait)-1),1,0),0))</f>
        <v/>
      </c>
      <c r="P104" s="67">
        <f>IF($J104+$L104=0,,IF($J104&lt;$L104,IF($J104&amp;"-"&amp;$L104&lt;&gt;MID(constPunteggioForfait,FIND("-",constPunteggioForfait)+1,LEN(constPunteggioForfait))&amp;"-"&amp;LEFT(constPunteggioForfait,FIND("-",constPunteggioForfait)-1),1,0),0))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IF($J104+$L104=0,,IF($L104&lt;$J104,IF($J104&amp;"-"&amp;$L104=constPunteggioForfait,1,0),0))</f>
        <v/>
      </c>
      <c r="W104" s="67">
        <f>IF($J104+$L104=0,,IF($L104&lt;$J104,IF($J104&amp;"-"&amp;$L104&lt;&gt;constPunteggioForfait,1,0),0))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IF(I105="","",HYPERLINK(VLOOKUP(I105,areaCampiSquadre,3,FALSE),VLOOKUP(I105,areaCampiSquadre,2,FALSE)))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116" t="inlineStr">
        <is>
          <t>Gara N.</t>
        </is>
      </c>
      <c r="B106" s="116" t="inlineStr">
        <is>
          <t>Squadra A</t>
        </is>
      </c>
      <c r="C106" s="10" t="n"/>
      <c r="D106" s="116" t="inlineStr">
        <is>
          <t>Squadra B</t>
        </is>
      </c>
      <c r="E106" s="10" t="n"/>
      <c r="F106" s="116" t="inlineStr">
        <is>
          <t>Giorno</t>
        </is>
      </c>
      <c r="G106" s="116" t="inlineStr">
        <is>
          <t>Data</t>
        </is>
      </c>
      <c r="H106" s="116" t="inlineStr">
        <is>
          <t>Ora</t>
        </is>
      </c>
      <c r="I106" s="10" t="n"/>
      <c r="J106" s="116" t="inlineStr">
        <is>
          <t>Risultato</t>
        </is>
      </c>
      <c r="K106" s="9" t="n"/>
      <c r="L106" s="10" t="n"/>
    </row>
    <row r="107" ht="24" customHeight="1">
      <c r="A107" s="118">
        <f>MAX(A$10:A106)+1</f>
        <v/>
      </c>
      <c r="B107" s="61">
        <f>IF(C107="","",IFERROR(VLOOKUP(C107,areaNomiBreviSquadre,7,FALSE),""))</f>
        <v/>
      </c>
      <c r="C107" s="62" t="n"/>
      <c r="D107" s="61">
        <f>IF(E107="","",IFERROR(VLOOKUP(E107,areaNomiBreviSquadre,7,FALSE),""))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IF($J107+$L107=0,,IF($J107&lt;$L107,IF($J107&amp;"-"&amp;$L107=MID(constPunteggioForfait,FIND("-",constPunteggioForfait)+1,LEN(constPunteggioForfait))&amp;"-"&amp;LEFT(constPunteggioForfait,FIND("-",constPunteggioForfait)-1),1,0),0))</f>
        <v/>
      </c>
      <c r="P107" s="67">
        <f>IF($J107+$L107=0,,IF($J107&lt;$L107,IF($J107&amp;"-"&amp;$L107&lt;&gt;MID(constPunteggioForfait,FIND("-",constPunteggioForfait)+1,LEN(constPunteggioForfait))&amp;"-"&amp;LEFT(constPunteggioForfait,FIND("-",constPunteggioForfait)-1),1,0),0))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IF($J107+$L107=0,,IF($L107&lt;$J107,IF($J107&amp;"-"&amp;$L107=constPunteggioForfait,1,0),0))</f>
        <v/>
      </c>
      <c r="W107" s="67">
        <f>IF($J107+$L107=0,,IF($L107&lt;$J107,IF($J107&amp;"-"&amp;$L107&lt;&gt;constPunteggioForfait,1,0),0))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IF(I108="","",HYPERLINK(VLOOKUP(I108,areaCampiSquadre,3,FALSE),VLOOKUP(I108,areaCampiSquadre,2,FALSE)))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113" t="inlineStr">
        <is>
          <t>7H</t>
        </is>
      </c>
      <c r="B110" s="114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116" t="inlineStr">
        <is>
          <t>Gara N.</t>
        </is>
      </c>
      <c r="B111" s="116" t="inlineStr">
        <is>
          <t>Squadra A</t>
        </is>
      </c>
      <c r="C111" s="10" t="n"/>
      <c r="D111" s="116" t="inlineStr">
        <is>
          <t>Squadra B</t>
        </is>
      </c>
      <c r="E111" s="10" t="n"/>
      <c r="F111" s="116" t="inlineStr">
        <is>
          <t>Giorno</t>
        </is>
      </c>
      <c r="G111" s="116" t="inlineStr">
        <is>
          <t>Data</t>
        </is>
      </c>
      <c r="H111" s="116" t="inlineStr">
        <is>
          <t>Ora</t>
        </is>
      </c>
      <c r="I111" s="10" t="n"/>
      <c r="J111" s="116" t="inlineStr">
        <is>
          <t>Risultato</t>
        </is>
      </c>
      <c r="K111" s="9" t="n"/>
      <c r="L111" s="10" t="n"/>
    </row>
    <row r="112" ht="24" customHeight="1">
      <c r="A112" s="118">
        <f>MAX(A$10:A111)+1</f>
        <v/>
      </c>
      <c r="B112" s="61">
        <f>IF(C112="","",IFERROR(VLOOKUP(C112,areaNomiBreviSquadre,7,FALSE),""))</f>
        <v/>
      </c>
      <c r="C112" s="62" t="n"/>
      <c r="D112" s="61">
        <f>IF(E112="","",IFERROR(VLOOKUP(E112,areaNomiBreviSquadre,7,FALSE),""))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116" t="inlineStr">
        <is>
          <t>Gara N.</t>
        </is>
      </c>
      <c r="B114" s="116" t="inlineStr">
        <is>
          <t>Squadra A</t>
        </is>
      </c>
      <c r="C114" s="10" t="n"/>
      <c r="D114" s="116" t="inlineStr">
        <is>
          <t>Squadra B</t>
        </is>
      </c>
      <c r="E114" s="10" t="n"/>
      <c r="F114" s="116" t="inlineStr">
        <is>
          <t>Giorno</t>
        </is>
      </c>
      <c r="G114" s="116" t="inlineStr">
        <is>
          <t>Data</t>
        </is>
      </c>
      <c r="H114" s="116" t="inlineStr">
        <is>
          <t>Ora</t>
        </is>
      </c>
      <c r="I114" s="10" t="n"/>
      <c r="J114" s="116" t="inlineStr">
        <is>
          <t>Risultato</t>
        </is>
      </c>
      <c r="K114" s="9" t="n"/>
      <c r="L114" s="10" t="n"/>
    </row>
    <row r="115" ht="24" customHeight="1">
      <c r="A115" s="118">
        <f>MAX(A$10:A114)+1</f>
        <v/>
      </c>
      <c r="B115" s="61">
        <f>IF(C115="","",IFERROR(VLOOKUP(C115,areaNomiBreviSquadre,7,FALSE),""))</f>
        <v/>
      </c>
      <c r="C115" s="62" t="n"/>
      <c r="D115" s="61">
        <f>IF(E115="","",IFERROR(VLOOKUP(E115,areaNomiBreviSquadre,7,FALSE),""))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116" t="inlineStr">
        <is>
          <t>Gara N.</t>
        </is>
      </c>
      <c r="B117" s="116" t="inlineStr">
        <is>
          <t>Squadra A</t>
        </is>
      </c>
      <c r="C117" s="10" t="n"/>
      <c r="D117" s="116" t="inlineStr">
        <is>
          <t>Squadra B</t>
        </is>
      </c>
      <c r="E117" s="10" t="n"/>
      <c r="F117" s="116" t="inlineStr">
        <is>
          <t>Giorno</t>
        </is>
      </c>
      <c r="G117" s="116" t="inlineStr">
        <is>
          <t>Data</t>
        </is>
      </c>
      <c r="H117" s="116" t="inlineStr">
        <is>
          <t>Ora</t>
        </is>
      </c>
      <c r="I117" s="10" t="n"/>
      <c r="J117" s="116" t="inlineStr">
        <is>
          <t>Risultato</t>
        </is>
      </c>
      <c r="K117" s="9" t="n"/>
      <c r="L117" s="10" t="n"/>
    </row>
    <row r="118" ht="24" customHeight="1">
      <c r="A118" s="118">
        <f>MAX(A$10:A117)+1</f>
        <v/>
      </c>
      <c r="B118" s="61">
        <f>IF(C118="","",IFERROR(VLOOKUP(C118,areaNomiBreviSquadre,7,FALSE),""))</f>
        <v/>
      </c>
      <c r="C118" s="62" t="n"/>
      <c r="D118" s="61">
        <f>IF(E118="","",IFERROR(VLOOKUP(E118,areaNomiBreviSquadre,7,FALSE),""))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116" t="inlineStr">
        <is>
          <t>Gara N.</t>
        </is>
      </c>
      <c r="B120" s="116" t="inlineStr">
        <is>
          <t>Squadra A</t>
        </is>
      </c>
      <c r="C120" s="10" t="n"/>
      <c r="D120" s="116" t="inlineStr">
        <is>
          <t>Squadra B</t>
        </is>
      </c>
      <c r="E120" s="10" t="n"/>
      <c r="F120" s="116" t="inlineStr">
        <is>
          <t>Giorno</t>
        </is>
      </c>
      <c r="G120" s="116" t="inlineStr">
        <is>
          <t>Data</t>
        </is>
      </c>
      <c r="H120" s="116" t="inlineStr">
        <is>
          <t>Ora</t>
        </is>
      </c>
      <c r="I120" s="10" t="n"/>
      <c r="J120" s="116" t="inlineStr">
        <is>
          <t>Risultato</t>
        </is>
      </c>
      <c r="K120" s="9" t="n"/>
      <c r="L120" s="10" t="n"/>
    </row>
    <row r="121" ht="24" customHeight="1">
      <c r="A121" s="118">
        <f>MAX(A$10:A120)+1</f>
        <v/>
      </c>
      <c r="B121" s="61">
        <f>IF(C121="","",IFERROR(VLOOKUP(C121,areaNomiBreviSquadre,7,FALSE),""))</f>
        <v/>
      </c>
      <c r="C121" s="62" t="n"/>
      <c r="D121" s="61">
        <f>IF(E121="","",IFERROR(VLOOKUP(E121,areaNomiBreviSquadre,7,FALSE),""))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116" t="inlineStr">
        <is>
          <t>Gara N.</t>
        </is>
      </c>
      <c r="B123" s="116" t="inlineStr">
        <is>
          <t>Squadra A</t>
        </is>
      </c>
      <c r="C123" s="10" t="n"/>
      <c r="D123" s="116" t="inlineStr">
        <is>
          <t>Squadra B</t>
        </is>
      </c>
      <c r="E123" s="10" t="n"/>
      <c r="F123" s="116" t="inlineStr">
        <is>
          <t>Giorno</t>
        </is>
      </c>
      <c r="G123" s="116" t="inlineStr">
        <is>
          <t>Data</t>
        </is>
      </c>
      <c r="H123" s="116" t="inlineStr">
        <is>
          <t>Ora</t>
        </is>
      </c>
      <c r="I123" s="10" t="n"/>
      <c r="J123" s="116" t="inlineStr">
        <is>
          <t>Risultato</t>
        </is>
      </c>
      <c r="K123" s="9" t="n"/>
      <c r="L123" s="10" t="n"/>
    </row>
    <row r="124" ht="24" customHeight="1">
      <c r="A124" s="118">
        <f>MAX(A$10:A123)+1</f>
        <v/>
      </c>
      <c r="B124" s="61">
        <f>IF(C124="","",IFERROR(VLOOKUP(C124,areaNomiBreviSquadre,7,FALSE),""))</f>
        <v/>
      </c>
      <c r="C124" s="62" t="n"/>
      <c r="D124" s="61">
        <f>IF(E124="","",IFERROR(VLOOKUP(E124,areaNomiBreviSquadre,7,FALSE),""))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113" t="inlineStr">
        <is>
          <t>8H</t>
        </is>
      </c>
      <c r="B127" s="114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116" t="inlineStr">
        <is>
          <t>Gara N.</t>
        </is>
      </c>
      <c r="B128" s="116" t="inlineStr">
        <is>
          <t>Squadra A</t>
        </is>
      </c>
      <c r="C128" s="10" t="n"/>
      <c r="D128" s="116" t="inlineStr">
        <is>
          <t>Squadra B</t>
        </is>
      </c>
      <c r="E128" s="10" t="n"/>
      <c r="F128" s="116" t="inlineStr">
        <is>
          <t>Giorno</t>
        </is>
      </c>
      <c r="G128" s="116" t="inlineStr">
        <is>
          <t>Data</t>
        </is>
      </c>
      <c r="H128" s="116" t="inlineStr">
        <is>
          <t>Ora</t>
        </is>
      </c>
      <c r="I128" s="10" t="n"/>
      <c r="J128" s="116" t="inlineStr">
        <is>
          <t>Risultato</t>
        </is>
      </c>
      <c r="K128" s="9" t="n"/>
      <c r="L128" s="10" t="n"/>
    </row>
    <row r="129" ht="24" customHeight="1">
      <c r="A129" s="118">
        <f>MAX(A$10:A128)+1</f>
        <v/>
      </c>
      <c r="B129" s="61">
        <f>IF(C129="","",IFERROR(VLOOKUP(C129,areaNomiBreviSquadre,7,FALSE),""))</f>
        <v/>
      </c>
      <c r="C129" s="62" t="n"/>
      <c r="D129" s="61">
        <f>IF(E129="","",IFERROR(VLOOKUP(E129,areaNomiBreviSquadre,7,FALSE),""))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IF($J129+$L129=0,,IF($J129&lt;$L129,IF($J129&amp;"-"&amp;$L129=MID(constPunteggioForfait,FIND("-",constPunteggioForfait)+1,LEN(constPunteggioForfait))&amp;"-"&amp;LEFT(constPunteggioForfait,FIND("-",constPunteggioForfait)-1),1,0),0))</f>
        <v/>
      </c>
      <c r="P129" s="67">
        <f>IF($J129+$L129=0,,IF($J129&lt;$L129,IF($J129&amp;"-"&amp;$L129&lt;&gt;MID(constPunteggioForfait,FIND("-",constPunteggioForfait)+1,LEN(constPunteggioForfait))&amp;"-"&amp;LEFT(constPunteggioForfait,FIND("-",constPunteggioForfait)-1),1,0),0))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IF($J129+$L129=0,,IF($L129&lt;$J129,IF($J129&amp;"-"&amp;$L129=constPunteggioForfait,1,0),0))</f>
        <v/>
      </c>
      <c r="W129" s="67">
        <f>IF($J129+$L129=0,,IF($L129&lt;$J129,IF($J129&amp;"-"&amp;$L129&lt;&gt;constPunteggioForfait,1,0),0))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IF(I130="","",HYPERLINK(VLOOKUP(I130,areaCampiSquadre,3,FALSE),VLOOKUP(I130,areaCampiSquadre,2,FALSE)))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116" t="inlineStr">
        <is>
          <t>Gara N.</t>
        </is>
      </c>
      <c r="B131" s="116" t="inlineStr">
        <is>
          <t>Squadra A</t>
        </is>
      </c>
      <c r="C131" s="10" t="n"/>
      <c r="D131" s="116" t="inlineStr">
        <is>
          <t>Squadra B</t>
        </is>
      </c>
      <c r="E131" s="10" t="n"/>
      <c r="F131" s="116" t="inlineStr">
        <is>
          <t>Giorno</t>
        </is>
      </c>
      <c r="G131" s="116" t="inlineStr">
        <is>
          <t>Data</t>
        </is>
      </c>
      <c r="H131" s="116" t="inlineStr">
        <is>
          <t>Ora</t>
        </is>
      </c>
      <c r="I131" s="10" t="n"/>
      <c r="J131" s="116" t="inlineStr">
        <is>
          <t>Risultato</t>
        </is>
      </c>
      <c r="K131" s="9" t="n"/>
      <c r="L131" s="10" t="n"/>
    </row>
    <row r="132" ht="24" customHeight="1">
      <c r="A132" s="118">
        <f>MAX(A$10:A131)+1</f>
        <v/>
      </c>
      <c r="B132" s="61">
        <f>IF(C132="","",IFERROR(VLOOKUP(C132,areaNomiBreviSquadre,7,FALSE),""))</f>
        <v/>
      </c>
      <c r="C132" s="62" t="n"/>
      <c r="D132" s="61">
        <f>IF(E132="","",IFERROR(VLOOKUP(E132,areaNomiBreviSquadre,7,FALSE),""))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IF($J132+$L132=0,,IF($J132&lt;$L132,IF($J132&amp;"-"&amp;$L132=MID(constPunteggioForfait,FIND("-",constPunteggioForfait)+1,LEN(constPunteggioForfait))&amp;"-"&amp;LEFT(constPunteggioForfait,FIND("-",constPunteggioForfait)-1),1,0),0))</f>
        <v/>
      </c>
      <c r="P132" s="67">
        <f>IF($J132+$L132=0,,IF($J132&lt;$L132,IF($J132&amp;"-"&amp;$L132&lt;&gt;MID(constPunteggioForfait,FIND("-",constPunteggioForfait)+1,LEN(constPunteggioForfait))&amp;"-"&amp;LEFT(constPunteggioForfait,FIND("-",constPunteggioForfait)-1),1,0),0))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IF($J132+$L132=0,,IF($L132&lt;$J132,IF($J132&amp;"-"&amp;$L132=constPunteggioForfait,1,0),0))</f>
        <v/>
      </c>
      <c r="W132" s="67">
        <f>IF($J132+$L132=0,,IF($L132&lt;$J132,IF($J132&amp;"-"&amp;$L132&lt;&gt;constPunteggioForfait,1,0),0))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IF(I133="","",HYPERLINK(VLOOKUP(I133,areaCampiSquadre,3,FALSE),VLOOKUP(I133,areaCampiSquadre,2,FALSE)))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116" t="inlineStr">
        <is>
          <t>Gara N.</t>
        </is>
      </c>
      <c r="B134" s="116" t="inlineStr">
        <is>
          <t>Squadra A</t>
        </is>
      </c>
      <c r="C134" s="10" t="n"/>
      <c r="D134" s="116" t="inlineStr">
        <is>
          <t>Squadra B</t>
        </is>
      </c>
      <c r="E134" s="10" t="n"/>
      <c r="F134" s="116" t="inlineStr">
        <is>
          <t>Giorno</t>
        </is>
      </c>
      <c r="G134" s="116" t="inlineStr">
        <is>
          <t>Data</t>
        </is>
      </c>
      <c r="H134" s="116" t="inlineStr">
        <is>
          <t>Ora</t>
        </is>
      </c>
      <c r="I134" s="10" t="n"/>
      <c r="J134" s="116" t="inlineStr">
        <is>
          <t>Risultato</t>
        </is>
      </c>
      <c r="K134" s="9" t="n"/>
      <c r="L134" s="10" t="n"/>
    </row>
    <row r="135" ht="24" customHeight="1">
      <c r="A135" s="118">
        <f>MAX(A$10:A134)+1</f>
        <v/>
      </c>
      <c r="B135" s="61">
        <f>IF(C135="","",IFERROR(VLOOKUP(C135,areaNomiBreviSquadre,7,FALSE),""))</f>
        <v/>
      </c>
      <c r="C135" s="62" t="n"/>
      <c r="D135" s="61">
        <f>IF(E135="","",IFERROR(VLOOKUP(E135,areaNomiBreviSquadre,7,FALSE),""))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IF($J135+$L135=0,,IF($J135&lt;$L135,IF($J135&amp;"-"&amp;$L135=MID(constPunteggioForfait,FIND("-",constPunteggioForfait)+1,LEN(constPunteggioForfait))&amp;"-"&amp;LEFT(constPunteggioForfait,FIND("-",constPunteggioForfait)-1),1,0),0))</f>
        <v/>
      </c>
      <c r="P135" s="67">
        <f>IF($J135+$L135=0,,IF($J135&lt;$L135,IF($J135&amp;"-"&amp;$L135&lt;&gt;MID(constPunteggioForfait,FIND("-",constPunteggioForfait)+1,LEN(constPunteggioForfait))&amp;"-"&amp;LEFT(constPunteggioForfait,FIND("-",constPunteggioForfait)-1),1,0),0))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IF($J135+$L135=0,,IF($L135&lt;$J135,IF($J135&amp;"-"&amp;$L135=constPunteggioForfait,1,0),0))</f>
        <v/>
      </c>
      <c r="W135" s="67">
        <f>IF($J135+$L135=0,,IF($L135&lt;$J135,IF($J135&amp;"-"&amp;$L135&lt;&gt;constPunteggioForfait,1,0),0))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IF(I136="","",HYPERLINK(VLOOKUP(I136,areaCampiSquadre,3,FALSE),VLOOKUP(I136,areaCampiSquadre,2,FALSE)))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116" t="inlineStr">
        <is>
          <t>Gara N.</t>
        </is>
      </c>
      <c r="B137" s="116" t="inlineStr">
        <is>
          <t>Squadra A</t>
        </is>
      </c>
      <c r="C137" s="10" t="n"/>
      <c r="D137" s="116" t="inlineStr">
        <is>
          <t>Squadra B</t>
        </is>
      </c>
      <c r="E137" s="10" t="n"/>
      <c r="F137" s="116" t="inlineStr">
        <is>
          <t>Giorno</t>
        </is>
      </c>
      <c r="G137" s="116" t="inlineStr">
        <is>
          <t>Data</t>
        </is>
      </c>
      <c r="H137" s="116" t="inlineStr">
        <is>
          <t>Ora</t>
        </is>
      </c>
      <c r="I137" s="10" t="n"/>
      <c r="J137" s="116" t="inlineStr">
        <is>
          <t>Risultato</t>
        </is>
      </c>
      <c r="K137" s="9" t="n"/>
      <c r="L137" s="10" t="n"/>
    </row>
    <row r="138" ht="24" customHeight="1">
      <c r="A138" s="118">
        <f>MAX(A$10:A137)+1</f>
        <v/>
      </c>
      <c r="B138" s="61">
        <f>IF(C138="","",IFERROR(VLOOKUP(C138,areaNomiBreviSquadre,7,FALSE),""))</f>
        <v/>
      </c>
      <c r="C138" s="62" t="n"/>
      <c r="D138" s="61">
        <f>IF(E138="","",IFERROR(VLOOKUP(E138,areaNomiBreviSquadre,7,FALSE),""))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116" t="inlineStr">
        <is>
          <t>Gara N.</t>
        </is>
      </c>
      <c r="B140" s="116" t="inlineStr">
        <is>
          <t>Squadra A</t>
        </is>
      </c>
      <c r="C140" s="10" t="n"/>
      <c r="D140" s="116" t="inlineStr">
        <is>
          <t>Squadra B</t>
        </is>
      </c>
      <c r="E140" s="10" t="n"/>
      <c r="F140" s="116" t="inlineStr">
        <is>
          <t>Giorno</t>
        </is>
      </c>
      <c r="G140" s="116" t="inlineStr">
        <is>
          <t>Data</t>
        </is>
      </c>
      <c r="H140" s="116" t="inlineStr">
        <is>
          <t>Ora</t>
        </is>
      </c>
      <c r="I140" s="10" t="n"/>
      <c r="J140" s="116" t="inlineStr">
        <is>
          <t>Risultato</t>
        </is>
      </c>
      <c r="K140" s="9" t="n"/>
      <c r="L140" s="10" t="n"/>
    </row>
    <row r="141" ht="24" customHeight="1">
      <c r="A141" s="118">
        <f>MAX(A$10:A140)+1</f>
        <v/>
      </c>
      <c r="B141" s="61">
        <f>IF(C141="","",IFERROR(VLOOKUP(C141,areaNomiBreviSquadre,7,FALSE),""))</f>
        <v/>
      </c>
      <c r="C141" s="62" t="n"/>
      <c r="D141" s="61">
        <f>IF(E141="","",IFERROR(VLOOKUP(E141,areaNomiBreviSquadre,7,FALSE),""))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113" t="inlineStr">
        <is>
          <t>9H</t>
        </is>
      </c>
      <c r="B144" s="114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116" t="inlineStr">
        <is>
          <t>Gara N.</t>
        </is>
      </c>
      <c r="B145" s="116" t="inlineStr">
        <is>
          <t>Squadra A</t>
        </is>
      </c>
      <c r="C145" s="10" t="n"/>
      <c r="D145" s="116" t="inlineStr">
        <is>
          <t>Squadra B</t>
        </is>
      </c>
      <c r="E145" s="10" t="n"/>
      <c r="F145" s="116" t="inlineStr">
        <is>
          <t>Giorno</t>
        </is>
      </c>
      <c r="G145" s="116" t="inlineStr">
        <is>
          <t>Data</t>
        </is>
      </c>
      <c r="H145" s="116" t="inlineStr">
        <is>
          <t>Ora</t>
        </is>
      </c>
      <c r="I145" s="10" t="n"/>
      <c r="J145" s="116" t="inlineStr">
        <is>
          <t>Risultato</t>
        </is>
      </c>
      <c r="K145" s="9" t="n"/>
      <c r="L145" s="10" t="n"/>
    </row>
    <row r="146" ht="24" customHeight="1">
      <c r="A146" s="118">
        <f>MAX(A$10:A145)+1</f>
        <v/>
      </c>
      <c r="B146" s="61">
        <f>IF(C146="","",IFERROR(VLOOKUP(C146,areaNomiBreviSquadre,7,FALSE),""))</f>
        <v/>
      </c>
      <c r="C146" s="62" t="n"/>
      <c r="D146" s="61">
        <f>IF(E146="","",IFERROR(VLOOKUP(E146,areaNomiBreviSquadre,7,FALSE),""))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IF($J146+$L146=0,,IF($J146&lt;$L146,IF($J146&amp;"-"&amp;$L146=MID(constPunteggioForfait,FIND("-",constPunteggioForfait)+1,LEN(constPunteggioForfait))&amp;"-"&amp;LEFT(constPunteggioForfait,FIND("-",constPunteggioForfait)-1),1,0),0))</f>
        <v/>
      </c>
      <c r="P146" s="67">
        <f>IF($J146+$L146=0,,IF($J146&lt;$L146,IF($J146&amp;"-"&amp;$L146&lt;&gt;MID(constPunteggioForfait,FIND("-",constPunteggioForfait)+1,LEN(constPunteggioForfait))&amp;"-"&amp;LEFT(constPunteggioForfait,FIND("-",constPunteggioForfait)-1),1,0),0))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IF($J146+$L146=0,,IF($L146&lt;$J146,IF($J146&amp;"-"&amp;$L146=constPunteggioForfait,1,0),0))</f>
        <v/>
      </c>
      <c r="W146" s="67">
        <f>IF($J146+$L146=0,,IF($L146&lt;$J146,IF($J146&amp;"-"&amp;$L146&lt;&gt;constPunteggioForfait,1,0),0))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IF(I147="","",HYPERLINK(VLOOKUP(I147,areaCampiSquadre,3,FALSE),VLOOKUP(I147,areaCampiSquadre,2,FALSE)))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116" t="inlineStr">
        <is>
          <t>Gara N.</t>
        </is>
      </c>
      <c r="B148" s="116" t="inlineStr">
        <is>
          <t>Squadra A</t>
        </is>
      </c>
      <c r="C148" s="10" t="n"/>
      <c r="D148" s="116" t="inlineStr">
        <is>
          <t>Squadra B</t>
        </is>
      </c>
      <c r="E148" s="10" t="n"/>
      <c r="F148" s="116" t="inlineStr">
        <is>
          <t>Giorno</t>
        </is>
      </c>
      <c r="G148" s="116" t="inlineStr">
        <is>
          <t>Data</t>
        </is>
      </c>
      <c r="H148" s="116" t="inlineStr">
        <is>
          <t>Ora</t>
        </is>
      </c>
      <c r="I148" s="10" t="n"/>
      <c r="J148" s="116" t="inlineStr">
        <is>
          <t>Risultato</t>
        </is>
      </c>
      <c r="K148" s="9" t="n"/>
      <c r="L148" s="10" t="n"/>
    </row>
    <row r="149" ht="24" customHeight="1">
      <c r="A149" s="118">
        <f>MAX(A$10:A148)+1</f>
        <v/>
      </c>
      <c r="B149" s="61">
        <f>IF(C149="","",IFERROR(VLOOKUP(C149,areaNomiBreviSquadre,7,FALSE),""))</f>
        <v/>
      </c>
      <c r="C149" s="62" t="n"/>
      <c r="D149" s="61">
        <f>IF(E149="","",IFERROR(VLOOKUP(E149,areaNomiBreviSquadre,7,FALSE),""))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IF($J149+$L149=0,,IF($J149&lt;$L149,IF($J149&amp;"-"&amp;$L149=MID(constPunteggioForfait,FIND("-",constPunteggioForfait)+1,LEN(constPunteggioForfait))&amp;"-"&amp;LEFT(constPunteggioForfait,FIND("-",constPunteggioForfait)-1),1,0),0))</f>
        <v/>
      </c>
      <c r="P149" s="67">
        <f>IF($J149+$L149=0,,IF($J149&lt;$L149,IF($J149&amp;"-"&amp;$L149&lt;&gt;MID(constPunteggioForfait,FIND("-",constPunteggioForfait)+1,LEN(constPunteggioForfait))&amp;"-"&amp;LEFT(constPunteggioForfait,FIND("-",constPunteggioForfait)-1),1,0),0))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IF($J149+$L149=0,,IF($L149&lt;$J149,IF($J149&amp;"-"&amp;$L149=constPunteggioForfait,1,0),0))</f>
        <v/>
      </c>
      <c r="W149" s="67">
        <f>IF($J149+$L149=0,,IF($L149&lt;$J149,IF($J149&amp;"-"&amp;$L149&lt;&gt;constPunteggioForfait,1,0),0))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IF(I150="","",HYPERLINK(VLOOKUP(I150,areaCampiSquadre,3,FALSE),VLOOKUP(I150,areaCampiSquadre,2,FALSE)))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116" t="inlineStr">
        <is>
          <t>Gara N.</t>
        </is>
      </c>
      <c r="B151" s="116" t="inlineStr">
        <is>
          <t>Squadra A</t>
        </is>
      </c>
      <c r="C151" s="10" t="n"/>
      <c r="D151" s="116" t="inlineStr">
        <is>
          <t>Squadra B</t>
        </is>
      </c>
      <c r="E151" s="10" t="n"/>
      <c r="F151" s="116" t="inlineStr">
        <is>
          <t>Giorno</t>
        </is>
      </c>
      <c r="G151" s="116" t="inlineStr">
        <is>
          <t>Data</t>
        </is>
      </c>
      <c r="H151" s="116" t="inlineStr">
        <is>
          <t>Ora</t>
        </is>
      </c>
      <c r="I151" s="10" t="n"/>
      <c r="J151" s="116" t="inlineStr">
        <is>
          <t>Risultato</t>
        </is>
      </c>
      <c r="K151" s="9" t="n"/>
      <c r="L151" s="10" t="n"/>
    </row>
    <row r="152" ht="24" customHeight="1">
      <c r="A152" s="118">
        <f>MAX(A$10:A151)+1</f>
        <v/>
      </c>
      <c r="B152" s="61">
        <f>IF(C152="","",IFERROR(VLOOKUP(C152,areaNomiBreviSquadre,7,FALSE),""))</f>
        <v/>
      </c>
      <c r="C152" s="62" t="n"/>
      <c r="D152" s="61">
        <f>IF(E152="","",IFERROR(VLOOKUP(E152,areaNomiBreviSquadre,7,FALSE),""))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IF($J152+$L152=0,,IF($J152&lt;$L152,IF($J152&amp;"-"&amp;$L152=MID(constPunteggioForfait,FIND("-",constPunteggioForfait)+1,LEN(constPunteggioForfait))&amp;"-"&amp;LEFT(constPunteggioForfait,FIND("-",constPunteggioForfait)-1),1,0),0))</f>
        <v/>
      </c>
      <c r="P152" s="67">
        <f>IF($J152+$L152=0,,IF($J152&lt;$L152,IF($J152&amp;"-"&amp;$L152&lt;&gt;MID(constPunteggioForfait,FIND("-",constPunteggioForfait)+1,LEN(constPunteggioForfait))&amp;"-"&amp;LEFT(constPunteggioForfait,FIND("-",constPunteggioForfait)-1),1,0),0))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IF($J152+$L152=0,,IF($L152&lt;$J152,IF($J152&amp;"-"&amp;$L152=constPunteggioForfait,1,0),0))</f>
        <v/>
      </c>
      <c r="W152" s="67">
        <f>IF($J152+$L152=0,,IF($L152&lt;$J152,IF($J152&amp;"-"&amp;$L152&lt;&gt;constPunteggioForfait,1,0),0))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IF(I153="","",HYPERLINK(VLOOKUP(I153,areaCampiSquadre,3,FALSE),VLOOKUP(I153,areaCampiSquadre,2,FALSE)))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116" t="inlineStr">
        <is>
          <t>Gara N.</t>
        </is>
      </c>
      <c r="B154" s="116" t="inlineStr">
        <is>
          <t>Squadra A</t>
        </is>
      </c>
      <c r="C154" s="10" t="n"/>
      <c r="D154" s="116" t="inlineStr">
        <is>
          <t>Squadra B</t>
        </is>
      </c>
      <c r="E154" s="10" t="n"/>
      <c r="F154" s="116" t="inlineStr">
        <is>
          <t>Giorno</t>
        </is>
      </c>
      <c r="G154" s="116" t="inlineStr">
        <is>
          <t>Data</t>
        </is>
      </c>
      <c r="H154" s="116" t="inlineStr">
        <is>
          <t>Ora</t>
        </is>
      </c>
      <c r="I154" s="10" t="n"/>
      <c r="J154" s="116" t="inlineStr">
        <is>
          <t>Risultato</t>
        </is>
      </c>
      <c r="K154" s="9" t="n"/>
      <c r="L154" s="10" t="n"/>
    </row>
    <row r="155" ht="24" customHeight="1">
      <c r="A155" s="118">
        <f>MAX(A$10:A154)+1</f>
        <v/>
      </c>
      <c r="B155" s="61">
        <f>IF(C155="","",IFERROR(VLOOKUP(C155,areaNomiBreviSquadre,7,FALSE),""))</f>
        <v/>
      </c>
      <c r="C155" s="62" t="n"/>
      <c r="D155" s="61">
        <f>IF(E155="","",IFERROR(VLOOKUP(E155,areaNomiBreviSquadre,7,FALSE),""))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IF($J155+$L155=0,,IF($J155&lt;$L155,IF($J155&amp;"-"&amp;$L155=MID(constPunteggioForfait,FIND("-",constPunteggioForfait)+1,LEN(constPunteggioForfait))&amp;"-"&amp;LEFT(constPunteggioForfait,FIND("-",constPunteggioForfait)-1),1,0),0))</f>
        <v/>
      </c>
      <c r="P155" s="67">
        <f>IF($J155+$L155=0,,IF($J155&lt;$L155,IF($J155&amp;"-"&amp;$L155&lt;&gt;MID(constPunteggioForfait,FIND("-",constPunteggioForfait)+1,LEN(constPunteggioForfait))&amp;"-"&amp;LEFT(constPunteggioForfait,FIND("-",constPunteggioForfait)-1),1,0),0))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IF($J155+$L155=0,,IF($L155&lt;$J155,IF($J155&amp;"-"&amp;$L155=constPunteggioForfait,1,0),0))</f>
        <v/>
      </c>
      <c r="W155" s="67">
        <f>IF($J155+$L155=0,,IF($L155&lt;$J155,IF($J155&amp;"-"&amp;$L155&lt;&gt;constPunteggioForfait,1,0),0))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IF(I156="","",HYPERLINK(VLOOKUP(I156,areaCampiSquadre,3,FALSE),VLOOKUP(I156,areaCampiSquadre,2,FALSE)))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116" t="inlineStr">
        <is>
          <t>Gara N.</t>
        </is>
      </c>
      <c r="B157" s="116" t="inlineStr">
        <is>
          <t>Squadra A</t>
        </is>
      </c>
      <c r="C157" s="10" t="n"/>
      <c r="D157" s="116" t="inlineStr">
        <is>
          <t>Squadra B</t>
        </is>
      </c>
      <c r="E157" s="10" t="n"/>
      <c r="F157" s="116" t="inlineStr">
        <is>
          <t>Giorno</t>
        </is>
      </c>
      <c r="G157" s="116" t="inlineStr">
        <is>
          <t>Data</t>
        </is>
      </c>
      <c r="H157" s="116" t="inlineStr">
        <is>
          <t>Ora</t>
        </is>
      </c>
      <c r="I157" s="10" t="n"/>
      <c r="J157" s="116" t="inlineStr">
        <is>
          <t>Risultato</t>
        </is>
      </c>
      <c r="K157" s="9" t="n"/>
      <c r="L157" s="10" t="n"/>
    </row>
    <row r="158" ht="24" customHeight="1">
      <c r="A158" s="118">
        <f>MAX(A$10:A157)+1</f>
        <v/>
      </c>
      <c r="B158" s="61">
        <f>IF(C158="","",IFERROR(VLOOKUP(C158,areaNomiBreviSquadre,7,FALSE),""))</f>
        <v/>
      </c>
      <c r="C158" s="62" t="n"/>
      <c r="D158" s="61">
        <f>IF(E158="","",IFERROR(VLOOKUP(E158,areaNomiBreviSquadre,7,FALSE),""))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IF($J158+$L158=0,,IF($J158&lt;$L158,IF($J158&amp;"-"&amp;$L158=MID(constPunteggioForfait,FIND("-",constPunteggioForfait)+1,LEN(constPunteggioForfait))&amp;"-"&amp;LEFT(constPunteggioForfait,FIND("-",constPunteggioForfait)-1),1,0),0))</f>
        <v/>
      </c>
      <c r="P158" s="67">
        <f>IF($J158+$L158=0,,IF($J158&lt;$L158,IF($J158&amp;"-"&amp;$L158&lt;&gt;MID(constPunteggioForfait,FIND("-",constPunteggioForfait)+1,LEN(constPunteggioForfait))&amp;"-"&amp;LEFT(constPunteggioForfait,FIND("-",constPunteggioForfait)-1),1,0),0))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IF($J158+$L158=0,,IF($L158&lt;$J158,IF($J158&amp;"-"&amp;$L158=constPunteggioForfait,1,0),0))</f>
        <v/>
      </c>
      <c r="W158" s="67">
        <f>IF($J158+$L158=0,,IF($L158&lt;$J158,IF($J158&amp;"-"&amp;$L158&lt;&gt;constPunteggioForfait,1,0),0))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IF(I159="","",HYPERLINK(VLOOKUP(I159,areaCampiSquadre,3,FALSE),VLOOKUP(I159,areaCampiSquadre,2,FALSE)))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tabColor rgb="FF6D7A86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 t="str">
        <f>IFERROR(IMAGE(constLogo1),"")</f>
        <v/>
      </c>
      <c r="I1" t="str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119">
        <f>"GIRONE "&amp;UPPER($O$3)&amp;" - Stagione "&amp;constStagionaCampionato</f>
        <v/>
      </c>
      <c r="M3" t="str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120" t="inlineStr">
        <is>
          <t>1I</t>
        </is>
      </c>
      <c r="B8" s="121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23" t="inlineStr">
        <is>
          <t>Gara N.</t>
        </is>
      </c>
      <c r="B9" s="123" t="inlineStr">
        <is>
          <t>Squadra A</t>
        </is>
      </c>
      <c r="C9" s="10" t="n"/>
      <c r="D9" s="123" t="inlineStr">
        <is>
          <t>Squadra B</t>
        </is>
      </c>
      <c r="E9" s="10" t="n"/>
      <c r="F9" s="123" t="inlineStr">
        <is>
          <t>Giorno</t>
        </is>
      </c>
      <c r="G9" s="123" t="inlineStr">
        <is>
          <t>Data</t>
        </is>
      </c>
      <c r="H9" s="123" t="inlineStr">
        <is>
          <t>Ora</t>
        </is>
      </c>
      <c r="I9" s="10" t="n"/>
      <c r="J9" s="123" t="inlineStr">
        <is>
          <t>Risultato</t>
        </is>
      </c>
      <c r="K9" s="9" t="n"/>
      <c r="L9" s="10" t="n"/>
    </row>
    <row r="10" ht="24" customHeight="1">
      <c r="A10" s="125" t="n">
        <v>361</v>
      </c>
      <c r="B10" s="61">
        <f>IF(C10="","",IFERROR(VLOOKUP(C10,areaNomiBreviSquadre,7,FALSE),""))</f>
        <v/>
      </c>
      <c r="C10" s="62" t="n"/>
      <c r="D10" s="61">
        <f>IF(E10="","",IFERROR(VLOOKUP(E10,areaNomiBreviSquadre,7,FALSE),""))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123" t="inlineStr">
        <is>
          <t>Gara N.</t>
        </is>
      </c>
      <c r="B12" s="123" t="inlineStr">
        <is>
          <t>Squadra A</t>
        </is>
      </c>
      <c r="C12" s="10" t="n"/>
      <c r="D12" s="123" t="inlineStr">
        <is>
          <t>Squadra B</t>
        </is>
      </c>
      <c r="E12" s="10" t="n"/>
      <c r="F12" s="123" t="inlineStr">
        <is>
          <t>Giorno</t>
        </is>
      </c>
      <c r="G12" s="123" t="inlineStr">
        <is>
          <t>Data</t>
        </is>
      </c>
      <c r="H12" s="123" t="inlineStr">
        <is>
          <t>Ora</t>
        </is>
      </c>
      <c r="I12" s="10" t="n"/>
      <c r="J12" s="123" t="inlineStr">
        <is>
          <t>Risultato</t>
        </is>
      </c>
      <c r="K12" s="9" t="n"/>
      <c r="L12" s="10" t="n"/>
    </row>
    <row r="13" ht="24" customHeight="1">
      <c r="A13" s="125">
        <f>MAX(A$10:A12)+1</f>
        <v/>
      </c>
      <c r="B13" s="61">
        <f>IF(C13="","",IFERROR(VLOOKUP(C13,areaNomiBreviSquadre,7,FALSE),""))</f>
        <v/>
      </c>
      <c r="C13" s="62" t="n"/>
      <c r="D13" s="61">
        <f>IF(E13="","",IFERROR(VLOOKUP(E13,areaNomiBreviSquadre,7,FALSE),""))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123" t="inlineStr">
        <is>
          <t>Gara N.</t>
        </is>
      </c>
      <c r="B15" s="123" t="inlineStr">
        <is>
          <t>Squadra A</t>
        </is>
      </c>
      <c r="C15" s="10" t="n"/>
      <c r="D15" s="123" t="inlineStr">
        <is>
          <t>Squadra B</t>
        </is>
      </c>
      <c r="E15" s="10" t="n"/>
      <c r="F15" s="123" t="inlineStr">
        <is>
          <t>Giorno</t>
        </is>
      </c>
      <c r="G15" s="123" t="inlineStr">
        <is>
          <t>Data</t>
        </is>
      </c>
      <c r="H15" s="123" t="inlineStr">
        <is>
          <t>Ora</t>
        </is>
      </c>
      <c r="I15" s="10" t="n"/>
      <c r="J15" s="123" t="inlineStr">
        <is>
          <t>Risultato</t>
        </is>
      </c>
      <c r="K15" s="9" t="n"/>
      <c r="L15" s="10" t="n"/>
    </row>
    <row r="16" ht="24" customHeight="1">
      <c r="A16" s="125">
        <f>MAX(A$10:A15)+1</f>
        <v/>
      </c>
      <c r="B16" s="61">
        <f>IF(C16="","",IFERROR(VLOOKUP(C16,areaNomiBreviSquadre,7,FALSE),""))</f>
        <v/>
      </c>
      <c r="C16" s="62" t="n"/>
      <c r="D16" s="61">
        <f>IF(E16="","",IFERROR(VLOOKUP(E16,areaNomiBreviSquadre,7,FALSE),""))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123" t="inlineStr">
        <is>
          <t>Gara N.</t>
        </is>
      </c>
      <c r="B18" s="123" t="inlineStr">
        <is>
          <t>Squadra A</t>
        </is>
      </c>
      <c r="C18" s="10" t="n"/>
      <c r="D18" s="123" t="inlineStr">
        <is>
          <t>Squadra B</t>
        </is>
      </c>
      <c r="E18" s="10" t="n"/>
      <c r="F18" s="123" t="inlineStr">
        <is>
          <t>Giorno</t>
        </is>
      </c>
      <c r="G18" s="123" t="inlineStr">
        <is>
          <t>Data</t>
        </is>
      </c>
      <c r="H18" s="123" t="inlineStr">
        <is>
          <t>Ora</t>
        </is>
      </c>
      <c r="I18" s="10" t="n"/>
      <c r="J18" s="123" t="inlineStr">
        <is>
          <t>Risultato</t>
        </is>
      </c>
      <c r="K18" s="9" t="n"/>
      <c r="L18" s="10" t="n"/>
    </row>
    <row r="19" ht="24" customHeight="1">
      <c r="A19" s="125">
        <f>MAX(A$10:A18)+1</f>
        <v/>
      </c>
      <c r="B19" s="61">
        <f>IF(C19="","",IFERROR(VLOOKUP(C19,areaNomiBreviSquadre,7,FALSE),""))</f>
        <v/>
      </c>
      <c r="C19" s="62" t="n"/>
      <c r="D19" s="61">
        <f>IF(E19="","",IFERROR(VLOOKUP(E19,areaNomiBreviSquadre,7,FALSE),""))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123" t="inlineStr">
        <is>
          <t>Gara N.</t>
        </is>
      </c>
      <c r="B21" s="123" t="inlineStr">
        <is>
          <t>Squadra A</t>
        </is>
      </c>
      <c r="C21" s="10" t="n"/>
      <c r="D21" s="123" t="inlineStr">
        <is>
          <t>Squadra B</t>
        </is>
      </c>
      <c r="E21" s="10" t="n"/>
      <c r="F21" s="123" t="inlineStr">
        <is>
          <t>Giorno</t>
        </is>
      </c>
      <c r="G21" s="123" t="inlineStr">
        <is>
          <t>Data</t>
        </is>
      </c>
      <c r="H21" s="123" t="inlineStr">
        <is>
          <t>Ora</t>
        </is>
      </c>
      <c r="I21" s="10" t="n"/>
      <c r="J21" s="123" t="inlineStr">
        <is>
          <t>Risultato</t>
        </is>
      </c>
      <c r="K21" s="9" t="n"/>
      <c r="L21" s="10" t="n"/>
    </row>
    <row r="22" ht="24" customHeight="1">
      <c r="A22" s="125">
        <f>MAX(A$10:A21)+1</f>
        <v/>
      </c>
      <c r="B22" s="61">
        <f>IF(C22="","",IFERROR(VLOOKUP(C22,areaNomiBreviSquadre,7,FALSE),""))</f>
        <v/>
      </c>
      <c r="C22" s="62" t="n"/>
      <c r="D22" s="61">
        <f>IF(E22="","",IFERROR(VLOOKUP(E22,areaNomiBreviSquadre,7,FALSE),""))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120" t="inlineStr">
        <is>
          <t>2I</t>
        </is>
      </c>
      <c r="B25" s="121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123" t="inlineStr">
        <is>
          <t>Gara N.</t>
        </is>
      </c>
      <c r="B26" s="123" t="inlineStr">
        <is>
          <t>Squadra A</t>
        </is>
      </c>
      <c r="C26" s="10" t="n"/>
      <c r="D26" s="123" t="inlineStr">
        <is>
          <t>Squadra B</t>
        </is>
      </c>
      <c r="E26" s="10" t="n"/>
      <c r="F26" s="123" t="inlineStr">
        <is>
          <t>Giorno</t>
        </is>
      </c>
      <c r="G26" s="123" t="inlineStr">
        <is>
          <t>Data</t>
        </is>
      </c>
      <c r="H26" s="123" t="inlineStr">
        <is>
          <t>Ora</t>
        </is>
      </c>
      <c r="I26" s="10" t="n"/>
      <c r="J26" s="123" t="inlineStr">
        <is>
          <t>Risultato</t>
        </is>
      </c>
      <c r="K26" s="9" t="n"/>
      <c r="L26" s="10" t="n"/>
    </row>
    <row r="27" ht="24" customHeight="1">
      <c r="A27" s="125">
        <f>MAX(A$10:A26)+1</f>
        <v/>
      </c>
      <c r="B27" s="61">
        <f>IF(C27="","",IFERROR(VLOOKUP(C27,areaNomiBreviSquadre,7,FALSE),""))</f>
        <v/>
      </c>
      <c r="C27" s="62" t="n"/>
      <c r="D27" s="61">
        <f>IF(E27="","",IFERROR(VLOOKUP(E27,areaNomiBreviSquadre,7,FALSE),""))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IF($J27+$L27=0,,IF($J27&lt;$L27,IF($J27&amp;"-"&amp;$L27=MID(constPunteggioForfait,FIND("-",constPunteggioForfait)+1,LEN(constPunteggioForfait))&amp;"-"&amp;LEFT(constPunteggioForfait,FIND("-",constPunteggioForfait)-1),1,0),0))</f>
        <v/>
      </c>
      <c r="P27" s="67">
        <f>IF($J27+$L27=0,,IF($J27&lt;$L27,IF($J27&amp;"-"&amp;$L27&lt;&gt;MID(constPunteggioForfait,FIND("-",constPunteggioForfait)+1,LEN(constPunteggioForfait))&amp;"-"&amp;LEFT(constPunteggioForfait,FIND("-",constPunteggioForfait)-1),1,0),0))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IF($J27+$L27=0,,IF($L27&lt;$J27,IF($J27&amp;"-"&amp;$L27=constPunteggioForfait,1,0),0))</f>
        <v/>
      </c>
      <c r="W27" s="67">
        <f>IF($J27+$L27=0,,IF($L27&lt;$J27,IF($J27&amp;"-"&amp;$L27&lt;&gt;constPunteggioForfait,1,0),0))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IF(I28="","",HYPERLINK(VLOOKUP(I28,areaCampiSquadre,3,FALSE),VLOOKUP(I28,areaCampiSquadre,2,FALSE)))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123" t="inlineStr">
        <is>
          <t>Gara N.</t>
        </is>
      </c>
      <c r="B29" s="123" t="inlineStr">
        <is>
          <t>Squadra A</t>
        </is>
      </c>
      <c r="C29" s="10" t="n"/>
      <c r="D29" s="123" t="inlineStr">
        <is>
          <t>Squadra B</t>
        </is>
      </c>
      <c r="E29" s="10" t="n"/>
      <c r="F29" s="123" t="inlineStr">
        <is>
          <t>Giorno</t>
        </is>
      </c>
      <c r="G29" s="123" t="inlineStr">
        <is>
          <t>Data</t>
        </is>
      </c>
      <c r="H29" s="123" t="inlineStr">
        <is>
          <t>Ora</t>
        </is>
      </c>
      <c r="I29" s="10" t="n"/>
      <c r="J29" s="123" t="inlineStr">
        <is>
          <t>Risultato</t>
        </is>
      </c>
      <c r="K29" s="9" t="n"/>
      <c r="L29" s="10" t="n"/>
    </row>
    <row r="30" ht="24" customHeight="1">
      <c r="A30" s="125">
        <f>MAX(A$10:A29)+1</f>
        <v/>
      </c>
      <c r="B30" s="61">
        <f>IF(C30="","",IFERROR(VLOOKUP(C30,areaNomiBreviSquadre,7,FALSE),""))</f>
        <v/>
      </c>
      <c r="C30" s="62" t="n"/>
      <c r="D30" s="61">
        <f>IF(E30="","",IFERROR(VLOOKUP(E30,areaNomiBreviSquadre,7,FALSE),""))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IF($J30+$L30=0,,IF($J30&lt;$L30,IF($J30&amp;"-"&amp;$L30=MID(constPunteggioForfait,FIND("-",constPunteggioForfait)+1,LEN(constPunteggioForfait))&amp;"-"&amp;LEFT(constPunteggioForfait,FIND("-",constPunteggioForfait)-1),1,0),0))</f>
        <v/>
      </c>
      <c r="P30" s="67">
        <f>IF($J30+$L30=0,,IF($J30&lt;$L30,IF($J30&amp;"-"&amp;$L30&lt;&gt;MID(constPunteggioForfait,FIND("-",constPunteggioForfait)+1,LEN(constPunteggioForfait))&amp;"-"&amp;LEFT(constPunteggioForfait,FIND("-",constPunteggioForfait)-1),1,0),0))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IF($J30+$L30=0,,IF($L30&lt;$J30,IF($J30&amp;"-"&amp;$L30=constPunteggioForfait,1,0),0))</f>
        <v/>
      </c>
      <c r="W30" s="67">
        <f>IF($J30+$L30=0,,IF($L30&lt;$J30,IF($J30&amp;"-"&amp;$L30&lt;&gt;constPunteggioForfait,1,0),0))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IF(I31="","",HYPERLINK(VLOOKUP(I31,areaCampiSquadre,3,FALSE),VLOOKUP(I31,areaCampiSquadre,2,FALSE)))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123" t="inlineStr">
        <is>
          <t>Gara N.</t>
        </is>
      </c>
      <c r="B32" s="123" t="inlineStr">
        <is>
          <t>Squadra A</t>
        </is>
      </c>
      <c r="C32" s="10" t="n"/>
      <c r="D32" s="123" t="inlineStr">
        <is>
          <t>Squadra B</t>
        </is>
      </c>
      <c r="E32" s="10" t="n"/>
      <c r="F32" s="123" t="inlineStr">
        <is>
          <t>Giorno</t>
        </is>
      </c>
      <c r="G32" s="123" t="inlineStr">
        <is>
          <t>Data</t>
        </is>
      </c>
      <c r="H32" s="123" t="inlineStr">
        <is>
          <t>Ora</t>
        </is>
      </c>
      <c r="I32" s="10" t="n"/>
      <c r="J32" s="123" t="inlineStr">
        <is>
          <t>Risultato</t>
        </is>
      </c>
      <c r="K32" s="9" t="n"/>
      <c r="L32" s="10" t="n"/>
    </row>
    <row r="33" ht="24" customHeight="1">
      <c r="A33" s="125">
        <f>MAX(A$10:A32)+1</f>
        <v/>
      </c>
      <c r="B33" s="61">
        <f>IF(C33="","",IFERROR(VLOOKUP(C33,areaNomiBreviSquadre,7,FALSE),""))</f>
        <v/>
      </c>
      <c r="C33" s="62" t="n"/>
      <c r="D33" s="61">
        <f>IF(E33="","",IFERROR(VLOOKUP(E33,areaNomiBreviSquadre,7,FALSE),""))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IF($J33+$L33=0,,IF($J33&lt;$L33,IF($J33&amp;"-"&amp;$L33=MID(constPunteggioForfait,FIND("-",constPunteggioForfait)+1,LEN(constPunteggioForfait))&amp;"-"&amp;LEFT(constPunteggioForfait,FIND("-",constPunteggioForfait)-1),1,0),0))</f>
        <v/>
      </c>
      <c r="P33" s="67">
        <f>IF($J33+$L33=0,,IF($J33&lt;$L33,IF($J33&amp;"-"&amp;$L33&lt;&gt;MID(constPunteggioForfait,FIND("-",constPunteggioForfait)+1,LEN(constPunteggioForfait))&amp;"-"&amp;LEFT(constPunteggioForfait,FIND("-",constPunteggioForfait)-1),1,0),0))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IF($J33+$L33=0,,IF($L33&lt;$J33,IF($J33&amp;"-"&amp;$L33=constPunteggioForfait,1,0),0))</f>
        <v/>
      </c>
      <c r="W33" s="67">
        <f>IF($J33+$L33=0,,IF($L33&lt;$J33,IF($J33&amp;"-"&amp;$L33&lt;&gt;constPunteggioForfait,1,0),0))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IF(I34="","",HYPERLINK(VLOOKUP(I34,areaCampiSquadre,3,FALSE),VLOOKUP(I34,areaCampiSquadre,2,FALSE)))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123" t="inlineStr">
        <is>
          <t>Gara N.</t>
        </is>
      </c>
      <c r="B35" s="123" t="inlineStr">
        <is>
          <t>Squadra A</t>
        </is>
      </c>
      <c r="C35" s="10" t="n"/>
      <c r="D35" s="123" t="inlineStr">
        <is>
          <t>Squadra B</t>
        </is>
      </c>
      <c r="E35" s="10" t="n"/>
      <c r="F35" s="123" t="inlineStr">
        <is>
          <t>Giorno</t>
        </is>
      </c>
      <c r="G35" s="123" t="inlineStr">
        <is>
          <t>Data</t>
        </is>
      </c>
      <c r="H35" s="123" t="inlineStr">
        <is>
          <t>Ora</t>
        </is>
      </c>
      <c r="I35" s="10" t="n"/>
      <c r="J35" s="123" t="inlineStr">
        <is>
          <t>Risultato</t>
        </is>
      </c>
      <c r="K35" s="9" t="n"/>
      <c r="L35" s="10" t="n"/>
    </row>
    <row r="36" ht="24" customHeight="1">
      <c r="A36" s="125">
        <f>MAX(A$10:A35)+1</f>
        <v/>
      </c>
      <c r="B36" s="61">
        <f>IF(C36="","",IFERROR(VLOOKUP(C36,areaNomiBreviSquadre,7,FALSE),""))</f>
        <v/>
      </c>
      <c r="C36" s="62" t="n"/>
      <c r="D36" s="61">
        <f>IF(E36="","",IFERROR(VLOOKUP(E36,areaNomiBreviSquadre,7,FALSE),""))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IF($J36+$L36=0,,IF($J36&lt;$L36,IF($J36&amp;"-"&amp;$L36=MID(constPunteggioForfait,FIND("-",constPunteggioForfait)+1,LEN(constPunteggioForfait))&amp;"-"&amp;LEFT(constPunteggioForfait,FIND("-",constPunteggioForfait)-1),1,0),0))</f>
        <v/>
      </c>
      <c r="P36" s="67">
        <f>IF($J36+$L36=0,,IF($J36&lt;$L36,IF($J36&amp;"-"&amp;$L36&lt;&gt;MID(constPunteggioForfait,FIND("-",constPunteggioForfait)+1,LEN(constPunteggioForfait))&amp;"-"&amp;LEFT(constPunteggioForfait,FIND("-",constPunteggioForfait)-1),1,0),0))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IF($J36+$L36=0,,IF($L36&lt;$J36,IF($J36&amp;"-"&amp;$L36=constPunteggioForfait,1,0),0))</f>
        <v/>
      </c>
      <c r="W36" s="67">
        <f>IF($J36+$L36=0,,IF($L36&lt;$J36,IF($J36&amp;"-"&amp;$L36&lt;&gt;constPunteggioForfait,1,0),0))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IF(I37="","",HYPERLINK(VLOOKUP(I37,areaCampiSquadre,3,FALSE),VLOOKUP(I37,areaCampiSquadre,2,FALSE)))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123" t="inlineStr">
        <is>
          <t>Gara N.</t>
        </is>
      </c>
      <c r="B38" s="123" t="inlineStr">
        <is>
          <t>Squadra A</t>
        </is>
      </c>
      <c r="C38" s="10" t="n"/>
      <c r="D38" s="123" t="inlineStr">
        <is>
          <t>Squadra B</t>
        </is>
      </c>
      <c r="E38" s="10" t="n"/>
      <c r="F38" s="123" t="inlineStr">
        <is>
          <t>Giorno</t>
        </is>
      </c>
      <c r="G38" s="123" t="inlineStr">
        <is>
          <t>Data</t>
        </is>
      </c>
      <c r="H38" s="123" t="inlineStr">
        <is>
          <t>Ora</t>
        </is>
      </c>
      <c r="I38" s="10" t="n"/>
      <c r="J38" s="123" t="inlineStr">
        <is>
          <t>Risultato</t>
        </is>
      </c>
      <c r="K38" s="9" t="n"/>
      <c r="L38" s="10" t="n"/>
    </row>
    <row r="39" ht="24" customHeight="1">
      <c r="A39" s="125">
        <f>MAX(A$10:A38)+1</f>
        <v/>
      </c>
      <c r="B39" s="61">
        <f>IF(C39="","",IFERROR(VLOOKUP(C39,areaNomiBreviSquadre,7,FALSE),""))</f>
        <v/>
      </c>
      <c r="C39" s="62" t="n"/>
      <c r="D39" s="61">
        <f>IF(E39="","",IFERROR(VLOOKUP(E39,areaNomiBreviSquadre,7,FALSE),""))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IF($J39+$L39=0,,IF($J39&lt;$L39,IF($J39&amp;"-"&amp;$L39=MID(constPunteggioForfait,FIND("-",constPunteggioForfait)+1,LEN(constPunteggioForfait))&amp;"-"&amp;LEFT(constPunteggioForfait,FIND("-",constPunteggioForfait)-1),1,0),0))</f>
        <v/>
      </c>
      <c r="P39" s="67">
        <f>IF($J39+$L39=0,,IF($J39&lt;$L39,IF($J39&amp;"-"&amp;$L39&lt;&gt;MID(constPunteggioForfait,FIND("-",constPunteggioForfait)+1,LEN(constPunteggioForfait))&amp;"-"&amp;LEFT(constPunteggioForfait,FIND("-",constPunteggioForfait)-1),1,0),0))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IF($J39+$L39=0,,IF($L39&lt;$J39,IF($J39&amp;"-"&amp;$L39=constPunteggioForfait,1,0),0))</f>
        <v/>
      </c>
      <c r="W39" s="67">
        <f>IF($J39+$L39=0,,IF($L39&lt;$J39,IF($J39&amp;"-"&amp;$L39&lt;&gt;constPunteggioForfait,1,0),0))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IF(I40="","",HYPERLINK(VLOOKUP(I40,areaCampiSquadre,3,FALSE),VLOOKUP(I40,areaCampiSquadre,2,FALSE)))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120" t="inlineStr">
        <is>
          <t>3I</t>
        </is>
      </c>
      <c r="B42" s="121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123" t="inlineStr">
        <is>
          <t>Gara N.</t>
        </is>
      </c>
      <c r="B43" s="123" t="inlineStr">
        <is>
          <t>Squadra A</t>
        </is>
      </c>
      <c r="C43" s="10" t="n"/>
      <c r="D43" s="123" t="inlineStr">
        <is>
          <t>Squadra B</t>
        </is>
      </c>
      <c r="E43" s="10" t="n"/>
      <c r="F43" s="123" t="inlineStr">
        <is>
          <t>Giorno</t>
        </is>
      </c>
      <c r="G43" s="123" t="inlineStr">
        <is>
          <t>Data</t>
        </is>
      </c>
      <c r="H43" s="123" t="inlineStr">
        <is>
          <t>Ora</t>
        </is>
      </c>
      <c r="I43" s="10" t="n"/>
      <c r="J43" s="123" t="inlineStr">
        <is>
          <t>Risultato</t>
        </is>
      </c>
      <c r="K43" s="9" t="n"/>
      <c r="L43" s="10" t="n"/>
    </row>
    <row r="44" ht="24" customHeight="1">
      <c r="A44" s="125">
        <f>MAX(A$10:A43)+1</f>
        <v/>
      </c>
      <c r="B44" s="61">
        <f>IF(C44="","",IFERROR(VLOOKUP(C44,areaNomiBreviSquadre,7,FALSE),""))</f>
        <v/>
      </c>
      <c r="C44" s="62" t="n"/>
      <c r="D44" s="61">
        <f>IF(E44="","",IFERROR(VLOOKUP(E44,areaNomiBreviSquadre,7,FALSE),""))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IF($J44+$L44=0,,IF($J44&lt;$L44,IF($J44&amp;"-"&amp;$L44=MID(constPunteggioForfait,FIND("-",constPunteggioForfait)+1,LEN(constPunteggioForfait))&amp;"-"&amp;LEFT(constPunteggioForfait,FIND("-",constPunteggioForfait)-1),1,0),0))</f>
        <v/>
      </c>
      <c r="P44" s="67">
        <f>IF($J44+$L44=0,,IF($J44&lt;$L44,IF($J44&amp;"-"&amp;$L44&lt;&gt;MID(constPunteggioForfait,FIND("-",constPunteggioForfait)+1,LEN(constPunteggioForfait))&amp;"-"&amp;LEFT(constPunteggioForfait,FIND("-",constPunteggioForfait)-1),1,0),0))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IF($J44+$L44=0,,IF($L44&lt;$J44,IF($J44&amp;"-"&amp;$L44=constPunteggioForfait,1,0),0))</f>
        <v/>
      </c>
      <c r="W44" s="67">
        <f>IF($J44+$L44=0,,IF($L44&lt;$J44,IF($J44&amp;"-"&amp;$L44&lt;&gt;constPunteggioForfait,1,0),0))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IF(I45="","",HYPERLINK(VLOOKUP(I45,areaCampiSquadre,3,FALSE),VLOOKUP(I45,areaCampiSquadre,2,FALSE)))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123" t="inlineStr">
        <is>
          <t>Gara N.</t>
        </is>
      </c>
      <c r="B46" s="123" t="inlineStr">
        <is>
          <t>Squadra A</t>
        </is>
      </c>
      <c r="C46" s="10" t="n"/>
      <c r="D46" s="123" t="inlineStr">
        <is>
          <t>Squadra B</t>
        </is>
      </c>
      <c r="E46" s="10" t="n"/>
      <c r="F46" s="123" t="inlineStr">
        <is>
          <t>Giorno</t>
        </is>
      </c>
      <c r="G46" s="123" t="inlineStr">
        <is>
          <t>Data</t>
        </is>
      </c>
      <c r="H46" s="123" t="inlineStr">
        <is>
          <t>Ora</t>
        </is>
      </c>
      <c r="I46" s="10" t="n"/>
      <c r="J46" s="123" t="inlineStr">
        <is>
          <t>Risultato</t>
        </is>
      </c>
      <c r="K46" s="9" t="n"/>
      <c r="L46" s="10" t="n"/>
    </row>
    <row r="47" ht="24" customHeight="1">
      <c r="A47" s="125">
        <f>MAX(A$10:A46)+1</f>
        <v/>
      </c>
      <c r="B47" s="61">
        <f>IF(C47="","",IFERROR(VLOOKUP(C47,areaNomiBreviSquadre,7,FALSE),""))</f>
        <v/>
      </c>
      <c r="C47" s="62" t="n"/>
      <c r="D47" s="61">
        <f>IF(E47="","",IFERROR(VLOOKUP(E47,areaNomiBreviSquadre,7,FALSE),""))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IF($J47+$L47=0,,IF($J47&lt;$L47,IF($J47&amp;"-"&amp;$L47=MID(constPunteggioForfait,FIND("-",constPunteggioForfait)+1,LEN(constPunteggioForfait))&amp;"-"&amp;LEFT(constPunteggioForfait,FIND("-",constPunteggioForfait)-1),1,0),0))</f>
        <v/>
      </c>
      <c r="P47" s="67">
        <f>IF($J47+$L47=0,,IF($J47&lt;$L47,IF($J47&amp;"-"&amp;$L47&lt;&gt;MID(constPunteggioForfait,FIND("-",constPunteggioForfait)+1,LEN(constPunteggioForfait))&amp;"-"&amp;LEFT(constPunteggioForfait,FIND("-",constPunteggioForfait)-1),1,0),0))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IF($J47+$L47=0,,IF($L47&lt;$J47,IF($J47&amp;"-"&amp;$L47=constPunteggioForfait,1,0),0))</f>
        <v/>
      </c>
      <c r="W47" s="67">
        <f>IF($J47+$L47=0,,IF($L47&lt;$J47,IF($J47&amp;"-"&amp;$L47&lt;&gt;constPunteggioForfait,1,0),0))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IF(I48="","",HYPERLINK(VLOOKUP(I48,areaCampiSquadre,3,FALSE),VLOOKUP(I48,areaCampiSquadre,2,FALSE)))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123" t="inlineStr">
        <is>
          <t>Gara N.</t>
        </is>
      </c>
      <c r="B49" s="123" t="inlineStr">
        <is>
          <t>Squadra A</t>
        </is>
      </c>
      <c r="C49" s="10" t="n"/>
      <c r="D49" s="123" t="inlineStr">
        <is>
          <t>Squadra B</t>
        </is>
      </c>
      <c r="E49" s="10" t="n"/>
      <c r="F49" s="123" t="inlineStr">
        <is>
          <t>Giorno</t>
        </is>
      </c>
      <c r="G49" s="123" t="inlineStr">
        <is>
          <t>Data</t>
        </is>
      </c>
      <c r="H49" s="123" t="inlineStr">
        <is>
          <t>Ora</t>
        </is>
      </c>
      <c r="I49" s="10" t="n"/>
      <c r="J49" s="123" t="inlineStr">
        <is>
          <t>Risultato</t>
        </is>
      </c>
      <c r="K49" s="9" t="n"/>
      <c r="L49" s="10" t="n"/>
    </row>
    <row r="50" ht="24" customHeight="1">
      <c r="A50" s="125">
        <f>MAX(A$10:A49)+1</f>
        <v/>
      </c>
      <c r="B50" s="61">
        <f>IF(C50="","",IFERROR(VLOOKUP(C50,areaNomiBreviSquadre,7,FALSE),""))</f>
        <v/>
      </c>
      <c r="C50" s="62" t="n"/>
      <c r="D50" s="61">
        <f>IF(E50="","",IFERROR(VLOOKUP(E50,areaNomiBreviSquadre,7,FALSE),""))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IF($J50+$L50=0,,IF($J50&lt;$L50,IF($J50&amp;"-"&amp;$L50=MID(constPunteggioForfait,FIND("-",constPunteggioForfait)+1,LEN(constPunteggioForfait))&amp;"-"&amp;LEFT(constPunteggioForfait,FIND("-",constPunteggioForfait)-1),1,0),0))</f>
        <v/>
      </c>
      <c r="P50" s="67">
        <f>IF($J50+$L50=0,,IF($J50&lt;$L50,IF($J50&amp;"-"&amp;$L50&lt;&gt;MID(constPunteggioForfait,FIND("-",constPunteggioForfait)+1,LEN(constPunteggioForfait))&amp;"-"&amp;LEFT(constPunteggioForfait,FIND("-",constPunteggioForfait)-1),1,0),0))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IF($J50+$L50=0,,IF($L50&lt;$J50,IF($J50&amp;"-"&amp;$L50=constPunteggioForfait,1,0),0))</f>
        <v/>
      </c>
      <c r="W50" s="67">
        <f>IF($J50+$L50=0,,IF($L50&lt;$J50,IF($J50&amp;"-"&amp;$L50&lt;&gt;constPunteggioForfait,1,0),0))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IF(I51="","",HYPERLINK(VLOOKUP(I51,areaCampiSquadre,3,FALSE),VLOOKUP(I51,areaCampiSquadre,2,FALSE)))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123" t="inlineStr">
        <is>
          <t>Gara N.</t>
        </is>
      </c>
      <c r="B52" s="123" t="inlineStr">
        <is>
          <t>Squadra A</t>
        </is>
      </c>
      <c r="C52" s="10" t="n"/>
      <c r="D52" s="123" t="inlineStr">
        <is>
          <t>Squadra B</t>
        </is>
      </c>
      <c r="E52" s="10" t="n"/>
      <c r="F52" s="123" t="inlineStr">
        <is>
          <t>Giorno</t>
        </is>
      </c>
      <c r="G52" s="123" t="inlineStr">
        <is>
          <t>Data</t>
        </is>
      </c>
      <c r="H52" s="123" t="inlineStr">
        <is>
          <t>Ora</t>
        </is>
      </c>
      <c r="I52" s="10" t="n"/>
      <c r="J52" s="123" t="inlineStr">
        <is>
          <t>Risultato</t>
        </is>
      </c>
      <c r="K52" s="9" t="n"/>
      <c r="L52" s="10" t="n"/>
    </row>
    <row r="53" ht="24" customHeight="1">
      <c r="A53" s="125">
        <f>MAX(A$10:A52)+1</f>
        <v/>
      </c>
      <c r="B53" s="61">
        <f>IF(C53="","",IFERROR(VLOOKUP(C53,areaNomiBreviSquadre,7,FALSE),""))</f>
        <v/>
      </c>
      <c r="C53" s="62" t="n"/>
      <c r="D53" s="61">
        <f>IF(E53="","",IFERROR(VLOOKUP(E53,areaNomiBreviSquadre,7,FALSE),""))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IF($J53+$L53=0,,IF($J53&lt;$L53,IF($J53&amp;"-"&amp;$L53=MID(constPunteggioForfait,FIND("-",constPunteggioForfait)+1,LEN(constPunteggioForfait))&amp;"-"&amp;LEFT(constPunteggioForfait,FIND("-",constPunteggioForfait)-1),1,0),0))</f>
        <v/>
      </c>
      <c r="P53" s="67">
        <f>IF($J53+$L53=0,,IF($J53&lt;$L53,IF($J53&amp;"-"&amp;$L53&lt;&gt;MID(constPunteggioForfait,FIND("-",constPunteggioForfait)+1,LEN(constPunteggioForfait))&amp;"-"&amp;LEFT(constPunteggioForfait,FIND("-",constPunteggioForfait)-1),1,0),0))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IF($J53+$L53=0,,IF($L53&lt;$J53,IF($J53&amp;"-"&amp;$L53=constPunteggioForfait,1,0),0))</f>
        <v/>
      </c>
      <c r="W53" s="67">
        <f>IF($J53+$L53=0,,IF($L53&lt;$J53,IF($J53&amp;"-"&amp;$L53&lt;&gt;constPunteggioForfait,1,0),0))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IF(I54="","",HYPERLINK(VLOOKUP(I54,areaCampiSquadre,3,FALSE),VLOOKUP(I54,areaCampiSquadre,2,FALSE)))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123" t="inlineStr">
        <is>
          <t>Gara N.</t>
        </is>
      </c>
      <c r="B55" s="123" t="inlineStr">
        <is>
          <t>Squadra A</t>
        </is>
      </c>
      <c r="C55" s="10" t="n"/>
      <c r="D55" s="123" t="inlineStr">
        <is>
          <t>Squadra B</t>
        </is>
      </c>
      <c r="E55" s="10" t="n"/>
      <c r="F55" s="123" t="inlineStr">
        <is>
          <t>Giorno</t>
        </is>
      </c>
      <c r="G55" s="123" t="inlineStr">
        <is>
          <t>Data</t>
        </is>
      </c>
      <c r="H55" s="123" t="inlineStr">
        <is>
          <t>Ora</t>
        </is>
      </c>
      <c r="I55" s="10" t="n"/>
      <c r="J55" s="123" t="inlineStr">
        <is>
          <t>Risultato</t>
        </is>
      </c>
      <c r="K55" s="9" t="n"/>
      <c r="L55" s="10" t="n"/>
    </row>
    <row r="56" ht="24" customHeight="1">
      <c r="A56" s="125">
        <f>MAX(A$10:A55)+1</f>
        <v/>
      </c>
      <c r="B56" s="61">
        <f>IF(C56="","",IFERROR(VLOOKUP(C56,areaNomiBreviSquadre,7,FALSE),""))</f>
        <v/>
      </c>
      <c r="C56" s="62" t="n"/>
      <c r="D56" s="61">
        <f>IF(E56="","",IFERROR(VLOOKUP(E56,areaNomiBreviSquadre,7,FALSE),""))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IF($J56+$L56=0,,IF($J56&lt;$L56,IF($J56&amp;"-"&amp;$L56=MID(constPunteggioForfait,FIND("-",constPunteggioForfait)+1,LEN(constPunteggioForfait))&amp;"-"&amp;LEFT(constPunteggioForfait,FIND("-",constPunteggioForfait)-1),1,0),0))</f>
        <v/>
      </c>
      <c r="P56" s="67">
        <f>IF($J56+$L56=0,,IF($J56&lt;$L56,IF($J56&amp;"-"&amp;$L56&lt;&gt;MID(constPunteggioForfait,FIND("-",constPunteggioForfait)+1,LEN(constPunteggioForfait))&amp;"-"&amp;LEFT(constPunteggioForfait,FIND("-",constPunteggioForfait)-1),1,0),0))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IF($J56+$L56=0,,IF($L56&lt;$J56,IF($J56&amp;"-"&amp;$L56=constPunteggioForfait,1,0),0))</f>
        <v/>
      </c>
      <c r="W56" s="67">
        <f>IF($J56+$L56=0,,IF($L56&lt;$J56,IF($J56&amp;"-"&amp;$L56&lt;&gt;constPunteggioForfait,1,0),0))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IF(I57="","",HYPERLINK(VLOOKUP(I57,areaCampiSquadre,3,FALSE),VLOOKUP(I57,areaCampiSquadre,2,FALSE)))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120" t="inlineStr">
        <is>
          <t>4I</t>
        </is>
      </c>
      <c r="B59" s="121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123" t="inlineStr">
        <is>
          <t>Gara N.</t>
        </is>
      </c>
      <c r="B60" s="123" t="inlineStr">
        <is>
          <t>Squadra A</t>
        </is>
      </c>
      <c r="C60" s="10" t="n"/>
      <c r="D60" s="123" t="inlineStr">
        <is>
          <t>Squadra B</t>
        </is>
      </c>
      <c r="E60" s="10" t="n"/>
      <c r="F60" s="123" t="inlineStr">
        <is>
          <t>Giorno</t>
        </is>
      </c>
      <c r="G60" s="123" t="inlineStr">
        <is>
          <t>Data</t>
        </is>
      </c>
      <c r="H60" s="123" t="inlineStr">
        <is>
          <t>Ora</t>
        </is>
      </c>
      <c r="I60" s="10" t="n"/>
      <c r="J60" s="123" t="inlineStr">
        <is>
          <t>Risultato</t>
        </is>
      </c>
      <c r="K60" s="9" t="n"/>
      <c r="L60" s="10" t="n"/>
    </row>
    <row r="61" ht="24" customHeight="1">
      <c r="A61" s="125">
        <f>MAX(A$10:A60)+1</f>
        <v/>
      </c>
      <c r="B61" s="61">
        <f>IF(C61="","",IFERROR(VLOOKUP(C61,areaNomiBreviSquadre,7,FALSE),""))</f>
        <v/>
      </c>
      <c r="C61" s="62" t="n"/>
      <c r="D61" s="61">
        <f>IF(E61="","",IFERROR(VLOOKUP(E61,areaNomiBreviSquadre,7,FALSE),""))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IF($J61+$L61=0,,IF($J61&lt;$L61,IF($J61&amp;"-"&amp;$L61=MID(constPunteggioForfait,FIND("-",constPunteggioForfait)+1,LEN(constPunteggioForfait))&amp;"-"&amp;LEFT(constPunteggioForfait,FIND("-",constPunteggioForfait)-1),1,0),0))</f>
        <v/>
      </c>
      <c r="P61" s="67">
        <f>IF($J61+$L61=0,,IF($J61&lt;$L61,IF($J61&amp;"-"&amp;$L61&lt;&gt;MID(constPunteggioForfait,FIND("-",constPunteggioForfait)+1,LEN(constPunteggioForfait))&amp;"-"&amp;LEFT(constPunteggioForfait,FIND("-",constPunteggioForfait)-1),1,0),0))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IF($J61+$L61=0,,IF($L61&lt;$J61,IF($J61&amp;"-"&amp;$L61=constPunteggioForfait,1,0),0))</f>
        <v/>
      </c>
      <c r="W61" s="67">
        <f>IF($J61+$L61=0,,IF($L61&lt;$J61,IF($J61&amp;"-"&amp;$L61&lt;&gt;constPunteggioForfait,1,0),0))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IF(I62="","",HYPERLINK(VLOOKUP(I62,areaCampiSquadre,3,FALSE),VLOOKUP(I62,areaCampiSquadre,2,FALSE)))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123" t="inlineStr">
        <is>
          <t>Gara N.</t>
        </is>
      </c>
      <c r="B63" s="123" t="inlineStr">
        <is>
          <t>Squadra A</t>
        </is>
      </c>
      <c r="C63" s="10" t="n"/>
      <c r="D63" s="123" t="inlineStr">
        <is>
          <t>Squadra B</t>
        </is>
      </c>
      <c r="E63" s="10" t="n"/>
      <c r="F63" s="123" t="inlineStr">
        <is>
          <t>Giorno</t>
        </is>
      </c>
      <c r="G63" s="123" t="inlineStr">
        <is>
          <t>Data</t>
        </is>
      </c>
      <c r="H63" s="123" t="inlineStr">
        <is>
          <t>Ora</t>
        </is>
      </c>
      <c r="I63" s="10" t="n"/>
      <c r="J63" s="123" t="inlineStr">
        <is>
          <t>Risultato</t>
        </is>
      </c>
      <c r="K63" s="9" t="n"/>
      <c r="L63" s="10" t="n"/>
    </row>
    <row r="64" ht="24" customHeight="1">
      <c r="A64" s="125">
        <f>MAX(A$10:A63)+1</f>
        <v/>
      </c>
      <c r="B64" s="61">
        <f>IF(C64="","",IFERROR(VLOOKUP(C64,areaNomiBreviSquadre,7,FALSE),""))</f>
        <v/>
      </c>
      <c r="C64" s="62" t="n"/>
      <c r="D64" s="61">
        <f>IF(E64="","",IFERROR(VLOOKUP(E64,areaNomiBreviSquadre,7,FALSE),""))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IF($J64+$L64=0,,IF($J64&lt;$L64,IF($J64&amp;"-"&amp;$L64=MID(constPunteggioForfait,FIND("-",constPunteggioForfait)+1,LEN(constPunteggioForfait))&amp;"-"&amp;LEFT(constPunteggioForfait,FIND("-",constPunteggioForfait)-1),1,0),0))</f>
        <v/>
      </c>
      <c r="P64" s="67">
        <f>IF($J64+$L64=0,,IF($J64&lt;$L64,IF($J64&amp;"-"&amp;$L64&lt;&gt;MID(constPunteggioForfait,FIND("-",constPunteggioForfait)+1,LEN(constPunteggioForfait))&amp;"-"&amp;LEFT(constPunteggioForfait,FIND("-",constPunteggioForfait)-1),1,0),0))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IF($J64+$L64=0,,IF($L64&lt;$J64,IF($J64&amp;"-"&amp;$L64=constPunteggioForfait,1,0),0))</f>
        <v/>
      </c>
      <c r="W64" s="67">
        <f>IF($J64+$L64=0,,IF($L64&lt;$J64,IF($J64&amp;"-"&amp;$L64&lt;&gt;constPunteggioForfait,1,0),0))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IF(I65="","",HYPERLINK(VLOOKUP(I65,areaCampiSquadre,3,FALSE),VLOOKUP(I65,areaCampiSquadre,2,FALSE)))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123" t="inlineStr">
        <is>
          <t>Gara N.</t>
        </is>
      </c>
      <c r="B66" s="123" t="inlineStr">
        <is>
          <t>Squadra A</t>
        </is>
      </c>
      <c r="C66" s="10" t="n"/>
      <c r="D66" s="123" t="inlineStr">
        <is>
          <t>Squadra B</t>
        </is>
      </c>
      <c r="E66" s="10" t="n"/>
      <c r="F66" s="123" t="inlineStr">
        <is>
          <t>Giorno</t>
        </is>
      </c>
      <c r="G66" s="123" t="inlineStr">
        <is>
          <t>Data</t>
        </is>
      </c>
      <c r="H66" s="123" t="inlineStr">
        <is>
          <t>Ora</t>
        </is>
      </c>
      <c r="I66" s="10" t="n"/>
      <c r="J66" s="123" t="inlineStr">
        <is>
          <t>Risultato</t>
        </is>
      </c>
      <c r="K66" s="9" t="n"/>
      <c r="L66" s="10" t="n"/>
    </row>
    <row r="67" ht="24" customHeight="1">
      <c r="A67" s="125">
        <f>MAX(A$10:A66)+1</f>
        <v/>
      </c>
      <c r="B67" s="61">
        <f>IF(C67="","",IFERROR(VLOOKUP(C67,areaNomiBreviSquadre,7,FALSE),""))</f>
        <v/>
      </c>
      <c r="C67" s="62" t="n"/>
      <c r="D67" s="61">
        <f>IF(E67="","",IFERROR(VLOOKUP(E67,areaNomiBreviSquadre,7,FALSE),""))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IF($J67+$L67=0,,IF($J67&lt;$L67,IF($J67&amp;"-"&amp;$L67=MID(constPunteggioForfait,FIND("-",constPunteggioForfait)+1,LEN(constPunteggioForfait))&amp;"-"&amp;LEFT(constPunteggioForfait,FIND("-",constPunteggioForfait)-1),1,0),0))</f>
        <v/>
      </c>
      <c r="P67" s="67">
        <f>IF($J67+$L67=0,,IF($J67&lt;$L67,IF($J67&amp;"-"&amp;$L67&lt;&gt;MID(constPunteggioForfait,FIND("-",constPunteggioForfait)+1,LEN(constPunteggioForfait))&amp;"-"&amp;LEFT(constPunteggioForfait,FIND("-",constPunteggioForfait)-1),1,0),0))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IF($J67+$L67=0,,IF($L67&lt;$J67,IF($J67&amp;"-"&amp;$L67=constPunteggioForfait,1,0),0))</f>
        <v/>
      </c>
      <c r="W67" s="67">
        <f>IF($J67+$L67=0,,IF($L67&lt;$J67,IF($J67&amp;"-"&amp;$L67&lt;&gt;constPunteggioForfait,1,0),0))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IF(I68="","",HYPERLINK(VLOOKUP(I68,areaCampiSquadre,3,FALSE),VLOOKUP(I68,areaCampiSquadre,2,FALSE)))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123" t="inlineStr">
        <is>
          <t>Gara N.</t>
        </is>
      </c>
      <c r="B69" s="123" t="inlineStr">
        <is>
          <t>Squadra A</t>
        </is>
      </c>
      <c r="C69" s="10" t="n"/>
      <c r="D69" s="123" t="inlineStr">
        <is>
          <t>Squadra B</t>
        </is>
      </c>
      <c r="E69" s="10" t="n"/>
      <c r="F69" s="123" t="inlineStr">
        <is>
          <t>Giorno</t>
        </is>
      </c>
      <c r="G69" s="123" t="inlineStr">
        <is>
          <t>Data</t>
        </is>
      </c>
      <c r="H69" s="123" t="inlineStr">
        <is>
          <t>Ora</t>
        </is>
      </c>
      <c r="I69" s="10" t="n"/>
      <c r="J69" s="123" t="inlineStr">
        <is>
          <t>Risultato</t>
        </is>
      </c>
      <c r="K69" s="9" t="n"/>
      <c r="L69" s="10" t="n"/>
    </row>
    <row r="70" ht="24" customHeight="1">
      <c r="A70" s="125">
        <f>MAX(A$10:A69)+1</f>
        <v/>
      </c>
      <c r="B70" s="61">
        <f>IF(C70="","",IFERROR(VLOOKUP(C70,areaNomiBreviSquadre,7,FALSE),""))</f>
        <v/>
      </c>
      <c r="C70" s="62" t="n"/>
      <c r="D70" s="61">
        <f>IF(E70="","",IFERROR(VLOOKUP(E70,areaNomiBreviSquadre,7,FALSE),""))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IF($J70+$L70=0,,IF($J70&lt;$L70,IF($J70&amp;"-"&amp;$L70=MID(constPunteggioForfait,FIND("-",constPunteggioForfait)+1,LEN(constPunteggioForfait))&amp;"-"&amp;LEFT(constPunteggioForfait,FIND("-",constPunteggioForfait)-1),1,0),0))</f>
        <v/>
      </c>
      <c r="P70" s="67">
        <f>IF($J70+$L70=0,,IF($J70&lt;$L70,IF($J70&amp;"-"&amp;$L70&lt;&gt;MID(constPunteggioForfait,FIND("-",constPunteggioForfait)+1,LEN(constPunteggioForfait))&amp;"-"&amp;LEFT(constPunteggioForfait,FIND("-",constPunteggioForfait)-1),1,0),0))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IF($J70+$L70=0,,IF($L70&lt;$J70,IF($J70&amp;"-"&amp;$L70=constPunteggioForfait,1,0),0))</f>
        <v/>
      </c>
      <c r="W70" s="67">
        <f>IF($J70+$L70=0,,IF($L70&lt;$J70,IF($J70&amp;"-"&amp;$L70&lt;&gt;constPunteggioForfait,1,0),0))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IF(I71="","",HYPERLINK(VLOOKUP(I71,areaCampiSquadre,3,FALSE),VLOOKUP(I71,areaCampiSquadre,2,FALSE)))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123" t="inlineStr">
        <is>
          <t>Gara N.</t>
        </is>
      </c>
      <c r="B72" s="123" t="inlineStr">
        <is>
          <t>Squadra A</t>
        </is>
      </c>
      <c r="C72" s="10" t="n"/>
      <c r="D72" s="123" t="inlineStr">
        <is>
          <t>Squadra B</t>
        </is>
      </c>
      <c r="E72" s="10" t="n"/>
      <c r="F72" s="123" t="inlineStr">
        <is>
          <t>Giorno</t>
        </is>
      </c>
      <c r="G72" s="123" t="inlineStr">
        <is>
          <t>Data</t>
        </is>
      </c>
      <c r="H72" s="123" t="inlineStr">
        <is>
          <t>Ora</t>
        </is>
      </c>
      <c r="I72" s="10" t="n"/>
      <c r="J72" s="123" t="inlineStr">
        <is>
          <t>Risultato</t>
        </is>
      </c>
      <c r="K72" s="9" t="n"/>
      <c r="L72" s="10" t="n"/>
    </row>
    <row r="73" ht="24" customHeight="1">
      <c r="A73" s="125">
        <f>MAX(A$10:A72)+1</f>
        <v/>
      </c>
      <c r="B73" s="61">
        <f>IF(C73="","",IFERROR(VLOOKUP(C73,areaNomiBreviSquadre,7,FALSE),""))</f>
        <v/>
      </c>
      <c r="C73" s="62" t="n"/>
      <c r="D73" s="61">
        <f>IF(E73="","",IFERROR(VLOOKUP(E73,areaNomiBreviSquadre,7,FALSE),""))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IF($J73+$L73=0,,IF($J73&lt;$L73,IF($J73&amp;"-"&amp;$L73=MID(constPunteggioForfait,FIND("-",constPunteggioForfait)+1,LEN(constPunteggioForfait))&amp;"-"&amp;LEFT(constPunteggioForfait,FIND("-",constPunteggioForfait)-1),1,0),0))</f>
        <v/>
      </c>
      <c r="P73" s="67">
        <f>IF($J73+$L73=0,,IF($J73&lt;$L73,IF($J73&amp;"-"&amp;$L73&lt;&gt;MID(constPunteggioForfait,FIND("-",constPunteggioForfait)+1,LEN(constPunteggioForfait))&amp;"-"&amp;LEFT(constPunteggioForfait,FIND("-",constPunteggioForfait)-1),1,0),0))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IF($J73+$L73=0,,IF($L73&lt;$J73,IF($J73&amp;"-"&amp;$L73=constPunteggioForfait,1,0),0))</f>
        <v/>
      </c>
      <c r="W73" s="67">
        <f>IF($J73+$L73=0,,IF($L73&lt;$J73,IF($J73&amp;"-"&amp;$L73&lt;&gt;constPunteggioForfait,1,0),0))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IF(I74="","",HYPERLINK(VLOOKUP(I74,areaCampiSquadre,3,FALSE),VLOOKUP(I74,areaCampiSquadre,2,FALSE)))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120" t="inlineStr">
        <is>
          <t>5I</t>
        </is>
      </c>
      <c r="B76" s="121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123" t="inlineStr">
        <is>
          <t>Gara N.</t>
        </is>
      </c>
      <c r="B77" s="123" t="inlineStr">
        <is>
          <t>Squadra A</t>
        </is>
      </c>
      <c r="C77" s="10" t="n"/>
      <c r="D77" s="123" t="inlineStr">
        <is>
          <t>Squadra B</t>
        </is>
      </c>
      <c r="E77" s="10" t="n"/>
      <c r="F77" s="123" t="inlineStr">
        <is>
          <t>Giorno</t>
        </is>
      </c>
      <c r="G77" s="123" t="inlineStr">
        <is>
          <t>Data</t>
        </is>
      </c>
      <c r="H77" s="123" t="inlineStr">
        <is>
          <t>Ora</t>
        </is>
      </c>
      <c r="I77" s="10" t="n"/>
      <c r="J77" s="123" t="inlineStr">
        <is>
          <t>Risultato</t>
        </is>
      </c>
      <c r="K77" s="9" t="n"/>
      <c r="L77" s="10" t="n"/>
    </row>
    <row r="78" ht="24" customHeight="1">
      <c r="A78" s="125">
        <f>MAX(A$10:A77)+1</f>
        <v/>
      </c>
      <c r="B78" s="61">
        <f>IF(C78="","",IFERROR(VLOOKUP(C78,areaNomiBreviSquadre,7,FALSE),""))</f>
        <v/>
      </c>
      <c r="C78" s="62" t="n"/>
      <c r="D78" s="61">
        <f>IF(E78="","",IFERROR(VLOOKUP(E78,areaNomiBreviSquadre,7,FALSE),""))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IF($J78+$L78=0,,IF($J78&lt;$L78,IF($J78&amp;"-"&amp;$L78=MID(constPunteggioForfait,FIND("-",constPunteggioForfait)+1,LEN(constPunteggioForfait))&amp;"-"&amp;LEFT(constPunteggioForfait,FIND("-",constPunteggioForfait)-1),1,0),0))</f>
        <v/>
      </c>
      <c r="P78" s="67">
        <f>IF($J78+$L78=0,,IF($J78&lt;$L78,IF($J78&amp;"-"&amp;$L78&lt;&gt;MID(constPunteggioForfait,FIND("-",constPunteggioForfait)+1,LEN(constPunteggioForfait))&amp;"-"&amp;LEFT(constPunteggioForfait,FIND("-",constPunteggioForfait)-1),1,0),0))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IF($J78+$L78=0,,IF($L78&lt;$J78,IF($J78&amp;"-"&amp;$L78=constPunteggioForfait,1,0),0))</f>
        <v/>
      </c>
      <c r="W78" s="67">
        <f>IF($J78+$L78=0,,IF($L78&lt;$J78,IF($J78&amp;"-"&amp;$L78&lt;&gt;constPunteggioForfait,1,0),0))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IF(I79="","",HYPERLINK(VLOOKUP(I79,areaCampiSquadre,3,FALSE),VLOOKUP(I79,areaCampiSquadre,2,FALSE)))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123" t="inlineStr">
        <is>
          <t>Gara N.</t>
        </is>
      </c>
      <c r="B80" s="123" t="inlineStr">
        <is>
          <t>Squadra A</t>
        </is>
      </c>
      <c r="C80" s="10" t="n"/>
      <c r="D80" s="123" t="inlineStr">
        <is>
          <t>Squadra B</t>
        </is>
      </c>
      <c r="E80" s="10" t="n"/>
      <c r="F80" s="123" t="inlineStr">
        <is>
          <t>Giorno</t>
        </is>
      </c>
      <c r="G80" s="123" t="inlineStr">
        <is>
          <t>Data</t>
        </is>
      </c>
      <c r="H80" s="123" t="inlineStr">
        <is>
          <t>Ora</t>
        </is>
      </c>
      <c r="I80" s="10" t="n"/>
      <c r="J80" s="123" t="inlineStr">
        <is>
          <t>Risultato</t>
        </is>
      </c>
      <c r="K80" s="9" t="n"/>
      <c r="L80" s="10" t="n"/>
    </row>
    <row r="81" ht="24" customHeight="1">
      <c r="A81" s="125">
        <f>MAX(A$10:A80)+1</f>
        <v/>
      </c>
      <c r="B81" s="61">
        <f>IF(C81="","",IFERROR(VLOOKUP(C81,areaNomiBreviSquadre,7,FALSE),""))</f>
        <v/>
      </c>
      <c r="C81" s="62" t="n"/>
      <c r="D81" s="61">
        <f>IF(E81="","",IFERROR(VLOOKUP(E81,areaNomiBreviSquadre,7,FALSE),""))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IF($J81+$L81=0,,IF($J81&lt;$L81,IF($J81&amp;"-"&amp;$L81=MID(constPunteggioForfait,FIND("-",constPunteggioForfait)+1,LEN(constPunteggioForfait))&amp;"-"&amp;LEFT(constPunteggioForfait,FIND("-",constPunteggioForfait)-1),1,0),0))</f>
        <v/>
      </c>
      <c r="P81" s="67">
        <f>IF($J81+$L81=0,,IF($J81&lt;$L81,IF($J81&amp;"-"&amp;$L81&lt;&gt;MID(constPunteggioForfait,FIND("-",constPunteggioForfait)+1,LEN(constPunteggioForfait))&amp;"-"&amp;LEFT(constPunteggioForfait,FIND("-",constPunteggioForfait)-1),1,0),0))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IF($J81+$L81=0,,IF($L81&lt;$J81,IF($J81&amp;"-"&amp;$L81=constPunteggioForfait,1,0),0))</f>
        <v/>
      </c>
      <c r="W81" s="67">
        <f>IF($J81+$L81=0,,IF($L81&lt;$J81,IF($J81&amp;"-"&amp;$L81&lt;&gt;constPunteggioForfait,1,0),0))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IF(I82="","",HYPERLINK(VLOOKUP(I82,areaCampiSquadre,3,FALSE),VLOOKUP(I82,areaCampiSquadre,2,FALSE)))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123" t="inlineStr">
        <is>
          <t>Gara N.</t>
        </is>
      </c>
      <c r="B83" s="123" t="inlineStr">
        <is>
          <t>Squadra A</t>
        </is>
      </c>
      <c r="C83" s="10" t="n"/>
      <c r="D83" s="123" t="inlineStr">
        <is>
          <t>Squadra B</t>
        </is>
      </c>
      <c r="E83" s="10" t="n"/>
      <c r="F83" s="123" t="inlineStr">
        <is>
          <t>Giorno</t>
        </is>
      </c>
      <c r="G83" s="123" t="inlineStr">
        <is>
          <t>Data</t>
        </is>
      </c>
      <c r="H83" s="123" t="inlineStr">
        <is>
          <t>Ora</t>
        </is>
      </c>
      <c r="I83" s="10" t="n"/>
      <c r="J83" s="123" t="inlineStr">
        <is>
          <t>Risultato</t>
        </is>
      </c>
      <c r="K83" s="9" t="n"/>
      <c r="L83" s="10" t="n"/>
    </row>
    <row r="84" ht="24" customHeight="1">
      <c r="A84" s="125">
        <f>MAX(A$10:A83)+1</f>
        <v/>
      </c>
      <c r="B84" s="61">
        <f>IF(C84="","",IFERROR(VLOOKUP(C84,areaNomiBreviSquadre,7,FALSE),""))</f>
        <v/>
      </c>
      <c r="C84" s="62" t="n"/>
      <c r="D84" s="61">
        <f>IF(E84="","",IFERROR(VLOOKUP(E84,areaNomiBreviSquadre,7,FALSE),""))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IF($J84+$L84=0,,IF($J84&lt;$L84,IF($J84&amp;"-"&amp;$L84=MID(constPunteggioForfait,FIND("-",constPunteggioForfait)+1,LEN(constPunteggioForfait))&amp;"-"&amp;LEFT(constPunteggioForfait,FIND("-",constPunteggioForfait)-1),1,0),0))</f>
        <v/>
      </c>
      <c r="P84" s="67">
        <f>IF($J84+$L84=0,,IF($J84&lt;$L84,IF($J84&amp;"-"&amp;$L84&lt;&gt;MID(constPunteggioForfait,FIND("-",constPunteggioForfait)+1,LEN(constPunteggioForfait))&amp;"-"&amp;LEFT(constPunteggioForfait,FIND("-",constPunteggioForfait)-1),1,0),0))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IF($J84+$L84=0,,IF($L84&lt;$J84,IF($J84&amp;"-"&amp;$L84=constPunteggioForfait,1,0),0))</f>
        <v/>
      </c>
      <c r="W84" s="67">
        <f>IF($J84+$L84=0,,IF($L84&lt;$J84,IF($J84&amp;"-"&amp;$L84&lt;&gt;constPunteggioForfait,1,0),0))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IF(I85="","",HYPERLINK(VLOOKUP(I85,areaCampiSquadre,3,FALSE),VLOOKUP(I85,areaCampiSquadre,2,FALSE)))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123" t="inlineStr">
        <is>
          <t>Gara N.</t>
        </is>
      </c>
      <c r="B86" s="123" t="inlineStr">
        <is>
          <t>Squadra A</t>
        </is>
      </c>
      <c r="C86" s="10" t="n"/>
      <c r="D86" s="123" t="inlineStr">
        <is>
          <t>Squadra B</t>
        </is>
      </c>
      <c r="E86" s="10" t="n"/>
      <c r="F86" s="123" t="inlineStr">
        <is>
          <t>Giorno</t>
        </is>
      </c>
      <c r="G86" s="123" t="inlineStr">
        <is>
          <t>Data</t>
        </is>
      </c>
      <c r="H86" s="123" t="inlineStr">
        <is>
          <t>Ora</t>
        </is>
      </c>
      <c r="I86" s="10" t="n"/>
      <c r="J86" s="123" t="inlineStr">
        <is>
          <t>Risultato</t>
        </is>
      </c>
      <c r="K86" s="9" t="n"/>
      <c r="L86" s="10" t="n"/>
    </row>
    <row r="87" ht="24" customHeight="1">
      <c r="A87" s="125">
        <f>MAX(A$10:A86)+1</f>
        <v/>
      </c>
      <c r="B87" s="61">
        <f>IF(C87="","",IFERROR(VLOOKUP(C87,areaNomiBreviSquadre,7,FALSE),""))</f>
        <v/>
      </c>
      <c r="C87" s="62" t="n"/>
      <c r="D87" s="61">
        <f>IF(E87="","",IFERROR(VLOOKUP(E87,areaNomiBreviSquadre,7,FALSE),""))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IF($J87+$L87=0,,IF($J87&lt;$L87,IF($J87&amp;"-"&amp;$L87=MID(constPunteggioForfait,FIND("-",constPunteggioForfait)+1,LEN(constPunteggioForfait))&amp;"-"&amp;LEFT(constPunteggioForfait,FIND("-",constPunteggioForfait)-1),1,0),0))</f>
        <v/>
      </c>
      <c r="P87" s="67">
        <f>IF($J87+$L87=0,,IF($J87&lt;$L87,IF($J87&amp;"-"&amp;$L87&lt;&gt;MID(constPunteggioForfait,FIND("-",constPunteggioForfait)+1,LEN(constPunteggioForfait))&amp;"-"&amp;LEFT(constPunteggioForfait,FIND("-",constPunteggioForfait)-1),1,0),0))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IF($J87+$L87=0,,IF($L87&lt;$J87,IF($J87&amp;"-"&amp;$L87=constPunteggioForfait,1,0),0))</f>
        <v/>
      </c>
      <c r="W87" s="67">
        <f>IF($J87+$L87=0,,IF($L87&lt;$J87,IF($J87&amp;"-"&amp;$L87&lt;&gt;constPunteggioForfait,1,0),0))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IF(I88="","",HYPERLINK(VLOOKUP(I88,areaCampiSquadre,3,FALSE),VLOOKUP(I88,areaCampiSquadre,2,FALSE)))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123" t="inlineStr">
        <is>
          <t>Gara N.</t>
        </is>
      </c>
      <c r="B89" s="123" t="inlineStr">
        <is>
          <t>Squadra A</t>
        </is>
      </c>
      <c r="C89" s="10" t="n"/>
      <c r="D89" s="123" t="inlineStr">
        <is>
          <t>Squadra B</t>
        </is>
      </c>
      <c r="E89" s="10" t="n"/>
      <c r="F89" s="123" t="inlineStr">
        <is>
          <t>Giorno</t>
        </is>
      </c>
      <c r="G89" s="123" t="inlineStr">
        <is>
          <t>Data</t>
        </is>
      </c>
      <c r="H89" s="123" t="inlineStr">
        <is>
          <t>Ora</t>
        </is>
      </c>
      <c r="I89" s="10" t="n"/>
      <c r="J89" s="123" t="inlineStr">
        <is>
          <t>Risultato</t>
        </is>
      </c>
      <c r="K89" s="9" t="n"/>
      <c r="L89" s="10" t="n"/>
    </row>
    <row r="90" ht="24" customHeight="1">
      <c r="A90" s="125">
        <f>MAX(A$10:A89)+1</f>
        <v/>
      </c>
      <c r="B90" s="61">
        <f>IF(C90="","",IFERROR(VLOOKUP(C90,areaNomiBreviSquadre,7,FALSE),""))</f>
        <v/>
      </c>
      <c r="C90" s="62" t="n"/>
      <c r="D90" s="61">
        <f>IF(E90="","",IFERROR(VLOOKUP(E90,areaNomiBreviSquadre,7,FALSE),""))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IF($J90+$L90=0,,IF($J90&lt;$L90,IF($J90&amp;"-"&amp;$L90=MID(constPunteggioForfait,FIND("-",constPunteggioForfait)+1,LEN(constPunteggioForfait))&amp;"-"&amp;LEFT(constPunteggioForfait,FIND("-",constPunteggioForfait)-1),1,0),0))</f>
        <v/>
      </c>
      <c r="P90" s="67">
        <f>IF($J90+$L90=0,,IF($J90&lt;$L90,IF($J90&amp;"-"&amp;$L90&lt;&gt;MID(constPunteggioForfait,FIND("-",constPunteggioForfait)+1,LEN(constPunteggioForfait))&amp;"-"&amp;LEFT(constPunteggioForfait,FIND("-",constPunteggioForfait)-1),1,0),0))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IF($J90+$L90=0,,IF($L90&lt;$J90,IF($J90&amp;"-"&amp;$L90=constPunteggioForfait,1,0),0))</f>
        <v/>
      </c>
      <c r="W90" s="67">
        <f>IF($J90+$L90=0,,IF($L90&lt;$J90,IF($J90&amp;"-"&amp;$L90&lt;&gt;constPunteggioForfait,1,0),0))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IF(I91="","",HYPERLINK(VLOOKUP(I91,areaCampiSquadre,3,FALSE),VLOOKUP(I91,areaCampiSquadre,2,FALSE)))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120" t="inlineStr">
        <is>
          <t>6I</t>
        </is>
      </c>
      <c r="B93" s="121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123" t="inlineStr">
        <is>
          <t>Gara N.</t>
        </is>
      </c>
      <c r="B94" s="123" t="inlineStr">
        <is>
          <t>Squadra A</t>
        </is>
      </c>
      <c r="C94" s="10" t="n"/>
      <c r="D94" s="123" t="inlineStr">
        <is>
          <t>Squadra B</t>
        </is>
      </c>
      <c r="E94" s="10" t="n"/>
      <c r="F94" s="123" t="inlineStr">
        <is>
          <t>Giorno</t>
        </is>
      </c>
      <c r="G94" s="123" t="inlineStr">
        <is>
          <t>Data</t>
        </is>
      </c>
      <c r="H94" s="123" t="inlineStr">
        <is>
          <t>Ora</t>
        </is>
      </c>
      <c r="I94" s="10" t="n"/>
      <c r="J94" s="123" t="inlineStr">
        <is>
          <t>Risultato</t>
        </is>
      </c>
      <c r="K94" s="9" t="n"/>
      <c r="L94" s="10" t="n"/>
    </row>
    <row r="95" ht="24" customHeight="1">
      <c r="A95" s="125">
        <f>MAX(A$10:A94)+1</f>
        <v/>
      </c>
      <c r="B95" s="61">
        <f>IF(C95="","",IFERROR(VLOOKUP(C95,areaNomiBreviSquadre,7,FALSE),""))</f>
        <v/>
      </c>
      <c r="C95" s="62" t="n"/>
      <c r="D95" s="61">
        <f>IF(E95="","",IFERROR(VLOOKUP(E95,areaNomiBreviSquadre,7,FALSE),""))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123" t="inlineStr">
        <is>
          <t>Gara N.</t>
        </is>
      </c>
      <c r="B97" s="123" t="inlineStr">
        <is>
          <t>Squadra A</t>
        </is>
      </c>
      <c r="C97" s="10" t="n"/>
      <c r="D97" s="123" t="inlineStr">
        <is>
          <t>Squadra B</t>
        </is>
      </c>
      <c r="E97" s="10" t="n"/>
      <c r="F97" s="123" t="inlineStr">
        <is>
          <t>Giorno</t>
        </is>
      </c>
      <c r="G97" s="123" t="inlineStr">
        <is>
          <t>Data</t>
        </is>
      </c>
      <c r="H97" s="123" t="inlineStr">
        <is>
          <t>Ora</t>
        </is>
      </c>
      <c r="I97" s="10" t="n"/>
      <c r="J97" s="123" t="inlineStr">
        <is>
          <t>Risultato</t>
        </is>
      </c>
      <c r="K97" s="9" t="n"/>
      <c r="L97" s="10" t="n"/>
    </row>
    <row r="98" ht="24" customHeight="1">
      <c r="A98" s="125">
        <f>MAX(A$10:A97)+1</f>
        <v/>
      </c>
      <c r="B98" s="61">
        <f>IF(C98="","",IFERROR(VLOOKUP(C98,areaNomiBreviSquadre,7,FALSE),""))</f>
        <v/>
      </c>
      <c r="C98" s="62" t="n"/>
      <c r="D98" s="61">
        <f>IF(E98="","",IFERROR(VLOOKUP(E98,areaNomiBreviSquadre,7,FALSE),""))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123" t="inlineStr">
        <is>
          <t>Gara N.</t>
        </is>
      </c>
      <c r="B100" s="123" t="inlineStr">
        <is>
          <t>Squadra A</t>
        </is>
      </c>
      <c r="C100" s="10" t="n"/>
      <c r="D100" s="123" t="inlineStr">
        <is>
          <t>Squadra B</t>
        </is>
      </c>
      <c r="E100" s="10" t="n"/>
      <c r="F100" s="123" t="inlineStr">
        <is>
          <t>Giorno</t>
        </is>
      </c>
      <c r="G100" s="123" t="inlineStr">
        <is>
          <t>Data</t>
        </is>
      </c>
      <c r="H100" s="123" t="inlineStr">
        <is>
          <t>Ora</t>
        </is>
      </c>
      <c r="I100" s="10" t="n"/>
      <c r="J100" s="123" t="inlineStr">
        <is>
          <t>Risultato</t>
        </is>
      </c>
      <c r="K100" s="9" t="n"/>
      <c r="L100" s="10" t="n"/>
    </row>
    <row r="101" ht="24" customHeight="1">
      <c r="A101" s="125">
        <f>MAX(A$10:A100)+1</f>
        <v/>
      </c>
      <c r="B101" s="61">
        <f>IF(C101="","",IFERROR(VLOOKUP(C101,areaNomiBreviSquadre,7,FALSE),""))</f>
        <v/>
      </c>
      <c r="C101" s="62" t="n"/>
      <c r="D101" s="61">
        <f>IF(E101="","",IFERROR(VLOOKUP(E101,areaNomiBreviSquadre,7,FALSE),""))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123" t="inlineStr">
        <is>
          <t>Gara N.</t>
        </is>
      </c>
      <c r="B103" s="123" t="inlineStr">
        <is>
          <t>Squadra A</t>
        </is>
      </c>
      <c r="C103" s="10" t="n"/>
      <c r="D103" s="123" t="inlineStr">
        <is>
          <t>Squadra B</t>
        </is>
      </c>
      <c r="E103" s="10" t="n"/>
      <c r="F103" s="123" t="inlineStr">
        <is>
          <t>Giorno</t>
        </is>
      </c>
      <c r="G103" s="123" t="inlineStr">
        <is>
          <t>Data</t>
        </is>
      </c>
      <c r="H103" s="123" t="inlineStr">
        <is>
          <t>Ora</t>
        </is>
      </c>
      <c r="I103" s="10" t="n"/>
      <c r="J103" s="123" t="inlineStr">
        <is>
          <t>Risultato</t>
        </is>
      </c>
      <c r="K103" s="9" t="n"/>
      <c r="L103" s="10" t="n"/>
    </row>
    <row r="104" ht="24" customHeight="1">
      <c r="A104" s="125">
        <f>MAX(A$10:A103)+1</f>
        <v/>
      </c>
      <c r="B104" s="61">
        <f>IF(C104="","",IFERROR(VLOOKUP(C104,areaNomiBreviSquadre,7,FALSE),""))</f>
        <v/>
      </c>
      <c r="C104" s="62" t="n"/>
      <c r="D104" s="61">
        <f>IF(E104="","",IFERROR(VLOOKUP(E104,areaNomiBreviSquadre,7,FALSE),""))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IF($J104+$L104=0,,IF($J104&lt;$L104,IF($J104&amp;"-"&amp;$L104=MID(constPunteggioForfait,FIND("-",constPunteggioForfait)+1,LEN(constPunteggioForfait))&amp;"-"&amp;LEFT(constPunteggioForfait,FIND("-",constPunteggioForfait)-1),1,0),0))</f>
        <v/>
      </c>
      <c r="P104" s="67">
        <f>IF($J104+$L104=0,,IF($J104&lt;$L104,IF($J104&amp;"-"&amp;$L104&lt;&gt;MID(constPunteggioForfait,FIND("-",constPunteggioForfait)+1,LEN(constPunteggioForfait))&amp;"-"&amp;LEFT(constPunteggioForfait,FIND("-",constPunteggioForfait)-1),1,0),0))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IF($J104+$L104=0,,IF($L104&lt;$J104,IF($J104&amp;"-"&amp;$L104=constPunteggioForfait,1,0),0))</f>
        <v/>
      </c>
      <c r="W104" s="67">
        <f>IF($J104+$L104=0,,IF($L104&lt;$J104,IF($J104&amp;"-"&amp;$L104&lt;&gt;constPunteggioForfait,1,0),0))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IF(I105="","",HYPERLINK(VLOOKUP(I105,areaCampiSquadre,3,FALSE),VLOOKUP(I105,areaCampiSquadre,2,FALSE)))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123" t="inlineStr">
        <is>
          <t>Gara N.</t>
        </is>
      </c>
      <c r="B106" s="123" t="inlineStr">
        <is>
          <t>Squadra A</t>
        </is>
      </c>
      <c r="C106" s="10" t="n"/>
      <c r="D106" s="123" t="inlineStr">
        <is>
          <t>Squadra B</t>
        </is>
      </c>
      <c r="E106" s="10" t="n"/>
      <c r="F106" s="123" t="inlineStr">
        <is>
          <t>Giorno</t>
        </is>
      </c>
      <c r="G106" s="123" t="inlineStr">
        <is>
          <t>Data</t>
        </is>
      </c>
      <c r="H106" s="123" t="inlineStr">
        <is>
          <t>Ora</t>
        </is>
      </c>
      <c r="I106" s="10" t="n"/>
      <c r="J106" s="123" t="inlineStr">
        <is>
          <t>Risultato</t>
        </is>
      </c>
      <c r="K106" s="9" t="n"/>
      <c r="L106" s="10" t="n"/>
    </row>
    <row r="107" ht="24" customHeight="1">
      <c r="A107" s="125">
        <f>MAX(A$10:A106)+1</f>
        <v/>
      </c>
      <c r="B107" s="61">
        <f>IF(C107="","",IFERROR(VLOOKUP(C107,areaNomiBreviSquadre,7,FALSE),""))</f>
        <v/>
      </c>
      <c r="C107" s="62" t="n"/>
      <c r="D107" s="61">
        <f>IF(E107="","",IFERROR(VLOOKUP(E107,areaNomiBreviSquadre,7,FALSE),""))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IF($J107+$L107=0,,IF($J107&lt;$L107,IF($J107&amp;"-"&amp;$L107=MID(constPunteggioForfait,FIND("-",constPunteggioForfait)+1,LEN(constPunteggioForfait))&amp;"-"&amp;LEFT(constPunteggioForfait,FIND("-",constPunteggioForfait)-1),1,0),0))</f>
        <v/>
      </c>
      <c r="P107" s="67">
        <f>IF($J107+$L107=0,,IF($J107&lt;$L107,IF($J107&amp;"-"&amp;$L107&lt;&gt;MID(constPunteggioForfait,FIND("-",constPunteggioForfait)+1,LEN(constPunteggioForfait))&amp;"-"&amp;LEFT(constPunteggioForfait,FIND("-",constPunteggioForfait)-1),1,0),0))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IF($J107+$L107=0,,IF($L107&lt;$J107,IF($J107&amp;"-"&amp;$L107=constPunteggioForfait,1,0),0))</f>
        <v/>
      </c>
      <c r="W107" s="67">
        <f>IF($J107+$L107=0,,IF($L107&lt;$J107,IF($J107&amp;"-"&amp;$L107&lt;&gt;constPunteggioForfait,1,0),0))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IF(I108="","",HYPERLINK(VLOOKUP(I108,areaCampiSquadre,3,FALSE),VLOOKUP(I108,areaCampiSquadre,2,FALSE)))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120" t="inlineStr">
        <is>
          <t>7I</t>
        </is>
      </c>
      <c r="B110" s="121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123" t="inlineStr">
        <is>
          <t>Gara N.</t>
        </is>
      </c>
      <c r="B111" s="123" t="inlineStr">
        <is>
          <t>Squadra A</t>
        </is>
      </c>
      <c r="C111" s="10" t="n"/>
      <c r="D111" s="123" t="inlineStr">
        <is>
          <t>Squadra B</t>
        </is>
      </c>
      <c r="E111" s="10" t="n"/>
      <c r="F111" s="123" t="inlineStr">
        <is>
          <t>Giorno</t>
        </is>
      </c>
      <c r="G111" s="123" t="inlineStr">
        <is>
          <t>Data</t>
        </is>
      </c>
      <c r="H111" s="123" t="inlineStr">
        <is>
          <t>Ora</t>
        </is>
      </c>
      <c r="I111" s="10" t="n"/>
      <c r="J111" s="123" t="inlineStr">
        <is>
          <t>Risultato</t>
        </is>
      </c>
      <c r="K111" s="9" t="n"/>
      <c r="L111" s="10" t="n"/>
    </row>
    <row r="112" ht="24" customHeight="1">
      <c r="A112" s="125">
        <f>MAX(A$10:A111)+1</f>
        <v/>
      </c>
      <c r="B112" s="61">
        <f>IF(C112="","",IFERROR(VLOOKUP(C112,areaNomiBreviSquadre,7,FALSE),""))</f>
        <v/>
      </c>
      <c r="C112" s="62" t="n"/>
      <c r="D112" s="61">
        <f>IF(E112="","",IFERROR(VLOOKUP(E112,areaNomiBreviSquadre,7,FALSE),""))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123" t="inlineStr">
        <is>
          <t>Gara N.</t>
        </is>
      </c>
      <c r="B114" s="123" t="inlineStr">
        <is>
          <t>Squadra A</t>
        </is>
      </c>
      <c r="C114" s="10" t="n"/>
      <c r="D114" s="123" t="inlineStr">
        <is>
          <t>Squadra B</t>
        </is>
      </c>
      <c r="E114" s="10" t="n"/>
      <c r="F114" s="123" t="inlineStr">
        <is>
          <t>Giorno</t>
        </is>
      </c>
      <c r="G114" s="123" t="inlineStr">
        <is>
          <t>Data</t>
        </is>
      </c>
      <c r="H114" s="123" t="inlineStr">
        <is>
          <t>Ora</t>
        </is>
      </c>
      <c r="I114" s="10" t="n"/>
      <c r="J114" s="123" t="inlineStr">
        <is>
          <t>Risultato</t>
        </is>
      </c>
      <c r="K114" s="9" t="n"/>
      <c r="L114" s="10" t="n"/>
    </row>
    <row r="115" ht="24" customHeight="1">
      <c r="A115" s="125">
        <f>MAX(A$10:A114)+1</f>
        <v/>
      </c>
      <c r="B115" s="61">
        <f>IF(C115="","",IFERROR(VLOOKUP(C115,areaNomiBreviSquadre,7,FALSE),""))</f>
        <v/>
      </c>
      <c r="C115" s="62" t="n"/>
      <c r="D115" s="61">
        <f>IF(E115="","",IFERROR(VLOOKUP(E115,areaNomiBreviSquadre,7,FALSE),""))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123" t="inlineStr">
        <is>
          <t>Gara N.</t>
        </is>
      </c>
      <c r="B117" s="123" t="inlineStr">
        <is>
          <t>Squadra A</t>
        </is>
      </c>
      <c r="C117" s="10" t="n"/>
      <c r="D117" s="123" t="inlineStr">
        <is>
          <t>Squadra B</t>
        </is>
      </c>
      <c r="E117" s="10" t="n"/>
      <c r="F117" s="123" t="inlineStr">
        <is>
          <t>Giorno</t>
        </is>
      </c>
      <c r="G117" s="123" t="inlineStr">
        <is>
          <t>Data</t>
        </is>
      </c>
      <c r="H117" s="123" t="inlineStr">
        <is>
          <t>Ora</t>
        </is>
      </c>
      <c r="I117" s="10" t="n"/>
      <c r="J117" s="123" t="inlineStr">
        <is>
          <t>Risultato</t>
        </is>
      </c>
      <c r="K117" s="9" t="n"/>
      <c r="L117" s="10" t="n"/>
    </row>
    <row r="118" ht="24" customHeight="1">
      <c r="A118" s="125">
        <f>MAX(A$10:A117)+1</f>
        <v/>
      </c>
      <c r="B118" s="61">
        <f>IF(C118="","",IFERROR(VLOOKUP(C118,areaNomiBreviSquadre,7,FALSE),""))</f>
        <v/>
      </c>
      <c r="C118" s="62" t="n"/>
      <c r="D118" s="61">
        <f>IF(E118="","",IFERROR(VLOOKUP(E118,areaNomiBreviSquadre,7,FALSE),""))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123" t="inlineStr">
        <is>
          <t>Gara N.</t>
        </is>
      </c>
      <c r="B120" s="123" t="inlineStr">
        <is>
          <t>Squadra A</t>
        </is>
      </c>
      <c r="C120" s="10" t="n"/>
      <c r="D120" s="123" t="inlineStr">
        <is>
          <t>Squadra B</t>
        </is>
      </c>
      <c r="E120" s="10" t="n"/>
      <c r="F120" s="123" t="inlineStr">
        <is>
          <t>Giorno</t>
        </is>
      </c>
      <c r="G120" s="123" t="inlineStr">
        <is>
          <t>Data</t>
        </is>
      </c>
      <c r="H120" s="123" t="inlineStr">
        <is>
          <t>Ora</t>
        </is>
      </c>
      <c r="I120" s="10" t="n"/>
      <c r="J120" s="123" t="inlineStr">
        <is>
          <t>Risultato</t>
        </is>
      </c>
      <c r="K120" s="9" t="n"/>
      <c r="L120" s="10" t="n"/>
    </row>
    <row r="121" ht="24" customHeight="1">
      <c r="A121" s="125">
        <f>MAX(A$10:A120)+1</f>
        <v/>
      </c>
      <c r="B121" s="61">
        <f>IF(C121="","",IFERROR(VLOOKUP(C121,areaNomiBreviSquadre,7,FALSE),""))</f>
        <v/>
      </c>
      <c r="C121" s="62" t="n"/>
      <c r="D121" s="61">
        <f>IF(E121="","",IFERROR(VLOOKUP(E121,areaNomiBreviSquadre,7,FALSE),""))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123" t="inlineStr">
        <is>
          <t>Gara N.</t>
        </is>
      </c>
      <c r="B123" s="123" t="inlineStr">
        <is>
          <t>Squadra A</t>
        </is>
      </c>
      <c r="C123" s="10" t="n"/>
      <c r="D123" s="123" t="inlineStr">
        <is>
          <t>Squadra B</t>
        </is>
      </c>
      <c r="E123" s="10" t="n"/>
      <c r="F123" s="123" t="inlineStr">
        <is>
          <t>Giorno</t>
        </is>
      </c>
      <c r="G123" s="123" t="inlineStr">
        <is>
          <t>Data</t>
        </is>
      </c>
      <c r="H123" s="123" t="inlineStr">
        <is>
          <t>Ora</t>
        </is>
      </c>
      <c r="I123" s="10" t="n"/>
      <c r="J123" s="123" t="inlineStr">
        <is>
          <t>Risultato</t>
        </is>
      </c>
      <c r="K123" s="9" t="n"/>
      <c r="L123" s="10" t="n"/>
    </row>
    <row r="124" ht="24" customHeight="1">
      <c r="A124" s="125">
        <f>MAX(A$10:A123)+1</f>
        <v/>
      </c>
      <c r="B124" s="61">
        <f>IF(C124="","",IFERROR(VLOOKUP(C124,areaNomiBreviSquadre,7,FALSE),""))</f>
        <v/>
      </c>
      <c r="C124" s="62" t="n"/>
      <c r="D124" s="61">
        <f>IF(E124="","",IFERROR(VLOOKUP(E124,areaNomiBreviSquadre,7,FALSE),""))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120" t="inlineStr">
        <is>
          <t>8I</t>
        </is>
      </c>
      <c r="B127" s="121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123" t="inlineStr">
        <is>
          <t>Gara N.</t>
        </is>
      </c>
      <c r="B128" s="123" t="inlineStr">
        <is>
          <t>Squadra A</t>
        </is>
      </c>
      <c r="C128" s="10" t="n"/>
      <c r="D128" s="123" t="inlineStr">
        <is>
          <t>Squadra B</t>
        </is>
      </c>
      <c r="E128" s="10" t="n"/>
      <c r="F128" s="123" t="inlineStr">
        <is>
          <t>Giorno</t>
        </is>
      </c>
      <c r="G128" s="123" t="inlineStr">
        <is>
          <t>Data</t>
        </is>
      </c>
      <c r="H128" s="123" t="inlineStr">
        <is>
          <t>Ora</t>
        </is>
      </c>
      <c r="I128" s="10" t="n"/>
      <c r="J128" s="123" t="inlineStr">
        <is>
          <t>Risultato</t>
        </is>
      </c>
      <c r="K128" s="9" t="n"/>
      <c r="L128" s="10" t="n"/>
    </row>
    <row r="129" ht="24" customHeight="1">
      <c r="A129" s="125">
        <f>MAX(A$10:A128)+1</f>
        <v/>
      </c>
      <c r="B129" s="61">
        <f>IF(C129="","",IFERROR(VLOOKUP(C129,areaNomiBreviSquadre,7,FALSE),""))</f>
        <v/>
      </c>
      <c r="C129" s="62" t="n"/>
      <c r="D129" s="61">
        <f>IF(E129="","",IFERROR(VLOOKUP(E129,areaNomiBreviSquadre,7,FALSE),""))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IF($J129+$L129=0,,IF($J129&lt;$L129,IF($J129&amp;"-"&amp;$L129=MID(constPunteggioForfait,FIND("-",constPunteggioForfait)+1,LEN(constPunteggioForfait))&amp;"-"&amp;LEFT(constPunteggioForfait,FIND("-",constPunteggioForfait)-1),1,0),0))</f>
        <v/>
      </c>
      <c r="P129" s="67">
        <f>IF($J129+$L129=0,,IF($J129&lt;$L129,IF($J129&amp;"-"&amp;$L129&lt;&gt;MID(constPunteggioForfait,FIND("-",constPunteggioForfait)+1,LEN(constPunteggioForfait))&amp;"-"&amp;LEFT(constPunteggioForfait,FIND("-",constPunteggioForfait)-1),1,0),0))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IF($J129+$L129=0,,IF($L129&lt;$J129,IF($J129&amp;"-"&amp;$L129=constPunteggioForfait,1,0),0))</f>
        <v/>
      </c>
      <c r="W129" s="67">
        <f>IF($J129+$L129=0,,IF($L129&lt;$J129,IF($J129&amp;"-"&amp;$L129&lt;&gt;constPunteggioForfait,1,0),0))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IF(I130="","",HYPERLINK(VLOOKUP(I130,areaCampiSquadre,3,FALSE),VLOOKUP(I130,areaCampiSquadre,2,FALSE)))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123" t="inlineStr">
        <is>
          <t>Gara N.</t>
        </is>
      </c>
      <c r="B131" s="123" t="inlineStr">
        <is>
          <t>Squadra A</t>
        </is>
      </c>
      <c r="C131" s="10" t="n"/>
      <c r="D131" s="123" t="inlineStr">
        <is>
          <t>Squadra B</t>
        </is>
      </c>
      <c r="E131" s="10" t="n"/>
      <c r="F131" s="123" t="inlineStr">
        <is>
          <t>Giorno</t>
        </is>
      </c>
      <c r="G131" s="123" t="inlineStr">
        <is>
          <t>Data</t>
        </is>
      </c>
      <c r="H131" s="123" t="inlineStr">
        <is>
          <t>Ora</t>
        </is>
      </c>
      <c r="I131" s="10" t="n"/>
      <c r="J131" s="123" t="inlineStr">
        <is>
          <t>Risultato</t>
        </is>
      </c>
      <c r="K131" s="9" t="n"/>
      <c r="L131" s="10" t="n"/>
    </row>
    <row r="132" ht="24" customHeight="1">
      <c r="A132" s="125">
        <f>MAX(A$10:A131)+1</f>
        <v/>
      </c>
      <c r="B132" s="61">
        <f>IF(C132="","",IFERROR(VLOOKUP(C132,areaNomiBreviSquadre,7,FALSE),""))</f>
        <v/>
      </c>
      <c r="C132" s="62" t="n"/>
      <c r="D132" s="61">
        <f>IF(E132="","",IFERROR(VLOOKUP(E132,areaNomiBreviSquadre,7,FALSE),""))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IF($J132+$L132=0,,IF($J132&lt;$L132,IF($J132&amp;"-"&amp;$L132=MID(constPunteggioForfait,FIND("-",constPunteggioForfait)+1,LEN(constPunteggioForfait))&amp;"-"&amp;LEFT(constPunteggioForfait,FIND("-",constPunteggioForfait)-1),1,0),0))</f>
        <v/>
      </c>
      <c r="P132" s="67">
        <f>IF($J132+$L132=0,,IF($J132&lt;$L132,IF($J132&amp;"-"&amp;$L132&lt;&gt;MID(constPunteggioForfait,FIND("-",constPunteggioForfait)+1,LEN(constPunteggioForfait))&amp;"-"&amp;LEFT(constPunteggioForfait,FIND("-",constPunteggioForfait)-1),1,0),0))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IF($J132+$L132=0,,IF($L132&lt;$J132,IF($J132&amp;"-"&amp;$L132=constPunteggioForfait,1,0),0))</f>
        <v/>
      </c>
      <c r="W132" s="67">
        <f>IF($J132+$L132=0,,IF($L132&lt;$J132,IF($J132&amp;"-"&amp;$L132&lt;&gt;constPunteggioForfait,1,0),0))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IF(I133="","",HYPERLINK(VLOOKUP(I133,areaCampiSquadre,3,FALSE),VLOOKUP(I133,areaCampiSquadre,2,FALSE)))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123" t="inlineStr">
        <is>
          <t>Gara N.</t>
        </is>
      </c>
      <c r="B134" s="123" t="inlineStr">
        <is>
          <t>Squadra A</t>
        </is>
      </c>
      <c r="C134" s="10" t="n"/>
      <c r="D134" s="123" t="inlineStr">
        <is>
          <t>Squadra B</t>
        </is>
      </c>
      <c r="E134" s="10" t="n"/>
      <c r="F134" s="123" t="inlineStr">
        <is>
          <t>Giorno</t>
        </is>
      </c>
      <c r="G134" s="123" t="inlineStr">
        <is>
          <t>Data</t>
        </is>
      </c>
      <c r="H134" s="123" t="inlineStr">
        <is>
          <t>Ora</t>
        </is>
      </c>
      <c r="I134" s="10" t="n"/>
      <c r="J134" s="123" t="inlineStr">
        <is>
          <t>Risultato</t>
        </is>
      </c>
      <c r="K134" s="9" t="n"/>
      <c r="L134" s="10" t="n"/>
    </row>
    <row r="135" ht="24" customHeight="1">
      <c r="A135" s="125">
        <f>MAX(A$10:A134)+1</f>
        <v/>
      </c>
      <c r="B135" s="61">
        <f>IF(C135="","",IFERROR(VLOOKUP(C135,areaNomiBreviSquadre,7,FALSE),""))</f>
        <v/>
      </c>
      <c r="C135" s="62" t="n"/>
      <c r="D135" s="61">
        <f>IF(E135="","",IFERROR(VLOOKUP(E135,areaNomiBreviSquadre,7,FALSE),""))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IF($J135+$L135=0,,IF($J135&lt;$L135,IF($J135&amp;"-"&amp;$L135=MID(constPunteggioForfait,FIND("-",constPunteggioForfait)+1,LEN(constPunteggioForfait))&amp;"-"&amp;LEFT(constPunteggioForfait,FIND("-",constPunteggioForfait)-1),1,0),0))</f>
        <v/>
      </c>
      <c r="P135" s="67">
        <f>IF($J135+$L135=0,,IF($J135&lt;$L135,IF($J135&amp;"-"&amp;$L135&lt;&gt;MID(constPunteggioForfait,FIND("-",constPunteggioForfait)+1,LEN(constPunteggioForfait))&amp;"-"&amp;LEFT(constPunteggioForfait,FIND("-",constPunteggioForfait)-1),1,0),0))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IF($J135+$L135=0,,IF($L135&lt;$J135,IF($J135&amp;"-"&amp;$L135=constPunteggioForfait,1,0),0))</f>
        <v/>
      </c>
      <c r="W135" s="67">
        <f>IF($J135+$L135=0,,IF($L135&lt;$J135,IF($J135&amp;"-"&amp;$L135&lt;&gt;constPunteggioForfait,1,0),0))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IF(I136="","",HYPERLINK(VLOOKUP(I136,areaCampiSquadre,3,FALSE),VLOOKUP(I136,areaCampiSquadre,2,FALSE)))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123" t="inlineStr">
        <is>
          <t>Gara N.</t>
        </is>
      </c>
      <c r="B137" s="123" t="inlineStr">
        <is>
          <t>Squadra A</t>
        </is>
      </c>
      <c r="C137" s="10" t="n"/>
      <c r="D137" s="123" t="inlineStr">
        <is>
          <t>Squadra B</t>
        </is>
      </c>
      <c r="E137" s="10" t="n"/>
      <c r="F137" s="123" t="inlineStr">
        <is>
          <t>Giorno</t>
        </is>
      </c>
      <c r="G137" s="123" t="inlineStr">
        <is>
          <t>Data</t>
        </is>
      </c>
      <c r="H137" s="123" t="inlineStr">
        <is>
          <t>Ora</t>
        </is>
      </c>
      <c r="I137" s="10" t="n"/>
      <c r="J137" s="123" t="inlineStr">
        <is>
          <t>Risultato</t>
        </is>
      </c>
      <c r="K137" s="9" t="n"/>
      <c r="L137" s="10" t="n"/>
    </row>
    <row r="138" ht="24" customHeight="1">
      <c r="A138" s="125">
        <f>MAX(A$10:A137)+1</f>
        <v/>
      </c>
      <c r="B138" s="61">
        <f>IF(C138="","",IFERROR(VLOOKUP(C138,areaNomiBreviSquadre,7,FALSE),""))</f>
        <v/>
      </c>
      <c r="C138" s="62" t="n"/>
      <c r="D138" s="61">
        <f>IF(E138="","",IFERROR(VLOOKUP(E138,areaNomiBreviSquadre,7,FALSE),""))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123" t="inlineStr">
        <is>
          <t>Gara N.</t>
        </is>
      </c>
      <c r="B140" s="123" t="inlineStr">
        <is>
          <t>Squadra A</t>
        </is>
      </c>
      <c r="C140" s="10" t="n"/>
      <c r="D140" s="123" t="inlineStr">
        <is>
          <t>Squadra B</t>
        </is>
      </c>
      <c r="E140" s="10" t="n"/>
      <c r="F140" s="123" t="inlineStr">
        <is>
          <t>Giorno</t>
        </is>
      </c>
      <c r="G140" s="123" t="inlineStr">
        <is>
          <t>Data</t>
        </is>
      </c>
      <c r="H140" s="123" t="inlineStr">
        <is>
          <t>Ora</t>
        </is>
      </c>
      <c r="I140" s="10" t="n"/>
      <c r="J140" s="123" t="inlineStr">
        <is>
          <t>Risultato</t>
        </is>
      </c>
      <c r="K140" s="9" t="n"/>
      <c r="L140" s="10" t="n"/>
    </row>
    <row r="141" ht="24" customHeight="1">
      <c r="A141" s="125">
        <f>MAX(A$10:A140)+1</f>
        <v/>
      </c>
      <c r="B141" s="61">
        <f>IF(C141="","",IFERROR(VLOOKUP(C141,areaNomiBreviSquadre,7,FALSE),""))</f>
        <v/>
      </c>
      <c r="C141" s="62" t="n"/>
      <c r="D141" s="61">
        <f>IF(E141="","",IFERROR(VLOOKUP(E141,areaNomiBreviSquadre,7,FALSE),""))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120" t="inlineStr">
        <is>
          <t>9I</t>
        </is>
      </c>
      <c r="B144" s="121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123" t="inlineStr">
        <is>
          <t>Gara N.</t>
        </is>
      </c>
      <c r="B145" s="123" t="inlineStr">
        <is>
          <t>Squadra A</t>
        </is>
      </c>
      <c r="C145" s="10" t="n"/>
      <c r="D145" s="123" t="inlineStr">
        <is>
          <t>Squadra B</t>
        </is>
      </c>
      <c r="E145" s="10" t="n"/>
      <c r="F145" s="123" t="inlineStr">
        <is>
          <t>Giorno</t>
        </is>
      </c>
      <c r="G145" s="123" t="inlineStr">
        <is>
          <t>Data</t>
        </is>
      </c>
      <c r="H145" s="123" t="inlineStr">
        <is>
          <t>Ora</t>
        </is>
      </c>
      <c r="I145" s="10" t="n"/>
      <c r="J145" s="123" t="inlineStr">
        <is>
          <t>Risultato</t>
        </is>
      </c>
      <c r="K145" s="9" t="n"/>
      <c r="L145" s="10" t="n"/>
    </row>
    <row r="146" ht="24" customHeight="1">
      <c r="A146" s="125">
        <f>MAX(A$10:A145)+1</f>
        <v/>
      </c>
      <c r="B146" s="61">
        <f>IF(C146="","",IFERROR(VLOOKUP(C146,areaNomiBreviSquadre,7,FALSE),""))</f>
        <v/>
      </c>
      <c r="C146" s="62" t="n"/>
      <c r="D146" s="61">
        <f>IF(E146="","",IFERROR(VLOOKUP(E146,areaNomiBreviSquadre,7,FALSE),""))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IF($J146+$L146=0,,IF($J146&lt;$L146,IF($J146&amp;"-"&amp;$L146=MID(constPunteggioForfait,FIND("-",constPunteggioForfait)+1,LEN(constPunteggioForfait))&amp;"-"&amp;LEFT(constPunteggioForfait,FIND("-",constPunteggioForfait)-1),1,0),0))</f>
        <v/>
      </c>
      <c r="P146" s="67">
        <f>IF($J146+$L146=0,,IF($J146&lt;$L146,IF($J146&amp;"-"&amp;$L146&lt;&gt;MID(constPunteggioForfait,FIND("-",constPunteggioForfait)+1,LEN(constPunteggioForfait))&amp;"-"&amp;LEFT(constPunteggioForfait,FIND("-",constPunteggioForfait)-1),1,0),0))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IF($J146+$L146=0,,IF($L146&lt;$J146,IF($J146&amp;"-"&amp;$L146=constPunteggioForfait,1,0),0))</f>
        <v/>
      </c>
      <c r="W146" s="67">
        <f>IF($J146+$L146=0,,IF($L146&lt;$J146,IF($J146&amp;"-"&amp;$L146&lt;&gt;constPunteggioForfait,1,0),0))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IF(I147="","",HYPERLINK(VLOOKUP(I147,areaCampiSquadre,3,FALSE),VLOOKUP(I147,areaCampiSquadre,2,FALSE)))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123" t="inlineStr">
        <is>
          <t>Gara N.</t>
        </is>
      </c>
      <c r="B148" s="123" t="inlineStr">
        <is>
          <t>Squadra A</t>
        </is>
      </c>
      <c r="C148" s="10" t="n"/>
      <c r="D148" s="123" t="inlineStr">
        <is>
          <t>Squadra B</t>
        </is>
      </c>
      <c r="E148" s="10" t="n"/>
      <c r="F148" s="123" t="inlineStr">
        <is>
          <t>Giorno</t>
        </is>
      </c>
      <c r="G148" s="123" t="inlineStr">
        <is>
          <t>Data</t>
        </is>
      </c>
      <c r="H148" s="123" t="inlineStr">
        <is>
          <t>Ora</t>
        </is>
      </c>
      <c r="I148" s="10" t="n"/>
      <c r="J148" s="123" t="inlineStr">
        <is>
          <t>Risultato</t>
        </is>
      </c>
      <c r="K148" s="9" t="n"/>
      <c r="L148" s="10" t="n"/>
    </row>
    <row r="149" ht="24" customHeight="1">
      <c r="A149" s="125">
        <f>MAX(A$10:A148)+1</f>
        <v/>
      </c>
      <c r="B149" s="61">
        <f>IF(C149="","",IFERROR(VLOOKUP(C149,areaNomiBreviSquadre,7,FALSE),""))</f>
        <v/>
      </c>
      <c r="C149" s="62" t="n"/>
      <c r="D149" s="61">
        <f>IF(E149="","",IFERROR(VLOOKUP(E149,areaNomiBreviSquadre,7,FALSE),""))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IF($J149+$L149=0,,IF($J149&lt;$L149,IF($J149&amp;"-"&amp;$L149=MID(constPunteggioForfait,FIND("-",constPunteggioForfait)+1,LEN(constPunteggioForfait))&amp;"-"&amp;LEFT(constPunteggioForfait,FIND("-",constPunteggioForfait)-1),1,0),0))</f>
        <v/>
      </c>
      <c r="P149" s="67">
        <f>IF($J149+$L149=0,,IF($J149&lt;$L149,IF($J149&amp;"-"&amp;$L149&lt;&gt;MID(constPunteggioForfait,FIND("-",constPunteggioForfait)+1,LEN(constPunteggioForfait))&amp;"-"&amp;LEFT(constPunteggioForfait,FIND("-",constPunteggioForfait)-1),1,0),0))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IF($J149+$L149=0,,IF($L149&lt;$J149,IF($J149&amp;"-"&amp;$L149=constPunteggioForfait,1,0),0))</f>
        <v/>
      </c>
      <c r="W149" s="67">
        <f>IF($J149+$L149=0,,IF($L149&lt;$J149,IF($J149&amp;"-"&amp;$L149&lt;&gt;constPunteggioForfait,1,0),0))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IF(I150="","",HYPERLINK(VLOOKUP(I150,areaCampiSquadre,3,FALSE),VLOOKUP(I150,areaCampiSquadre,2,FALSE)))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123" t="inlineStr">
        <is>
          <t>Gara N.</t>
        </is>
      </c>
      <c r="B151" s="123" t="inlineStr">
        <is>
          <t>Squadra A</t>
        </is>
      </c>
      <c r="C151" s="10" t="n"/>
      <c r="D151" s="123" t="inlineStr">
        <is>
          <t>Squadra B</t>
        </is>
      </c>
      <c r="E151" s="10" t="n"/>
      <c r="F151" s="123" t="inlineStr">
        <is>
          <t>Giorno</t>
        </is>
      </c>
      <c r="G151" s="123" t="inlineStr">
        <is>
          <t>Data</t>
        </is>
      </c>
      <c r="H151" s="123" t="inlineStr">
        <is>
          <t>Ora</t>
        </is>
      </c>
      <c r="I151" s="10" t="n"/>
      <c r="J151" s="123" t="inlineStr">
        <is>
          <t>Risultato</t>
        </is>
      </c>
      <c r="K151" s="9" t="n"/>
      <c r="L151" s="10" t="n"/>
    </row>
    <row r="152" ht="24" customHeight="1">
      <c r="A152" s="125">
        <f>MAX(A$10:A151)+1</f>
        <v/>
      </c>
      <c r="B152" s="61">
        <f>IF(C152="","",IFERROR(VLOOKUP(C152,areaNomiBreviSquadre,7,FALSE),""))</f>
        <v/>
      </c>
      <c r="C152" s="62" t="n"/>
      <c r="D152" s="61">
        <f>IF(E152="","",IFERROR(VLOOKUP(E152,areaNomiBreviSquadre,7,FALSE),""))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IF($J152+$L152=0,,IF($J152&lt;$L152,IF($J152&amp;"-"&amp;$L152=MID(constPunteggioForfait,FIND("-",constPunteggioForfait)+1,LEN(constPunteggioForfait))&amp;"-"&amp;LEFT(constPunteggioForfait,FIND("-",constPunteggioForfait)-1),1,0),0))</f>
        <v/>
      </c>
      <c r="P152" s="67">
        <f>IF($J152+$L152=0,,IF($J152&lt;$L152,IF($J152&amp;"-"&amp;$L152&lt;&gt;MID(constPunteggioForfait,FIND("-",constPunteggioForfait)+1,LEN(constPunteggioForfait))&amp;"-"&amp;LEFT(constPunteggioForfait,FIND("-",constPunteggioForfait)-1),1,0),0))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IF($J152+$L152=0,,IF($L152&lt;$J152,IF($J152&amp;"-"&amp;$L152=constPunteggioForfait,1,0),0))</f>
        <v/>
      </c>
      <c r="W152" s="67">
        <f>IF($J152+$L152=0,,IF($L152&lt;$J152,IF($J152&amp;"-"&amp;$L152&lt;&gt;constPunteggioForfait,1,0),0))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IF(I153="","",HYPERLINK(VLOOKUP(I153,areaCampiSquadre,3,FALSE),VLOOKUP(I153,areaCampiSquadre,2,FALSE)))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123" t="inlineStr">
        <is>
          <t>Gara N.</t>
        </is>
      </c>
      <c r="B154" s="123" t="inlineStr">
        <is>
          <t>Squadra A</t>
        </is>
      </c>
      <c r="C154" s="10" t="n"/>
      <c r="D154" s="123" t="inlineStr">
        <is>
          <t>Squadra B</t>
        </is>
      </c>
      <c r="E154" s="10" t="n"/>
      <c r="F154" s="123" t="inlineStr">
        <is>
          <t>Giorno</t>
        </is>
      </c>
      <c r="G154" s="123" t="inlineStr">
        <is>
          <t>Data</t>
        </is>
      </c>
      <c r="H154" s="123" t="inlineStr">
        <is>
          <t>Ora</t>
        </is>
      </c>
      <c r="I154" s="10" t="n"/>
      <c r="J154" s="123" t="inlineStr">
        <is>
          <t>Risultato</t>
        </is>
      </c>
      <c r="K154" s="9" t="n"/>
      <c r="L154" s="10" t="n"/>
    </row>
    <row r="155" ht="24" customHeight="1">
      <c r="A155" s="125">
        <f>MAX(A$10:A154)+1</f>
        <v/>
      </c>
      <c r="B155" s="61">
        <f>IF(C155="","",IFERROR(VLOOKUP(C155,areaNomiBreviSquadre,7,FALSE),""))</f>
        <v/>
      </c>
      <c r="C155" s="62" t="n"/>
      <c r="D155" s="61">
        <f>IF(E155="","",IFERROR(VLOOKUP(E155,areaNomiBreviSquadre,7,FALSE),""))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IF($J155+$L155=0,,IF($J155&lt;$L155,IF($J155&amp;"-"&amp;$L155=MID(constPunteggioForfait,FIND("-",constPunteggioForfait)+1,LEN(constPunteggioForfait))&amp;"-"&amp;LEFT(constPunteggioForfait,FIND("-",constPunteggioForfait)-1),1,0),0))</f>
        <v/>
      </c>
      <c r="P155" s="67">
        <f>IF($J155+$L155=0,,IF($J155&lt;$L155,IF($J155&amp;"-"&amp;$L155&lt;&gt;MID(constPunteggioForfait,FIND("-",constPunteggioForfait)+1,LEN(constPunteggioForfait))&amp;"-"&amp;LEFT(constPunteggioForfait,FIND("-",constPunteggioForfait)-1),1,0),0))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IF($J155+$L155=0,,IF($L155&lt;$J155,IF($J155&amp;"-"&amp;$L155=constPunteggioForfait,1,0),0))</f>
        <v/>
      </c>
      <c r="W155" s="67">
        <f>IF($J155+$L155=0,,IF($L155&lt;$J155,IF($J155&amp;"-"&amp;$L155&lt;&gt;constPunteggioForfait,1,0),0))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IF(I156="","",HYPERLINK(VLOOKUP(I156,areaCampiSquadre,3,FALSE),VLOOKUP(I156,areaCampiSquadre,2,FALSE)))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123" t="inlineStr">
        <is>
          <t>Gara N.</t>
        </is>
      </c>
      <c r="B157" s="123" t="inlineStr">
        <is>
          <t>Squadra A</t>
        </is>
      </c>
      <c r="C157" s="10" t="n"/>
      <c r="D157" s="123" t="inlineStr">
        <is>
          <t>Squadra B</t>
        </is>
      </c>
      <c r="E157" s="10" t="n"/>
      <c r="F157" s="123" t="inlineStr">
        <is>
          <t>Giorno</t>
        </is>
      </c>
      <c r="G157" s="123" t="inlineStr">
        <is>
          <t>Data</t>
        </is>
      </c>
      <c r="H157" s="123" t="inlineStr">
        <is>
          <t>Ora</t>
        </is>
      </c>
      <c r="I157" s="10" t="n"/>
      <c r="J157" s="123" t="inlineStr">
        <is>
          <t>Risultato</t>
        </is>
      </c>
      <c r="K157" s="9" t="n"/>
      <c r="L157" s="10" t="n"/>
    </row>
    <row r="158" ht="24" customHeight="1">
      <c r="A158" s="125">
        <f>MAX(A$10:A157)+1</f>
        <v/>
      </c>
      <c r="B158" s="61">
        <f>IF(C158="","",IFERROR(VLOOKUP(C158,areaNomiBreviSquadre,7,FALSE),""))</f>
        <v/>
      </c>
      <c r="C158" s="62" t="n"/>
      <c r="D158" s="61">
        <f>IF(E158="","",IFERROR(VLOOKUP(E158,areaNomiBreviSquadre,7,FALSE),""))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IF($J158+$L158=0,,IF($J158&lt;$L158,IF($J158&amp;"-"&amp;$L158=MID(constPunteggioForfait,FIND("-",constPunteggioForfait)+1,LEN(constPunteggioForfait))&amp;"-"&amp;LEFT(constPunteggioForfait,FIND("-",constPunteggioForfait)-1),1,0),0))</f>
        <v/>
      </c>
      <c r="P158" s="67">
        <f>IF($J158+$L158=0,,IF($J158&lt;$L158,IF($J158&amp;"-"&amp;$L158&lt;&gt;MID(constPunteggioForfait,FIND("-",constPunteggioForfait)+1,LEN(constPunteggioForfait))&amp;"-"&amp;LEFT(constPunteggioForfait,FIND("-",constPunteggioForfait)-1),1,0),0))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IF($J158+$L158=0,,IF($L158&lt;$J158,IF($J158&amp;"-"&amp;$L158=constPunteggioForfait,1,0),0))</f>
        <v/>
      </c>
      <c r="W158" s="67">
        <f>IF($J158+$L158=0,,IF($L158&lt;$J158,IF($J158&amp;"-"&amp;$L158&lt;&gt;constPunteggioForfait,1,0),0))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IF(I159="","",HYPERLINK(VLOOKUP(I159,areaCampiSquadre,3,FALSE),VLOOKUP(I159,areaCampiSquadre,2,FALSE)))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tabColor rgb="FF8A6D4F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 t="str">
        <f>IFERROR(IMAGE(constLogo1),"")</f>
        <v/>
      </c>
      <c r="I1" t="str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126">
        <f>"GIRONE "&amp;UPPER($O$3)&amp;" - Stagione "&amp;constStagionaCampionato</f>
        <v/>
      </c>
      <c r="M3" t="str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 t="str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127" t="inlineStr">
        <is>
          <t>1J</t>
        </is>
      </c>
      <c r="B8" s="128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30" t="inlineStr">
        <is>
          <t>Gara N.</t>
        </is>
      </c>
      <c r="B9" s="130" t="inlineStr">
        <is>
          <t>Squadra A</t>
        </is>
      </c>
      <c r="C9" s="10" t="n"/>
      <c r="D9" s="130" t="inlineStr">
        <is>
          <t>Squadra B</t>
        </is>
      </c>
      <c r="E9" s="10" t="n"/>
      <c r="F9" s="130" t="inlineStr">
        <is>
          <t>Giorno</t>
        </is>
      </c>
      <c r="G9" s="130" t="inlineStr">
        <is>
          <t>Data</t>
        </is>
      </c>
      <c r="H9" s="130" t="inlineStr">
        <is>
          <t>Ora</t>
        </is>
      </c>
      <c r="I9" s="10" t="n"/>
      <c r="J9" s="130" t="inlineStr">
        <is>
          <t>Risultato</t>
        </is>
      </c>
      <c r="K9" s="9" t="n"/>
      <c r="L9" s="10" t="n"/>
    </row>
    <row r="10" ht="24" customHeight="1">
      <c r="A10" s="132" t="n">
        <v>406</v>
      </c>
      <c r="B10" s="61">
        <f>IF(C10="","",IFERROR(VLOOKUP(C10,areaNomiBreviSquadre,7,FALSE),""))</f>
        <v/>
      </c>
      <c r="C10" s="62" t="n"/>
      <c r="D10" s="61">
        <f>IF(E10="","",IFERROR(VLOOKUP(E10,areaNomiBreviSquadre,7,FALSE),""))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130" t="inlineStr">
        <is>
          <t>Gara N.</t>
        </is>
      </c>
      <c r="B12" s="130" t="inlineStr">
        <is>
          <t>Squadra A</t>
        </is>
      </c>
      <c r="C12" s="10" t="n"/>
      <c r="D12" s="130" t="inlineStr">
        <is>
          <t>Squadra B</t>
        </is>
      </c>
      <c r="E12" s="10" t="n"/>
      <c r="F12" s="130" t="inlineStr">
        <is>
          <t>Giorno</t>
        </is>
      </c>
      <c r="G12" s="130" t="inlineStr">
        <is>
          <t>Data</t>
        </is>
      </c>
      <c r="H12" s="130" t="inlineStr">
        <is>
          <t>Ora</t>
        </is>
      </c>
      <c r="I12" s="10" t="n"/>
      <c r="J12" s="130" t="inlineStr">
        <is>
          <t>Risultato</t>
        </is>
      </c>
      <c r="K12" s="9" t="n"/>
      <c r="L12" s="10" t="n"/>
    </row>
    <row r="13" ht="24" customHeight="1">
      <c r="A13" s="132">
        <f>MAX(A$10:A12)+1</f>
        <v/>
      </c>
      <c r="B13" s="61">
        <f>IF(C13="","",IFERROR(VLOOKUP(C13,areaNomiBreviSquadre,7,FALSE),""))</f>
        <v/>
      </c>
      <c r="C13" s="62" t="n"/>
      <c r="D13" s="61">
        <f>IF(E13="","",IFERROR(VLOOKUP(E13,areaNomiBreviSquadre,7,FALSE),""))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130" t="inlineStr">
        <is>
          <t>Gara N.</t>
        </is>
      </c>
      <c r="B15" s="130" t="inlineStr">
        <is>
          <t>Squadra A</t>
        </is>
      </c>
      <c r="C15" s="10" t="n"/>
      <c r="D15" s="130" t="inlineStr">
        <is>
          <t>Squadra B</t>
        </is>
      </c>
      <c r="E15" s="10" t="n"/>
      <c r="F15" s="130" t="inlineStr">
        <is>
          <t>Giorno</t>
        </is>
      </c>
      <c r="G15" s="130" t="inlineStr">
        <is>
          <t>Data</t>
        </is>
      </c>
      <c r="H15" s="130" t="inlineStr">
        <is>
          <t>Ora</t>
        </is>
      </c>
      <c r="I15" s="10" t="n"/>
      <c r="J15" s="130" t="inlineStr">
        <is>
          <t>Risultato</t>
        </is>
      </c>
      <c r="K15" s="9" t="n"/>
      <c r="L15" s="10" t="n"/>
    </row>
    <row r="16" ht="24" customHeight="1">
      <c r="A16" s="132">
        <f>MAX(A$10:A15)+1</f>
        <v/>
      </c>
      <c r="B16" s="61">
        <f>IF(C16="","",IFERROR(VLOOKUP(C16,areaNomiBreviSquadre,7,FALSE),""))</f>
        <v/>
      </c>
      <c r="C16" s="62" t="n"/>
      <c r="D16" s="61">
        <f>IF(E16="","",IFERROR(VLOOKUP(E16,areaNomiBreviSquadre,7,FALSE),""))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130" t="inlineStr">
        <is>
          <t>Gara N.</t>
        </is>
      </c>
      <c r="B18" s="130" t="inlineStr">
        <is>
          <t>Squadra A</t>
        </is>
      </c>
      <c r="C18" s="10" t="n"/>
      <c r="D18" s="130" t="inlineStr">
        <is>
          <t>Squadra B</t>
        </is>
      </c>
      <c r="E18" s="10" t="n"/>
      <c r="F18" s="130" t="inlineStr">
        <is>
          <t>Giorno</t>
        </is>
      </c>
      <c r="G18" s="130" t="inlineStr">
        <is>
          <t>Data</t>
        </is>
      </c>
      <c r="H18" s="130" t="inlineStr">
        <is>
          <t>Ora</t>
        </is>
      </c>
      <c r="I18" s="10" t="n"/>
      <c r="J18" s="130" t="inlineStr">
        <is>
          <t>Risultato</t>
        </is>
      </c>
      <c r="K18" s="9" t="n"/>
      <c r="L18" s="10" t="n"/>
    </row>
    <row r="19" ht="24" customHeight="1">
      <c r="A19" s="132">
        <f>MAX(A$10:A18)+1</f>
        <v/>
      </c>
      <c r="B19" s="61">
        <f>IF(C19="","",IFERROR(VLOOKUP(C19,areaNomiBreviSquadre,7,FALSE),""))</f>
        <v/>
      </c>
      <c r="C19" s="62" t="n"/>
      <c r="D19" s="61">
        <f>IF(E19="","",IFERROR(VLOOKUP(E19,areaNomiBreviSquadre,7,FALSE),""))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130" t="inlineStr">
        <is>
          <t>Gara N.</t>
        </is>
      </c>
      <c r="B21" s="130" t="inlineStr">
        <is>
          <t>Squadra A</t>
        </is>
      </c>
      <c r="C21" s="10" t="n"/>
      <c r="D21" s="130" t="inlineStr">
        <is>
          <t>Squadra B</t>
        </is>
      </c>
      <c r="E21" s="10" t="n"/>
      <c r="F21" s="130" t="inlineStr">
        <is>
          <t>Giorno</t>
        </is>
      </c>
      <c r="G21" s="130" t="inlineStr">
        <is>
          <t>Data</t>
        </is>
      </c>
      <c r="H21" s="130" t="inlineStr">
        <is>
          <t>Ora</t>
        </is>
      </c>
      <c r="I21" s="10" t="n"/>
      <c r="J21" s="130" t="inlineStr">
        <is>
          <t>Risultato</t>
        </is>
      </c>
      <c r="K21" s="9" t="n"/>
      <c r="L21" s="10" t="n"/>
    </row>
    <row r="22" ht="24" customHeight="1">
      <c r="A22" s="132">
        <f>MAX(A$10:A21)+1</f>
        <v/>
      </c>
      <c r="B22" s="61">
        <f>IF(C22="","",IFERROR(VLOOKUP(C22,areaNomiBreviSquadre,7,FALSE),""))</f>
        <v/>
      </c>
      <c r="C22" s="62" t="n"/>
      <c r="D22" s="61">
        <f>IF(E22="","",IFERROR(VLOOKUP(E22,areaNomiBreviSquadre,7,FALSE),""))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127" t="inlineStr">
        <is>
          <t>2J</t>
        </is>
      </c>
      <c r="B25" s="128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130" t="inlineStr">
        <is>
          <t>Gara N.</t>
        </is>
      </c>
      <c r="B26" s="130" t="inlineStr">
        <is>
          <t>Squadra A</t>
        </is>
      </c>
      <c r="C26" s="10" t="n"/>
      <c r="D26" s="130" t="inlineStr">
        <is>
          <t>Squadra B</t>
        </is>
      </c>
      <c r="E26" s="10" t="n"/>
      <c r="F26" s="130" t="inlineStr">
        <is>
          <t>Giorno</t>
        </is>
      </c>
      <c r="G26" s="130" t="inlineStr">
        <is>
          <t>Data</t>
        </is>
      </c>
      <c r="H26" s="130" t="inlineStr">
        <is>
          <t>Ora</t>
        </is>
      </c>
      <c r="I26" s="10" t="n"/>
      <c r="J26" s="130" t="inlineStr">
        <is>
          <t>Risultato</t>
        </is>
      </c>
      <c r="K26" s="9" t="n"/>
      <c r="L26" s="10" t="n"/>
    </row>
    <row r="27" ht="24" customHeight="1">
      <c r="A27" s="132">
        <f>MAX(A$10:A26)+1</f>
        <v/>
      </c>
      <c r="B27" s="61">
        <f>IF(C27="","",IFERROR(VLOOKUP(C27,areaNomiBreviSquadre,7,FALSE),""))</f>
        <v/>
      </c>
      <c r="C27" s="62" t="n"/>
      <c r="D27" s="61">
        <f>IF(E27="","",IFERROR(VLOOKUP(E27,areaNomiBreviSquadre,7,FALSE),""))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IF($J27+$L27=0,,IF($J27&lt;$L27,IF($J27&amp;"-"&amp;$L27=MID(constPunteggioForfait,FIND("-",constPunteggioForfait)+1,LEN(constPunteggioForfait))&amp;"-"&amp;LEFT(constPunteggioForfait,FIND("-",constPunteggioForfait)-1),1,0),0))</f>
        <v/>
      </c>
      <c r="P27" s="67">
        <f>IF($J27+$L27=0,,IF($J27&lt;$L27,IF($J27&amp;"-"&amp;$L27&lt;&gt;MID(constPunteggioForfait,FIND("-",constPunteggioForfait)+1,LEN(constPunteggioForfait))&amp;"-"&amp;LEFT(constPunteggioForfait,FIND("-",constPunteggioForfait)-1),1,0),0))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IF($J27+$L27=0,,IF($L27&lt;$J27,IF($J27&amp;"-"&amp;$L27=constPunteggioForfait,1,0),0))</f>
        <v/>
      </c>
      <c r="W27" s="67">
        <f>IF($J27+$L27=0,,IF($L27&lt;$J27,IF($J27&amp;"-"&amp;$L27&lt;&gt;constPunteggioForfait,1,0),0))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IF(I28="","",HYPERLINK(VLOOKUP(I28,areaCampiSquadre,3,FALSE),VLOOKUP(I28,areaCampiSquadre,2,FALSE)))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130" t="inlineStr">
        <is>
          <t>Gara N.</t>
        </is>
      </c>
      <c r="B29" s="130" t="inlineStr">
        <is>
          <t>Squadra A</t>
        </is>
      </c>
      <c r="C29" s="10" t="n"/>
      <c r="D29" s="130" t="inlineStr">
        <is>
          <t>Squadra B</t>
        </is>
      </c>
      <c r="E29" s="10" t="n"/>
      <c r="F29" s="130" t="inlineStr">
        <is>
          <t>Giorno</t>
        </is>
      </c>
      <c r="G29" s="130" t="inlineStr">
        <is>
          <t>Data</t>
        </is>
      </c>
      <c r="H29" s="130" t="inlineStr">
        <is>
          <t>Ora</t>
        </is>
      </c>
      <c r="I29" s="10" t="n"/>
      <c r="J29" s="130" t="inlineStr">
        <is>
          <t>Risultato</t>
        </is>
      </c>
      <c r="K29" s="9" t="n"/>
      <c r="L29" s="10" t="n"/>
    </row>
    <row r="30" ht="24" customHeight="1">
      <c r="A30" s="132">
        <f>MAX(A$10:A29)+1</f>
        <v/>
      </c>
      <c r="B30" s="61">
        <f>IF(C30="","",IFERROR(VLOOKUP(C30,areaNomiBreviSquadre,7,FALSE),""))</f>
        <v/>
      </c>
      <c r="C30" s="62" t="n"/>
      <c r="D30" s="61">
        <f>IF(E30="","",IFERROR(VLOOKUP(E30,areaNomiBreviSquadre,7,FALSE),""))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IF($J30+$L30=0,,IF($J30&lt;$L30,IF($J30&amp;"-"&amp;$L30=MID(constPunteggioForfait,FIND("-",constPunteggioForfait)+1,LEN(constPunteggioForfait))&amp;"-"&amp;LEFT(constPunteggioForfait,FIND("-",constPunteggioForfait)-1),1,0),0))</f>
        <v/>
      </c>
      <c r="P30" s="67">
        <f>IF($J30+$L30=0,,IF($J30&lt;$L30,IF($J30&amp;"-"&amp;$L30&lt;&gt;MID(constPunteggioForfait,FIND("-",constPunteggioForfait)+1,LEN(constPunteggioForfait))&amp;"-"&amp;LEFT(constPunteggioForfait,FIND("-",constPunteggioForfait)-1),1,0),0))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IF($J30+$L30=0,,IF($L30&lt;$J30,IF($J30&amp;"-"&amp;$L30=constPunteggioForfait,1,0),0))</f>
        <v/>
      </c>
      <c r="W30" s="67">
        <f>IF($J30+$L30=0,,IF($L30&lt;$J30,IF($J30&amp;"-"&amp;$L30&lt;&gt;constPunteggioForfait,1,0),0))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IF(I31="","",HYPERLINK(VLOOKUP(I31,areaCampiSquadre,3,FALSE),VLOOKUP(I31,areaCampiSquadre,2,FALSE)))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130" t="inlineStr">
        <is>
          <t>Gara N.</t>
        </is>
      </c>
      <c r="B32" s="130" t="inlineStr">
        <is>
          <t>Squadra A</t>
        </is>
      </c>
      <c r="C32" s="10" t="n"/>
      <c r="D32" s="130" t="inlineStr">
        <is>
          <t>Squadra B</t>
        </is>
      </c>
      <c r="E32" s="10" t="n"/>
      <c r="F32" s="130" t="inlineStr">
        <is>
          <t>Giorno</t>
        </is>
      </c>
      <c r="G32" s="130" t="inlineStr">
        <is>
          <t>Data</t>
        </is>
      </c>
      <c r="H32" s="130" t="inlineStr">
        <is>
          <t>Ora</t>
        </is>
      </c>
      <c r="I32" s="10" t="n"/>
      <c r="J32" s="130" t="inlineStr">
        <is>
          <t>Risultato</t>
        </is>
      </c>
      <c r="K32" s="9" t="n"/>
      <c r="L32" s="10" t="n"/>
    </row>
    <row r="33" ht="24" customHeight="1">
      <c r="A33" s="132">
        <f>MAX(A$10:A32)+1</f>
        <v/>
      </c>
      <c r="B33" s="61">
        <f>IF(C33="","",IFERROR(VLOOKUP(C33,areaNomiBreviSquadre,7,FALSE),""))</f>
        <v/>
      </c>
      <c r="C33" s="62" t="n"/>
      <c r="D33" s="61">
        <f>IF(E33="","",IFERROR(VLOOKUP(E33,areaNomiBreviSquadre,7,FALSE),""))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IF($J33+$L33=0,,IF($J33&lt;$L33,IF($J33&amp;"-"&amp;$L33=MID(constPunteggioForfait,FIND("-",constPunteggioForfait)+1,LEN(constPunteggioForfait))&amp;"-"&amp;LEFT(constPunteggioForfait,FIND("-",constPunteggioForfait)-1),1,0),0))</f>
        <v/>
      </c>
      <c r="P33" s="67">
        <f>IF($J33+$L33=0,,IF($J33&lt;$L33,IF($J33&amp;"-"&amp;$L33&lt;&gt;MID(constPunteggioForfait,FIND("-",constPunteggioForfait)+1,LEN(constPunteggioForfait))&amp;"-"&amp;LEFT(constPunteggioForfait,FIND("-",constPunteggioForfait)-1),1,0),0))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IF($J33+$L33=0,,IF($L33&lt;$J33,IF($J33&amp;"-"&amp;$L33=constPunteggioForfait,1,0),0))</f>
        <v/>
      </c>
      <c r="W33" s="67">
        <f>IF($J33+$L33=0,,IF($L33&lt;$J33,IF($J33&amp;"-"&amp;$L33&lt;&gt;constPunteggioForfait,1,0),0))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IF(I34="","",HYPERLINK(VLOOKUP(I34,areaCampiSquadre,3,FALSE),VLOOKUP(I34,areaCampiSquadre,2,FALSE)))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130" t="inlineStr">
        <is>
          <t>Gara N.</t>
        </is>
      </c>
      <c r="B35" s="130" t="inlineStr">
        <is>
          <t>Squadra A</t>
        </is>
      </c>
      <c r="C35" s="10" t="n"/>
      <c r="D35" s="130" t="inlineStr">
        <is>
          <t>Squadra B</t>
        </is>
      </c>
      <c r="E35" s="10" t="n"/>
      <c r="F35" s="130" t="inlineStr">
        <is>
          <t>Giorno</t>
        </is>
      </c>
      <c r="G35" s="130" t="inlineStr">
        <is>
          <t>Data</t>
        </is>
      </c>
      <c r="H35" s="130" t="inlineStr">
        <is>
          <t>Ora</t>
        </is>
      </c>
      <c r="I35" s="10" t="n"/>
      <c r="J35" s="130" t="inlineStr">
        <is>
          <t>Risultato</t>
        </is>
      </c>
      <c r="K35" s="9" t="n"/>
      <c r="L35" s="10" t="n"/>
    </row>
    <row r="36" ht="24" customHeight="1">
      <c r="A36" s="132">
        <f>MAX(A$10:A35)+1</f>
        <v/>
      </c>
      <c r="B36" s="61">
        <f>IF(C36="","",IFERROR(VLOOKUP(C36,areaNomiBreviSquadre,7,FALSE),""))</f>
        <v/>
      </c>
      <c r="C36" s="62" t="n"/>
      <c r="D36" s="61">
        <f>IF(E36="","",IFERROR(VLOOKUP(E36,areaNomiBreviSquadre,7,FALSE),""))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IF($J36+$L36=0,,IF($J36&lt;$L36,IF($J36&amp;"-"&amp;$L36=MID(constPunteggioForfait,FIND("-",constPunteggioForfait)+1,LEN(constPunteggioForfait))&amp;"-"&amp;LEFT(constPunteggioForfait,FIND("-",constPunteggioForfait)-1),1,0),0))</f>
        <v/>
      </c>
      <c r="P36" s="67">
        <f>IF($J36+$L36=0,,IF($J36&lt;$L36,IF($J36&amp;"-"&amp;$L36&lt;&gt;MID(constPunteggioForfait,FIND("-",constPunteggioForfait)+1,LEN(constPunteggioForfait))&amp;"-"&amp;LEFT(constPunteggioForfait,FIND("-",constPunteggioForfait)-1),1,0),0))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IF($J36+$L36=0,,IF($L36&lt;$J36,IF($J36&amp;"-"&amp;$L36=constPunteggioForfait,1,0),0))</f>
        <v/>
      </c>
      <c r="W36" s="67">
        <f>IF($J36+$L36=0,,IF($L36&lt;$J36,IF($J36&amp;"-"&amp;$L36&lt;&gt;constPunteggioForfait,1,0),0))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IF(I37="","",HYPERLINK(VLOOKUP(I37,areaCampiSquadre,3,FALSE),VLOOKUP(I37,areaCampiSquadre,2,FALSE)))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130" t="inlineStr">
        <is>
          <t>Gara N.</t>
        </is>
      </c>
      <c r="B38" s="130" t="inlineStr">
        <is>
          <t>Squadra A</t>
        </is>
      </c>
      <c r="C38" s="10" t="n"/>
      <c r="D38" s="130" t="inlineStr">
        <is>
          <t>Squadra B</t>
        </is>
      </c>
      <c r="E38" s="10" t="n"/>
      <c r="F38" s="130" t="inlineStr">
        <is>
          <t>Giorno</t>
        </is>
      </c>
      <c r="G38" s="130" t="inlineStr">
        <is>
          <t>Data</t>
        </is>
      </c>
      <c r="H38" s="130" t="inlineStr">
        <is>
          <t>Ora</t>
        </is>
      </c>
      <c r="I38" s="10" t="n"/>
      <c r="J38" s="130" t="inlineStr">
        <is>
          <t>Risultato</t>
        </is>
      </c>
      <c r="K38" s="9" t="n"/>
      <c r="L38" s="10" t="n"/>
    </row>
    <row r="39" ht="24" customHeight="1">
      <c r="A39" s="132">
        <f>MAX(A$10:A38)+1</f>
        <v/>
      </c>
      <c r="B39" s="61">
        <f>IF(C39="","",IFERROR(VLOOKUP(C39,areaNomiBreviSquadre,7,FALSE),""))</f>
        <v/>
      </c>
      <c r="C39" s="62" t="n"/>
      <c r="D39" s="61">
        <f>IF(E39="","",IFERROR(VLOOKUP(E39,areaNomiBreviSquadre,7,FALSE),""))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IF($J39+$L39=0,,IF($J39&lt;$L39,IF($J39&amp;"-"&amp;$L39=MID(constPunteggioForfait,FIND("-",constPunteggioForfait)+1,LEN(constPunteggioForfait))&amp;"-"&amp;LEFT(constPunteggioForfait,FIND("-",constPunteggioForfait)-1),1,0),0))</f>
        <v/>
      </c>
      <c r="P39" s="67">
        <f>IF($J39+$L39=0,,IF($J39&lt;$L39,IF($J39&amp;"-"&amp;$L39&lt;&gt;MID(constPunteggioForfait,FIND("-",constPunteggioForfait)+1,LEN(constPunteggioForfait))&amp;"-"&amp;LEFT(constPunteggioForfait,FIND("-",constPunteggioForfait)-1),1,0),0))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IF($J39+$L39=0,,IF($L39&lt;$J39,IF($J39&amp;"-"&amp;$L39=constPunteggioForfait,1,0),0))</f>
        <v/>
      </c>
      <c r="W39" s="67">
        <f>IF($J39+$L39=0,,IF($L39&lt;$J39,IF($J39&amp;"-"&amp;$L39&lt;&gt;constPunteggioForfait,1,0),0))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IF(I40="","",HYPERLINK(VLOOKUP(I40,areaCampiSquadre,3,FALSE),VLOOKUP(I40,areaCampiSquadre,2,FALSE)))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127" t="inlineStr">
        <is>
          <t>3J</t>
        </is>
      </c>
      <c r="B42" s="128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130" t="inlineStr">
        <is>
          <t>Gara N.</t>
        </is>
      </c>
      <c r="B43" s="130" t="inlineStr">
        <is>
          <t>Squadra A</t>
        </is>
      </c>
      <c r="C43" s="10" t="n"/>
      <c r="D43" s="130" t="inlineStr">
        <is>
          <t>Squadra B</t>
        </is>
      </c>
      <c r="E43" s="10" t="n"/>
      <c r="F43" s="130" t="inlineStr">
        <is>
          <t>Giorno</t>
        </is>
      </c>
      <c r="G43" s="130" t="inlineStr">
        <is>
          <t>Data</t>
        </is>
      </c>
      <c r="H43" s="130" t="inlineStr">
        <is>
          <t>Ora</t>
        </is>
      </c>
      <c r="I43" s="10" t="n"/>
      <c r="J43" s="130" t="inlineStr">
        <is>
          <t>Risultato</t>
        </is>
      </c>
      <c r="K43" s="9" t="n"/>
      <c r="L43" s="10" t="n"/>
    </row>
    <row r="44" ht="24" customHeight="1">
      <c r="A44" s="132">
        <f>MAX(A$10:A43)+1</f>
        <v/>
      </c>
      <c r="B44" s="61">
        <f>IF(C44="","",IFERROR(VLOOKUP(C44,areaNomiBreviSquadre,7,FALSE),""))</f>
        <v/>
      </c>
      <c r="C44" s="62" t="n"/>
      <c r="D44" s="61">
        <f>IF(E44="","",IFERROR(VLOOKUP(E44,areaNomiBreviSquadre,7,FALSE),""))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IF($J44+$L44=0,,IF($J44&lt;$L44,IF($J44&amp;"-"&amp;$L44=MID(constPunteggioForfait,FIND("-",constPunteggioForfait)+1,LEN(constPunteggioForfait))&amp;"-"&amp;LEFT(constPunteggioForfait,FIND("-",constPunteggioForfait)-1),1,0),0))</f>
        <v/>
      </c>
      <c r="P44" s="67">
        <f>IF($J44+$L44=0,,IF($J44&lt;$L44,IF($J44&amp;"-"&amp;$L44&lt;&gt;MID(constPunteggioForfait,FIND("-",constPunteggioForfait)+1,LEN(constPunteggioForfait))&amp;"-"&amp;LEFT(constPunteggioForfait,FIND("-",constPunteggioForfait)-1),1,0),0))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IF($J44+$L44=0,,IF($L44&lt;$J44,IF($J44&amp;"-"&amp;$L44=constPunteggioForfait,1,0),0))</f>
        <v/>
      </c>
      <c r="W44" s="67">
        <f>IF($J44+$L44=0,,IF($L44&lt;$J44,IF($J44&amp;"-"&amp;$L44&lt;&gt;constPunteggioForfait,1,0),0))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IF(I45="","",HYPERLINK(VLOOKUP(I45,areaCampiSquadre,3,FALSE),VLOOKUP(I45,areaCampiSquadre,2,FALSE)))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130" t="inlineStr">
        <is>
          <t>Gara N.</t>
        </is>
      </c>
      <c r="B46" s="130" t="inlineStr">
        <is>
          <t>Squadra A</t>
        </is>
      </c>
      <c r="C46" s="10" t="n"/>
      <c r="D46" s="130" t="inlineStr">
        <is>
          <t>Squadra B</t>
        </is>
      </c>
      <c r="E46" s="10" t="n"/>
      <c r="F46" s="130" t="inlineStr">
        <is>
          <t>Giorno</t>
        </is>
      </c>
      <c r="G46" s="130" t="inlineStr">
        <is>
          <t>Data</t>
        </is>
      </c>
      <c r="H46" s="130" t="inlineStr">
        <is>
          <t>Ora</t>
        </is>
      </c>
      <c r="I46" s="10" t="n"/>
      <c r="J46" s="130" t="inlineStr">
        <is>
          <t>Risultato</t>
        </is>
      </c>
      <c r="K46" s="9" t="n"/>
      <c r="L46" s="10" t="n"/>
    </row>
    <row r="47" ht="24" customHeight="1">
      <c r="A47" s="132">
        <f>MAX(A$10:A46)+1</f>
        <v/>
      </c>
      <c r="B47" s="61">
        <f>IF(C47="","",IFERROR(VLOOKUP(C47,areaNomiBreviSquadre,7,FALSE),""))</f>
        <v/>
      </c>
      <c r="C47" s="62" t="n"/>
      <c r="D47" s="61">
        <f>IF(E47="","",IFERROR(VLOOKUP(E47,areaNomiBreviSquadre,7,FALSE),""))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IF($J47+$L47=0,,IF($J47&lt;$L47,IF($J47&amp;"-"&amp;$L47=MID(constPunteggioForfait,FIND("-",constPunteggioForfait)+1,LEN(constPunteggioForfait))&amp;"-"&amp;LEFT(constPunteggioForfait,FIND("-",constPunteggioForfait)-1),1,0),0))</f>
        <v/>
      </c>
      <c r="P47" s="67">
        <f>IF($J47+$L47=0,,IF($J47&lt;$L47,IF($J47&amp;"-"&amp;$L47&lt;&gt;MID(constPunteggioForfait,FIND("-",constPunteggioForfait)+1,LEN(constPunteggioForfait))&amp;"-"&amp;LEFT(constPunteggioForfait,FIND("-",constPunteggioForfait)-1),1,0),0))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IF($J47+$L47=0,,IF($L47&lt;$J47,IF($J47&amp;"-"&amp;$L47=constPunteggioForfait,1,0),0))</f>
        <v/>
      </c>
      <c r="W47" s="67">
        <f>IF($J47+$L47=0,,IF($L47&lt;$J47,IF($J47&amp;"-"&amp;$L47&lt;&gt;constPunteggioForfait,1,0),0))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IF(I48="","",HYPERLINK(VLOOKUP(I48,areaCampiSquadre,3,FALSE),VLOOKUP(I48,areaCampiSquadre,2,FALSE)))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130" t="inlineStr">
        <is>
          <t>Gara N.</t>
        </is>
      </c>
      <c r="B49" s="130" t="inlineStr">
        <is>
          <t>Squadra A</t>
        </is>
      </c>
      <c r="C49" s="10" t="n"/>
      <c r="D49" s="130" t="inlineStr">
        <is>
          <t>Squadra B</t>
        </is>
      </c>
      <c r="E49" s="10" t="n"/>
      <c r="F49" s="130" t="inlineStr">
        <is>
          <t>Giorno</t>
        </is>
      </c>
      <c r="G49" s="130" t="inlineStr">
        <is>
          <t>Data</t>
        </is>
      </c>
      <c r="H49" s="130" t="inlineStr">
        <is>
          <t>Ora</t>
        </is>
      </c>
      <c r="I49" s="10" t="n"/>
      <c r="J49" s="130" t="inlineStr">
        <is>
          <t>Risultato</t>
        </is>
      </c>
      <c r="K49" s="9" t="n"/>
      <c r="L49" s="10" t="n"/>
    </row>
    <row r="50" ht="24" customHeight="1">
      <c r="A50" s="132">
        <f>MAX(A$10:A49)+1</f>
        <v/>
      </c>
      <c r="B50" s="61">
        <f>IF(C50="","",IFERROR(VLOOKUP(C50,areaNomiBreviSquadre,7,FALSE),""))</f>
        <v/>
      </c>
      <c r="C50" s="62" t="n"/>
      <c r="D50" s="61">
        <f>IF(E50="","",IFERROR(VLOOKUP(E50,areaNomiBreviSquadre,7,FALSE),""))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IF($J50+$L50=0,,IF($J50&lt;$L50,IF($J50&amp;"-"&amp;$L50=MID(constPunteggioForfait,FIND("-",constPunteggioForfait)+1,LEN(constPunteggioForfait))&amp;"-"&amp;LEFT(constPunteggioForfait,FIND("-",constPunteggioForfait)-1),1,0),0))</f>
        <v/>
      </c>
      <c r="P50" s="67">
        <f>IF($J50+$L50=0,,IF($J50&lt;$L50,IF($J50&amp;"-"&amp;$L50&lt;&gt;MID(constPunteggioForfait,FIND("-",constPunteggioForfait)+1,LEN(constPunteggioForfait))&amp;"-"&amp;LEFT(constPunteggioForfait,FIND("-",constPunteggioForfait)-1),1,0),0))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IF($J50+$L50=0,,IF($L50&lt;$J50,IF($J50&amp;"-"&amp;$L50=constPunteggioForfait,1,0),0))</f>
        <v/>
      </c>
      <c r="W50" s="67">
        <f>IF($J50+$L50=0,,IF($L50&lt;$J50,IF($J50&amp;"-"&amp;$L50&lt;&gt;constPunteggioForfait,1,0),0))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IF(I51="","",HYPERLINK(VLOOKUP(I51,areaCampiSquadre,3,FALSE),VLOOKUP(I51,areaCampiSquadre,2,FALSE)))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130" t="inlineStr">
        <is>
          <t>Gara N.</t>
        </is>
      </c>
      <c r="B52" s="130" t="inlineStr">
        <is>
          <t>Squadra A</t>
        </is>
      </c>
      <c r="C52" s="10" t="n"/>
      <c r="D52" s="130" t="inlineStr">
        <is>
          <t>Squadra B</t>
        </is>
      </c>
      <c r="E52" s="10" t="n"/>
      <c r="F52" s="130" t="inlineStr">
        <is>
          <t>Giorno</t>
        </is>
      </c>
      <c r="G52" s="130" t="inlineStr">
        <is>
          <t>Data</t>
        </is>
      </c>
      <c r="H52" s="130" t="inlineStr">
        <is>
          <t>Ora</t>
        </is>
      </c>
      <c r="I52" s="10" t="n"/>
      <c r="J52" s="130" t="inlineStr">
        <is>
          <t>Risultato</t>
        </is>
      </c>
      <c r="K52" s="9" t="n"/>
      <c r="L52" s="10" t="n"/>
    </row>
    <row r="53" ht="24" customHeight="1">
      <c r="A53" s="132">
        <f>MAX(A$10:A52)+1</f>
        <v/>
      </c>
      <c r="B53" s="61">
        <f>IF(C53="","",IFERROR(VLOOKUP(C53,areaNomiBreviSquadre,7,FALSE),""))</f>
        <v/>
      </c>
      <c r="C53" s="62" t="n"/>
      <c r="D53" s="61">
        <f>IF(E53="","",IFERROR(VLOOKUP(E53,areaNomiBreviSquadre,7,FALSE),""))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IF($J53+$L53=0,,IF($J53&lt;$L53,IF($J53&amp;"-"&amp;$L53=MID(constPunteggioForfait,FIND("-",constPunteggioForfait)+1,LEN(constPunteggioForfait))&amp;"-"&amp;LEFT(constPunteggioForfait,FIND("-",constPunteggioForfait)-1),1,0),0))</f>
        <v/>
      </c>
      <c r="P53" s="67">
        <f>IF($J53+$L53=0,,IF($J53&lt;$L53,IF($J53&amp;"-"&amp;$L53&lt;&gt;MID(constPunteggioForfait,FIND("-",constPunteggioForfait)+1,LEN(constPunteggioForfait))&amp;"-"&amp;LEFT(constPunteggioForfait,FIND("-",constPunteggioForfait)-1),1,0),0))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IF($J53+$L53=0,,IF($L53&lt;$J53,IF($J53&amp;"-"&amp;$L53=constPunteggioForfait,1,0),0))</f>
        <v/>
      </c>
      <c r="W53" s="67">
        <f>IF($J53+$L53=0,,IF($L53&lt;$J53,IF($J53&amp;"-"&amp;$L53&lt;&gt;constPunteggioForfait,1,0),0))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IF(I54="","",HYPERLINK(VLOOKUP(I54,areaCampiSquadre,3,FALSE),VLOOKUP(I54,areaCampiSquadre,2,FALSE)))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130" t="inlineStr">
        <is>
          <t>Gara N.</t>
        </is>
      </c>
      <c r="B55" s="130" t="inlineStr">
        <is>
          <t>Squadra A</t>
        </is>
      </c>
      <c r="C55" s="10" t="n"/>
      <c r="D55" s="130" t="inlineStr">
        <is>
          <t>Squadra B</t>
        </is>
      </c>
      <c r="E55" s="10" t="n"/>
      <c r="F55" s="130" t="inlineStr">
        <is>
          <t>Giorno</t>
        </is>
      </c>
      <c r="G55" s="130" t="inlineStr">
        <is>
          <t>Data</t>
        </is>
      </c>
      <c r="H55" s="130" t="inlineStr">
        <is>
          <t>Ora</t>
        </is>
      </c>
      <c r="I55" s="10" t="n"/>
      <c r="J55" s="130" t="inlineStr">
        <is>
          <t>Risultato</t>
        </is>
      </c>
      <c r="K55" s="9" t="n"/>
      <c r="L55" s="10" t="n"/>
    </row>
    <row r="56" ht="24" customHeight="1">
      <c r="A56" s="132">
        <f>MAX(A$10:A55)+1</f>
        <v/>
      </c>
      <c r="B56" s="61">
        <f>IF(C56="","",IFERROR(VLOOKUP(C56,areaNomiBreviSquadre,7,FALSE),""))</f>
        <v/>
      </c>
      <c r="C56" s="62" t="n"/>
      <c r="D56" s="61">
        <f>IF(E56="","",IFERROR(VLOOKUP(E56,areaNomiBreviSquadre,7,FALSE),""))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IF($J56+$L56=0,,IF($J56&lt;$L56,IF($J56&amp;"-"&amp;$L56=MID(constPunteggioForfait,FIND("-",constPunteggioForfait)+1,LEN(constPunteggioForfait))&amp;"-"&amp;LEFT(constPunteggioForfait,FIND("-",constPunteggioForfait)-1),1,0),0))</f>
        <v/>
      </c>
      <c r="P56" s="67">
        <f>IF($J56+$L56=0,,IF($J56&lt;$L56,IF($J56&amp;"-"&amp;$L56&lt;&gt;MID(constPunteggioForfait,FIND("-",constPunteggioForfait)+1,LEN(constPunteggioForfait))&amp;"-"&amp;LEFT(constPunteggioForfait,FIND("-",constPunteggioForfait)-1),1,0),0))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IF($J56+$L56=0,,IF($L56&lt;$J56,IF($J56&amp;"-"&amp;$L56=constPunteggioForfait,1,0),0))</f>
        <v/>
      </c>
      <c r="W56" s="67">
        <f>IF($J56+$L56=0,,IF($L56&lt;$J56,IF($J56&amp;"-"&amp;$L56&lt;&gt;constPunteggioForfait,1,0),0))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IF(I57="","",HYPERLINK(VLOOKUP(I57,areaCampiSquadre,3,FALSE),VLOOKUP(I57,areaCampiSquadre,2,FALSE)))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127" t="inlineStr">
        <is>
          <t>4J</t>
        </is>
      </c>
      <c r="B59" s="128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130" t="inlineStr">
        <is>
          <t>Gara N.</t>
        </is>
      </c>
      <c r="B60" s="130" t="inlineStr">
        <is>
          <t>Squadra A</t>
        </is>
      </c>
      <c r="C60" s="10" t="n"/>
      <c r="D60" s="130" t="inlineStr">
        <is>
          <t>Squadra B</t>
        </is>
      </c>
      <c r="E60" s="10" t="n"/>
      <c r="F60" s="130" t="inlineStr">
        <is>
          <t>Giorno</t>
        </is>
      </c>
      <c r="G60" s="130" t="inlineStr">
        <is>
          <t>Data</t>
        </is>
      </c>
      <c r="H60" s="130" t="inlineStr">
        <is>
          <t>Ora</t>
        </is>
      </c>
      <c r="I60" s="10" t="n"/>
      <c r="J60" s="130" t="inlineStr">
        <is>
          <t>Risultato</t>
        </is>
      </c>
      <c r="K60" s="9" t="n"/>
      <c r="L60" s="10" t="n"/>
    </row>
    <row r="61" ht="24" customHeight="1">
      <c r="A61" s="132">
        <f>MAX(A$10:A60)+1</f>
        <v/>
      </c>
      <c r="B61" s="61">
        <f>IF(C61="","",IFERROR(VLOOKUP(C61,areaNomiBreviSquadre,7,FALSE),""))</f>
        <v/>
      </c>
      <c r="C61" s="62" t="n"/>
      <c r="D61" s="61">
        <f>IF(E61="","",IFERROR(VLOOKUP(E61,areaNomiBreviSquadre,7,FALSE),""))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IF($J61+$L61=0,,IF($J61&lt;$L61,IF($J61&amp;"-"&amp;$L61=MID(constPunteggioForfait,FIND("-",constPunteggioForfait)+1,LEN(constPunteggioForfait))&amp;"-"&amp;LEFT(constPunteggioForfait,FIND("-",constPunteggioForfait)-1),1,0),0))</f>
        <v/>
      </c>
      <c r="P61" s="67">
        <f>IF($J61+$L61=0,,IF($J61&lt;$L61,IF($J61&amp;"-"&amp;$L61&lt;&gt;MID(constPunteggioForfait,FIND("-",constPunteggioForfait)+1,LEN(constPunteggioForfait))&amp;"-"&amp;LEFT(constPunteggioForfait,FIND("-",constPunteggioForfait)-1),1,0),0))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IF($J61+$L61=0,,IF($L61&lt;$J61,IF($J61&amp;"-"&amp;$L61=constPunteggioForfait,1,0),0))</f>
        <v/>
      </c>
      <c r="W61" s="67">
        <f>IF($J61+$L61=0,,IF($L61&lt;$J61,IF($J61&amp;"-"&amp;$L61&lt;&gt;constPunteggioForfait,1,0),0))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IF(I62="","",HYPERLINK(VLOOKUP(I62,areaCampiSquadre,3,FALSE),VLOOKUP(I62,areaCampiSquadre,2,FALSE)))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130" t="inlineStr">
        <is>
          <t>Gara N.</t>
        </is>
      </c>
      <c r="B63" s="130" t="inlineStr">
        <is>
          <t>Squadra A</t>
        </is>
      </c>
      <c r="C63" s="10" t="n"/>
      <c r="D63" s="130" t="inlineStr">
        <is>
          <t>Squadra B</t>
        </is>
      </c>
      <c r="E63" s="10" t="n"/>
      <c r="F63" s="130" t="inlineStr">
        <is>
          <t>Giorno</t>
        </is>
      </c>
      <c r="G63" s="130" t="inlineStr">
        <is>
          <t>Data</t>
        </is>
      </c>
      <c r="H63" s="130" t="inlineStr">
        <is>
          <t>Ora</t>
        </is>
      </c>
      <c r="I63" s="10" t="n"/>
      <c r="J63" s="130" t="inlineStr">
        <is>
          <t>Risultato</t>
        </is>
      </c>
      <c r="K63" s="9" t="n"/>
      <c r="L63" s="10" t="n"/>
    </row>
    <row r="64" ht="24" customHeight="1">
      <c r="A64" s="132">
        <f>MAX(A$10:A63)+1</f>
        <v/>
      </c>
      <c r="B64" s="61">
        <f>IF(C64="","",IFERROR(VLOOKUP(C64,areaNomiBreviSquadre,7,FALSE),""))</f>
        <v/>
      </c>
      <c r="C64" s="62" t="n"/>
      <c r="D64" s="61">
        <f>IF(E64="","",IFERROR(VLOOKUP(E64,areaNomiBreviSquadre,7,FALSE),""))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IF($J64+$L64=0,,IF($J64&lt;$L64,IF($J64&amp;"-"&amp;$L64=MID(constPunteggioForfait,FIND("-",constPunteggioForfait)+1,LEN(constPunteggioForfait))&amp;"-"&amp;LEFT(constPunteggioForfait,FIND("-",constPunteggioForfait)-1),1,0),0))</f>
        <v/>
      </c>
      <c r="P64" s="67">
        <f>IF($J64+$L64=0,,IF($J64&lt;$L64,IF($J64&amp;"-"&amp;$L64&lt;&gt;MID(constPunteggioForfait,FIND("-",constPunteggioForfait)+1,LEN(constPunteggioForfait))&amp;"-"&amp;LEFT(constPunteggioForfait,FIND("-",constPunteggioForfait)-1),1,0),0))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IF($J64+$L64=0,,IF($L64&lt;$J64,IF($J64&amp;"-"&amp;$L64=constPunteggioForfait,1,0),0))</f>
        <v/>
      </c>
      <c r="W64" s="67">
        <f>IF($J64+$L64=0,,IF($L64&lt;$J64,IF($J64&amp;"-"&amp;$L64&lt;&gt;constPunteggioForfait,1,0),0))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IF(I65="","",HYPERLINK(VLOOKUP(I65,areaCampiSquadre,3,FALSE),VLOOKUP(I65,areaCampiSquadre,2,FALSE)))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130" t="inlineStr">
        <is>
          <t>Gara N.</t>
        </is>
      </c>
      <c r="B66" s="130" t="inlineStr">
        <is>
          <t>Squadra A</t>
        </is>
      </c>
      <c r="C66" s="10" t="n"/>
      <c r="D66" s="130" t="inlineStr">
        <is>
          <t>Squadra B</t>
        </is>
      </c>
      <c r="E66" s="10" t="n"/>
      <c r="F66" s="130" t="inlineStr">
        <is>
          <t>Giorno</t>
        </is>
      </c>
      <c r="G66" s="130" t="inlineStr">
        <is>
          <t>Data</t>
        </is>
      </c>
      <c r="H66" s="130" t="inlineStr">
        <is>
          <t>Ora</t>
        </is>
      </c>
      <c r="I66" s="10" t="n"/>
      <c r="J66" s="130" t="inlineStr">
        <is>
          <t>Risultato</t>
        </is>
      </c>
      <c r="K66" s="9" t="n"/>
      <c r="L66" s="10" t="n"/>
    </row>
    <row r="67" ht="24" customHeight="1">
      <c r="A67" s="132">
        <f>MAX(A$10:A66)+1</f>
        <v/>
      </c>
      <c r="B67" s="61">
        <f>IF(C67="","",IFERROR(VLOOKUP(C67,areaNomiBreviSquadre,7,FALSE),""))</f>
        <v/>
      </c>
      <c r="C67" s="62" t="n"/>
      <c r="D67" s="61">
        <f>IF(E67="","",IFERROR(VLOOKUP(E67,areaNomiBreviSquadre,7,FALSE),""))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IF($J67+$L67=0,,IF($J67&lt;$L67,IF($J67&amp;"-"&amp;$L67=MID(constPunteggioForfait,FIND("-",constPunteggioForfait)+1,LEN(constPunteggioForfait))&amp;"-"&amp;LEFT(constPunteggioForfait,FIND("-",constPunteggioForfait)-1),1,0),0))</f>
        <v/>
      </c>
      <c r="P67" s="67">
        <f>IF($J67+$L67=0,,IF($J67&lt;$L67,IF($J67&amp;"-"&amp;$L67&lt;&gt;MID(constPunteggioForfait,FIND("-",constPunteggioForfait)+1,LEN(constPunteggioForfait))&amp;"-"&amp;LEFT(constPunteggioForfait,FIND("-",constPunteggioForfait)-1),1,0),0))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IF($J67+$L67=0,,IF($L67&lt;$J67,IF($J67&amp;"-"&amp;$L67=constPunteggioForfait,1,0),0))</f>
        <v/>
      </c>
      <c r="W67" s="67">
        <f>IF($J67+$L67=0,,IF($L67&lt;$J67,IF($J67&amp;"-"&amp;$L67&lt;&gt;constPunteggioForfait,1,0),0))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IF(I68="","",HYPERLINK(VLOOKUP(I68,areaCampiSquadre,3,FALSE),VLOOKUP(I68,areaCampiSquadre,2,FALSE)))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130" t="inlineStr">
        <is>
          <t>Gara N.</t>
        </is>
      </c>
      <c r="B69" s="130" t="inlineStr">
        <is>
          <t>Squadra A</t>
        </is>
      </c>
      <c r="C69" s="10" t="n"/>
      <c r="D69" s="130" t="inlineStr">
        <is>
          <t>Squadra B</t>
        </is>
      </c>
      <c r="E69" s="10" t="n"/>
      <c r="F69" s="130" t="inlineStr">
        <is>
          <t>Giorno</t>
        </is>
      </c>
      <c r="G69" s="130" t="inlineStr">
        <is>
          <t>Data</t>
        </is>
      </c>
      <c r="H69" s="130" t="inlineStr">
        <is>
          <t>Ora</t>
        </is>
      </c>
      <c r="I69" s="10" t="n"/>
      <c r="J69" s="130" t="inlineStr">
        <is>
          <t>Risultato</t>
        </is>
      </c>
      <c r="K69" s="9" t="n"/>
      <c r="L69" s="10" t="n"/>
    </row>
    <row r="70" ht="24" customHeight="1">
      <c r="A70" s="132">
        <f>MAX(A$10:A69)+1</f>
        <v/>
      </c>
      <c r="B70" s="61">
        <f>IF(C70="","",IFERROR(VLOOKUP(C70,areaNomiBreviSquadre,7,FALSE),""))</f>
        <v/>
      </c>
      <c r="C70" s="62" t="n"/>
      <c r="D70" s="61">
        <f>IF(E70="","",IFERROR(VLOOKUP(E70,areaNomiBreviSquadre,7,FALSE),""))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IF($J70+$L70=0,,IF($J70&lt;$L70,IF($J70&amp;"-"&amp;$L70=MID(constPunteggioForfait,FIND("-",constPunteggioForfait)+1,LEN(constPunteggioForfait))&amp;"-"&amp;LEFT(constPunteggioForfait,FIND("-",constPunteggioForfait)-1),1,0),0))</f>
        <v/>
      </c>
      <c r="P70" s="67">
        <f>IF($J70+$L70=0,,IF($J70&lt;$L70,IF($J70&amp;"-"&amp;$L70&lt;&gt;MID(constPunteggioForfait,FIND("-",constPunteggioForfait)+1,LEN(constPunteggioForfait))&amp;"-"&amp;LEFT(constPunteggioForfait,FIND("-",constPunteggioForfait)-1),1,0),0))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IF($J70+$L70=0,,IF($L70&lt;$J70,IF($J70&amp;"-"&amp;$L70=constPunteggioForfait,1,0),0))</f>
        <v/>
      </c>
      <c r="W70" s="67">
        <f>IF($J70+$L70=0,,IF($L70&lt;$J70,IF($J70&amp;"-"&amp;$L70&lt;&gt;constPunteggioForfait,1,0),0))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IF(I71="","",HYPERLINK(VLOOKUP(I71,areaCampiSquadre,3,FALSE),VLOOKUP(I71,areaCampiSquadre,2,FALSE)))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130" t="inlineStr">
        <is>
          <t>Gara N.</t>
        </is>
      </c>
      <c r="B72" s="130" t="inlineStr">
        <is>
          <t>Squadra A</t>
        </is>
      </c>
      <c r="C72" s="10" t="n"/>
      <c r="D72" s="130" t="inlineStr">
        <is>
          <t>Squadra B</t>
        </is>
      </c>
      <c r="E72" s="10" t="n"/>
      <c r="F72" s="130" t="inlineStr">
        <is>
          <t>Giorno</t>
        </is>
      </c>
      <c r="G72" s="130" t="inlineStr">
        <is>
          <t>Data</t>
        </is>
      </c>
      <c r="H72" s="130" t="inlineStr">
        <is>
          <t>Ora</t>
        </is>
      </c>
      <c r="I72" s="10" t="n"/>
      <c r="J72" s="130" t="inlineStr">
        <is>
          <t>Risultato</t>
        </is>
      </c>
      <c r="K72" s="9" t="n"/>
      <c r="L72" s="10" t="n"/>
    </row>
    <row r="73" ht="24" customHeight="1">
      <c r="A73" s="132">
        <f>MAX(A$10:A72)+1</f>
        <v/>
      </c>
      <c r="B73" s="61">
        <f>IF(C73="","",IFERROR(VLOOKUP(C73,areaNomiBreviSquadre,7,FALSE),""))</f>
        <v/>
      </c>
      <c r="C73" s="62" t="n"/>
      <c r="D73" s="61">
        <f>IF(E73="","",IFERROR(VLOOKUP(E73,areaNomiBreviSquadre,7,FALSE),""))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IF($J73+$L73=0,,IF($J73&lt;$L73,IF($J73&amp;"-"&amp;$L73=MID(constPunteggioForfait,FIND("-",constPunteggioForfait)+1,LEN(constPunteggioForfait))&amp;"-"&amp;LEFT(constPunteggioForfait,FIND("-",constPunteggioForfait)-1),1,0),0))</f>
        <v/>
      </c>
      <c r="P73" s="67">
        <f>IF($J73+$L73=0,,IF($J73&lt;$L73,IF($J73&amp;"-"&amp;$L73&lt;&gt;MID(constPunteggioForfait,FIND("-",constPunteggioForfait)+1,LEN(constPunteggioForfait))&amp;"-"&amp;LEFT(constPunteggioForfait,FIND("-",constPunteggioForfait)-1),1,0),0))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IF($J73+$L73=0,,IF($L73&lt;$J73,IF($J73&amp;"-"&amp;$L73=constPunteggioForfait,1,0),0))</f>
        <v/>
      </c>
      <c r="W73" s="67">
        <f>IF($J73+$L73=0,,IF($L73&lt;$J73,IF($J73&amp;"-"&amp;$L73&lt;&gt;constPunteggioForfait,1,0),0))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IF(I74="","",HYPERLINK(VLOOKUP(I74,areaCampiSquadre,3,FALSE),VLOOKUP(I74,areaCampiSquadre,2,FALSE)))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127" t="inlineStr">
        <is>
          <t>5J</t>
        </is>
      </c>
      <c r="B76" s="128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130" t="inlineStr">
        <is>
          <t>Gara N.</t>
        </is>
      </c>
      <c r="B77" s="130" t="inlineStr">
        <is>
          <t>Squadra A</t>
        </is>
      </c>
      <c r="C77" s="10" t="n"/>
      <c r="D77" s="130" t="inlineStr">
        <is>
          <t>Squadra B</t>
        </is>
      </c>
      <c r="E77" s="10" t="n"/>
      <c r="F77" s="130" t="inlineStr">
        <is>
          <t>Giorno</t>
        </is>
      </c>
      <c r="G77" s="130" t="inlineStr">
        <is>
          <t>Data</t>
        </is>
      </c>
      <c r="H77" s="130" t="inlineStr">
        <is>
          <t>Ora</t>
        </is>
      </c>
      <c r="I77" s="10" t="n"/>
      <c r="J77" s="130" t="inlineStr">
        <is>
          <t>Risultato</t>
        </is>
      </c>
      <c r="K77" s="9" t="n"/>
      <c r="L77" s="10" t="n"/>
    </row>
    <row r="78" ht="24" customHeight="1">
      <c r="A78" s="132">
        <f>MAX(A$10:A77)+1</f>
        <v/>
      </c>
      <c r="B78" s="61">
        <f>IF(C78="","",IFERROR(VLOOKUP(C78,areaNomiBreviSquadre,7,FALSE),""))</f>
        <v/>
      </c>
      <c r="C78" s="62" t="n"/>
      <c r="D78" s="61">
        <f>IF(E78="","",IFERROR(VLOOKUP(E78,areaNomiBreviSquadre,7,FALSE),""))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IF($J78+$L78=0,,IF($J78&lt;$L78,IF($J78&amp;"-"&amp;$L78=MID(constPunteggioForfait,FIND("-",constPunteggioForfait)+1,LEN(constPunteggioForfait))&amp;"-"&amp;LEFT(constPunteggioForfait,FIND("-",constPunteggioForfait)-1),1,0),0))</f>
        <v/>
      </c>
      <c r="P78" s="67">
        <f>IF($J78+$L78=0,,IF($J78&lt;$L78,IF($J78&amp;"-"&amp;$L78&lt;&gt;MID(constPunteggioForfait,FIND("-",constPunteggioForfait)+1,LEN(constPunteggioForfait))&amp;"-"&amp;LEFT(constPunteggioForfait,FIND("-",constPunteggioForfait)-1),1,0),0))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IF($J78+$L78=0,,IF($L78&lt;$J78,IF($J78&amp;"-"&amp;$L78=constPunteggioForfait,1,0),0))</f>
        <v/>
      </c>
      <c r="W78" s="67">
        <f>IF($J78+$L78=0,,IF($L78&lt;$J78,IF($J78&amp;"-"&amp;$L78&lt;&gt;constPunteggioForfait,1,0),0))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IF(I79="","",HYPERLINK(VLOOKUP(I79,areaCampiSquadre,3,FALSE),VLOOKUP(I79,areaCampiSquadre,2,FALSE)))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130" t="inlineStr">
        <is>
          <t>Gara N.</t>
        </is>
      </c>
      <c r="B80" s="130" t="inlineStr">
        <is>
          <t>Squadra A</t>
        </is>
      </c>
      <c r="C80" s="10" t="n"/>
      <c r="D80" s="130" t="inlineStr">
        <is>
          <t>Squadra B</t>
        </is>
      </c>
      <c r="E80" s="10" t="n"/>
      <c r="F80" s="130" t="inlineStr">
        <is>
          <t>Giorno</t>
        </is>
      </c>
      <c r="G80" s="130" t="inlineStr">
        <is>
          <t>Data</t>
        </is>
      </c>
      <c r="H80" s="130" t="inlineStr">
        <is>
          <t>Ora</t>
        </is>
      </c>
      <c r="I80" s="10" t="n"/>
      <c r="J80" s="130" t="inlineStr">
        <is>
          <t>Risultato</t>
        </is>
      </c>
      <c r="K80" s="9" t="n"/>
      <c r="L80" s="10" t="n"/>
    </row>
    <row r="81" ht="24" customHeight="1">
      <c r="A81" s="132">
        <f>MAX(A$10:A80)+1</f>
        <v/>
      </c>
      <c r="B81" s="61">
        <f>IF(C81="","",IFERROR(VLOOKUP(C81,areaNomiBreviSquadre,7,FALSE),""))</f>
        <v/>
      </c>
      <c r="C81" s="62" t="n"/>
      <c r="D81" s="61">
        <f>IF(E81="","",IFERROR(VLOOKUP(E81,areaNomiBreviSquadre,7,FALSE),""))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IF($J81+$L81=0,,IF($J81&lt;$L81,IF($J81&amp;"-"&amp;$L81=MID(constPunteggioForfait,FIND("-",constPunteggioForfait)+1,LEN(constPunteggioForfait))&amp;"-"&amp;LEFT(constPunteggioForfait,FIND("-",constPunteggioForfait)-1),1,0),0))</f>
        <v/>
      </c>
      <c r="P81" s="67">
        <f>IF($J81+$L81=0,,IF($J81&lt;$L81,IF($J81&amp;"-"&amp;$L81&lt;&gt;MID(constPunteggioForfait,FIND("-",constPunteggioForfait)+1,LEN(constPunteggioForfait))&amp;"-"&amp;LEFT(constPunteggioForfait,FIND("-",constPunteggioForfait)-1),1,0),0))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IF($J81+$L81=0,,IF($L81&lt;$J81,IF($J81&amp;"-"&amp;$L81=constPunteggioForfait,1,0),0))</f>
        <v/>
      </c>
      <c r="W81" s="67">
        <f>IF($J81+$L81=0,,IF($L81&lt;$J81,IF($J81&amp;"-"&amp;$L81&lt;&gt;constPunteggioForfait,1,0),0))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IF(I82="","",HYPERLINK(VLOOKUP(I82,areaCampiSquadre,3,FALSE),VLOOKUP(I82,areaCampiSquadre,2,FALSE)))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130" t="inlineStr">
        <is>
          <t>Gara N.</t>
        </is>
      </c>
      <c r="B83" s="130" t="inlineStr">
        <is>
          <t>Squadra A</t>
        </is>
      </c>
      <c r="C83" s="10" t="n"/>
      <c r="D83" s="130" t="inlineStr">
        <is>
          <t>Squadra B</t>
        </is>
      </c>
      <c r="E83" s="10" t="n"/>
      <c r="F83" s="130" t="inlineStr">
        <is>
          <t>Giorno</t>
        </is>
      </c>
      <c r="G83" s="130" t="inlineStr">
        <is>
          <t>Data</t>
        </is>
      </c>
      <c r="H83" s="130" t="inlineStr">
        <is>
          <t>Ora</t>
        </is>
      </c>
      <c r="I83" s="10" t="n"/>
      <c r="J83" s="130" t="inlineStr">
        <is>
          <t>Risultato</t>
        </is>
      </c>
      <c r="K83" s="9" t="n"/>
      <c r="L83" s="10" t="n"/>
    </row>
    <row r="84" ht="24" customHeight="1">
      <c r="A84" s="132">
        <f>MAX(A$10:A83)+1</f>
        <v/>
      </c>
      <c r="B84" s="61">
        <f>IF(C84="","",IFERROR(VLOOKUP(C84,areaNomiBreviSquadre,7,FALSE),""))</f>
        <v/>
      </c>
      <c r="C84" s="62" t="n"/>
      <c r="D84" s="61">
        <f>IF(E84="","",IFERROR(VLOOKUP(E84,areaNomiBreviSquadre,7,FALSE),""))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IF($J84+$L84=0,,IF($J84&lt;$L84,IF($J84&amp;"-"&amp;$L84=MID(constPunteggioForfait,FIND("-",constPunteggioForfait)+1,LEN(constPunteggioForfait))&amp;"-"&amp;LEFT(constPunteggioForfait,FIND("-",constPunteggioForfait)-1),1,0),0))</f>
        <v/>
      </c>
      <c r="P84" s="67">
        <f>IF($J84+$L84=0,,IF($J84&lt;$L84,IF($J84&amp;"-"&amp;$L84&lt;&gt;MID(constPunteggioForfait,FIND("-",constPunteggioForfait)+1,LEN(constPunteggioForfait))&amp;"-"&amp;LEFT(constPunteggioForfait,FIND("-",constPunteggioForfait)-1),1,0),0))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IF($J84+$L84=0,,IF($L84&lt;$J84,IF($J84&amp;"-"&amp;$L84=constPunteggioForfait,1,0),0))</f>
        <v/>
      </c>
      <c r="W84" s="67">
        <f>IF($J84+$L84=0,,IF($L84&lt;$J84,IF($J84&amp;"-"&amp;$L84&lt;&gt;constPunteggioForfait,1,0),0))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IF(I85="","",HYPERLINK(VLOOKUP(I85,areaCampiSquadre,3,FALSE),VLOOKUP(I85,areaCampiSquadre,2,FALSE)))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130" t="inlineStr">
        <is>
          <t>Gara N.</t>
        </is>
      </c>
      <c r="B86" s="130" t="inlineStr">
        <is>
          <t>Squadra A</t>
        </is>
      </c>
      <c r="C86" s="10" t="n"/>
      <c r="D86" s="130" t="inlineStr">
        <is>
          <t>Squadra B</t>
        </is>
      </c>
      <c r="E86" s="10" t="n"/>
      <c r="F86" s="130" t="inlineStr">
        <is>
          <t>Giorno</t>
        </is>
      </c>
      <c r="G86" s="130" t="inlineStr">
        <is>
          <t>Data</t>
        </is>
      </c>
      <c r="H86" s="130" t="inlineStr">
        <is>
          <t>Ora</t>
        </is>
      </c>
      <c r="I86" s="10" t="n"/>
      <c r="J86" s="130" t="inlineStr">
        <is>
          <t>Risultato</t>
        </is>
      </c>
      <c r="K86" s="9" t="n"/>
      <c r="L86" s="10" t="n"/>
    </row>
    <row r="87" ht="24" customHeight="1">
      <c r="A87" s="132">
        <f>MAX(A$10:A86)+1</f>
        <v/>
      </c>
      <c r="B87" s="61">
        <f>IF(C87="","",IFERROR(VLOOKUP(C87,areaNomiBreviSquadre,7,FALSE),""))</f>
        <v/>
      </c>
      <c r="C87" s="62" t="n"/>
      <c r="D87" s="61">
        <f>IF(E87="","",IFERROR(VLOOKUP(E87,areaNomiBreviSquadre,7,FALSE),""))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IF($J87+$L87=0,,IF($J87&lt;$L87,IF($J87&amp;"-"&amp;$L87=MID(constPunteggioForfait,FIND("-",constPunteggioForfait)+1,LEN(constPunteggioForfait))&amp;"-"&amp;LEFT(constPunteggioForfait,FIND("-",constPunteggioForfait)-1),1,0),0))</f>
        <v/>
      </c>
      <c r="P87" s="67">
        <f>IF($J87+$L87=0,,IF($J87&lt;$L87,IF($J87&amp;"-"&amp;$L87&lt;&gt;MID(constPunteggioForfait,FIND("-",constPunteggioForfait)+1,LEN(constPunteggioForfait))&amp;"-"&amp;LEFT(constPunteggioForfait,FIND("-",constPunteggioForfait)-1),1,0),0))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IF($J87+$L87=0,,IF($L87&lt;$J87,IF($J87&amp;"-"&amp;$L87=constPunteggioForfait,1,0),0))</f>
        <v/>
      </c>
      <c r="W87" s="67">
        <f>IF($J87+$L87=0,,IF($L87&lt;$J87,IF($J87&amp;"-"&amp;$L87&lt;&gt;constPunteggioForfait,1,0),0))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IF(I88="","",HYPERLINK(VLOOKUP(I88,areaCampiSquadre,3,FALSE),VLOOKUP(I88,areaCampiSquadre,2,FALSE)))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130" t="inlineStr">
        <is>
          <t>Gara N.</t>
        </is>
      </c>
      <c r="B89" s="130" t="inlineStr">
        <is>
          <t>Squadra A</t>
        </is>
      </c>
      <c r="C89" s="10" t="n"/>
      <c r="D89" s="130" t="inlineStr">
        <is>
          <t>Squadra B</t>
        </is>
      </c>
      <c r="E89" s="10" t="n"/>
      <c r="F89" s="130" t="inlineStr">
        <is>
          <t>Giorno</t>
        </is>
      </c>
      <c r="G89" s="130" t="inlineStr">
        <is>
          <t>Data</t>
        </is>
      </c>
      <c r="H89" s="130" t="inlineStr">
        <is>
          <t>Ora</t>
        </is>
      </c>
      <c r="I89" s="10" t="n"/>
      <c r="J89" s="130" t="inlineStr">
        <is>
          <t>Risultato</t>
        </is>
      </c>
      <c r="K89" s="9" t="n"/>
      <c r="L89" s="10" t="n"/>
    </row>
    <row r="90" ht="24" customHeight="1">
      <c r="A90" s="132">
        <f>MAX(A$10:A89)+1</f>
        <v/>
      </c>
      <c r="B90" s="61">
        <f>IF(C90="","",IFERROR(VLOOKUP(C90,areaNomiBreviSquadre,7,FALSE),""))</f>
        <v/>
      </c>
      <c r="C90" s="62" t="n"/>
      <c r="D90" s="61">
        <f>IF(E90="","",IFERROR(VLOOKUP(E90,areaNomiBreviSquadre,7,FALSE),""))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IF($J90+$L90=0,,IF($J90&lt;$L90,IF($J90&amp;"-"&amp;$L90=MID(constPunteggioForfait,FIND("-",constPunteggioForfait)+1,LEN(constPunteggioForfait))&amp;"-"&amp;LEFT(constPunteggioForfait,FIND("-",constPunteggioForfait)-1),1,0),0))</f>
        <v/>
      </c>
      <c r="P90" s="67">
        <f>IF($J90+$L90=0,,IF($J90&lt;$L90,IF($J90&amp;"-"&amp;$L90&lt;&gt;MID(constPunteggioForfait,FIND("-",constPunteggioForfait)+1,LEN(constPunteggioForfait))&amp;"-"&amp;LEFT(constPunteggioForfait,FIND("-",constPunteggioForfait)-1),1,0),0))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IF($J90+$L90=0,,IF($L90&lt;$J90,IF($J90&amp;"-"&amp;$L90=constPunteggioForfait,1,0),0))</f>
        <v/>
      </c>
      <c r="W90" s="67">
        <f>IF($J90+$L90=0,,IF($L90&lt;$J90,IF($J90&amp;"-"&amp;$L90&lt;&gt;constPunteggioForfait,1,0),0))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IF(I91="","",HYPERLINK(VLOOKUP(I91,areaCampiSquadre,3,FALSE),VLOOKUP(I91,areaCampiSquadre,2,FALSE)))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127" t="inlineStr">
        <is>
          <t>6J</t>
        </is>
      </c>
      <c r="B93" s="128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130" t="inlineStr">
        <is>
          <t>Gara N.</t>
        </is>
      </c>
      <c r="B94" s="130" t="inlineStr">
        <is>
          <t>Squadra A</t>
        </is>
      </c>
      <c r="C94" s="10" t="n"/>
      <c r="D94" s="130" t="inlineStr">
        <is>
          <t>Squadra B</t>
        </is>
      </c>
      <c r="E94" s="10" t="n"/>
      <c r="F94" s="130" t="inlineStr">
        <is>
          <t>Giorno</t>
        </is>
      </c>
      <c r="G94" s="130" t="inlineStr">
        <is>
          <t>Data</t>
        </is>
      </c>
      <c r="H94" s="130" t="inlineStr">
        <is>
          <t>Ora</t>
        </is>
      </c>
      <c r="I94" s="10" t="n"/>
      <c r="J94" s="130" t="inlineStr">
        <is>
          <t>Risultato</t>
        </is>
      </c>
      <c r="K94" s="9" t="n"/>
      <c r="L94" s="10" t="n"/>
    </row>
    <row r="95" ht="24" customHeight="1">
      <c r="A95" s="132">
        <f>MAX(A$10:A94)+1</f>
        <v/>
      </c>
      <c r="B95" s="61">
        <f>IF(C95="","",IFERROR(VLOOKUP(C95,areaNomiBreviSquadre,7,FALSE),""))</f>
        <v/>
      </c>
      <c r="C95" s="62" t="n"/>
      <c r="D95" s="61">
        <f>IF(E95="","",IFERROR(VLOOKUP(E95,areaNomiBreviSquadre,7,FALSE),""))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130" t="inlineStr">
        <is>
          <t>Gara N.</t>
        </is>
      </c>
      <c r="B97" s="130" t="inlineStr">
        <is>
          <t>Squadra A</t>
        </is>
      </c>
      <c r="C97" s="10" t="n"/>
      <c r="D97" s="130" t="inlineStr">
        <is>
          <t>Squadra B</t>
        </is>
      </c>
      <c r="E97" s="10" t="n"/>
      <c r="F97" s="130" t="inlineStr">
        <is>
          <t>Giorno</t>
        </is>
      </c>
      <c r="G97" s="130" t="inlineStr">
        <is>
          <t>Data</t>
        </is>
      </c>
      <c r="H97" s="130" t="inlineStr">
        <is>
          <t>Ora</t>
        </is>
      </c>
      <c r="I97" s="10" t="n"/>
      <c r="J97" s="130" t="inlineStr">
        <is>
          <t>Risultato</t>
        </is>
      </c>
      <c r="K97" s="9" t="n"/>
      <c r="L97" s="10" t="n"/>
    </row>
    <row r="98" ht="24" customHeight="1">
      <c r="A98" s="132">
        <f>MAX(A$10:A97)+1</f>
        <v/>
      </c>
      <c r="B98" s="61">
        <f>IF(C98="","",IFERROR(VLOOKUP(C98,areaNomiBreviSquadre,7,FALSE),""))</f>
        <v/>
      </c>
      <c r="C98" s="62" t="n"/>
      <c r="D98" s="61">
        <f>IF(E98="","",IFERROR(VLOOKUP(E98,areaNomiBreviSquadre,7,FALSE),""))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130" t="inlineStr">
        <is>
          <t>Gara N.</t>
        </is>
      </c>
      <c r="B100" s="130" t="inlineStr">
        <is>
          <t>Squadra A</t>
        </is>
      </c>
      <c r="C100" s="10" t="n"/>
      <c r="D100" s="130" t="inlineStr">
        <is>
          <t>Squadra B</t>
        </is>
      </c>
      <c r="E100" s="10" t="n"/>
      <c r="F100" s="130" t="inlineStr">
        <is>
          <t>Giorno</t>
        </is>
      </c>
      <c r="G100" s="130" t="inlineStr">
        <is>
          <t>Data</t>
        </is>
      </c>
      <c r="H100" s="130" t="inlineStr">
        <is>
          <t>Ora</t>
        </is>
      </c>
      <c r="I100" s="10" t="n"/>
      <c r="J100" s="130" t="inlineStr">
        <is>
          <t>Risultato</t>
        </is>
      </c>
      <c r="K100" s="9" t="n"/>
      <c r="L100" s="10" t="n"/>
    </row>
    <row r="101" ht="24" customHeight="1">
      <c r="A101" s="132">
        <f>MAX(A$10:A100)+1</f>
        <v/>
      </c>
      <c r="B101" s="61">
        <f>IF(C101="","",IFERROR(VLOOKUP(C101,areaNomiBreviSquadre,7,FALSE),""))</f>
        <v/>
      </c>
      <c r="C101" s="62" t="n"/>
      <c r="D101" s="61">
        <f>IF(E101="","",IFERROR(VLOOKUP(E101,areaNomiBreviSquadre,7,FALSE),""))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130" t="inlineStr">
        <is>
          <t>Gara N.</t>
        </is>
      </c>
      <c r="B103" s="130" t="inlineStr">
        <is>
          <t>Squadra A</t>
        </is>
      </c>
      <c r="C103" s="10" t="n"/>
      <c r="D103" s="130" t="inlineStr">
        <is>
          <t>Squadra B</t>
        </is>
      </c>
      <c r="E103" s="10" t="n"/>
      <c r="F103" s="130" t="inlineStr">
        <is>
          <t>Giorno</t>
        </is>
      </c>
      <c r="G103" s="130" t="inlineStr">
        <is>
          <t>Data</t>
        </is>
      </c>
      <c r="H103" s="130" t="inlineStr">
        <is>
          <t>Ora</t>
        </is>
      </c>
      <c r="I103" s="10" t="n"/>
      <c r="J103" s="130" t="inlineStr">
        <is>
          <t>Risultato</t>
        </is>
      </c>
      <c r="K103" s="9" t="n"/>
      <c r="L103" s="10" t="n"/>
    </row>
    <row r="104" ht="24" customHeight="1">
      <c r="A104" s="132">
        <f>MAX(A$10:A103)+1</f>
        <v/>
      </c>
      <c r="B104" s="61">
        <f>IF(C104="","",IFERROR(VLOOKUP(C104,areaNomiBreviSquadre,7,FALSE),""))</f>
        <v/>
      </c>
      <c r="C104" s="62" t="n"/>
      <c r="D104" s="61">
        <f>IF(E104="","",IFERROR(VLOOKUP(E104,areaNomiBreviSquadre,7,FALSE),""))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IF($J104+$L104=0,,IF($J104&lt;$L104,IF($J104&amp;"-"&amp;$L104=MID(constPunteggioForfait,FIND("-",constPunteggioForfait)+1,LEN(constPunteggioForfait))&amp;"-"&amp;LEFT(constPunteggioForfait,FIND("-",constPunteggioForfait)-1),1,0),0))</f>
        <v/>
      </c>
      <c r="P104" s="67">
        <f>IF($J104+$L104=0,,IF($J104&lt;$L104,IF($J104&amp;"-"&amp;$L104&lt;&gt;MID(constPunteggioForfait,FIND("-",constPunteggioForfait)+1,LEN(constPunteggioForfait))&amp;"-"&amp;LEFT(constPunteggioForfait,FIND("-",constPunteggioForfait)-1),1,0),0))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IF($J104+$L104=0,,IF($L104&lt;$J104,IF($J104&amp;"-"&amp;$L104=constPunteggioForfait,1,0),0))</f>
        <v/>
      </c>
      <c r="W104" s="67">
        <f>IF($J104+$L104=0,,IF($L104&lt;$J104,IF($J104&amp;"-"&amp;$L104&lt;&gt;constPunteggioForfait,1,0),0))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IF(I105="","",HYPERLINK(VLOOKUP(I105,areaCampiSquadre,3,FALSE),VLOOKUP(I105,areaCampiSquadre,2,FALSE)))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130" t="inlineStr">
        <is>
          <t>Gara N.</t>
        </is>
      </c>
      <c r="B106" s="130" t="inlineStr">
        <is>
          <t>Squadra A</t>
        </is>
      </c>
      <c r="C106" s="10" t="n"/>
      <c r="D106" s="130" t="inlineStr">
        <is>
          <t>Squadra B</t>
        </is>
      </c>
      <c r="E106" s="10" t="n"/>
      <c r="F106" s="130" t="inlineStr">
        <is>
          <t>Giorno</t>
        </is>
      </c>
      <c r="G106" s="130" t="inlineStr">
        <is>
          <t>Data</t>
        </is>
      </c>
      <c r="H106" s="130" t="inlineStr">
        <is>
          <t>Ora</t>
        </is>
      </c>
      <c r="I106" s="10" t="n"/>
      <c r="J106" s="130" t="inlineStr">
        <is>
          <t>Risultato</t>
        </is>
      </c>
      <c r="K106" s="9" t="n"/>
      <c r="L106" s="10" t="n"/>
    </row>
    <row r="107" ht="24" customHeight="1">
      <c r="A107" s="132">
        <f>MAX(A$10:A106)+1</f>
        <v/>
      </c>
      <c r="B107" s="61">
        <f>IF(C107="","",IFERROR(VLOOKUP(C107,areaNomiBreviSquadre,7,FALSE),""))</f>
        <v/>
      </c>
      <c r="C107" s="62" t="n"/>
      <c r="D107" s="61">
        <f>IF(E107="","",IFERROR(VLOOKUP(E107,areaNomiBreviSquadre,7,FALSE),""))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IF($J107+$L107=0,,IF($J107&lt;$L107,IF($J107&amp;"-"&amp;$L107=MID(constPunteggioForfait,FIND("-",constPunteggioForfait)+1,LEN(constPunteggioForfait))&amp;"-"&amp;LEFT(constPunteggioForfait,FIND("-",constPunteggioForfait)-1),1,0),0))</f>
        <v/>
      </c>
      <c r="P107" s="67">
        <f>IF($J107+$L107=0,,IF($J107&lt;$L107,IF($J107&amp;"-"&amp;$L107&lt;&gt;MID(constPunteggioForfait,FIND("-",constPunteggioForfait)+1,LEN(constPunteggioForfait))&amp;"-"&amp;LEFT(constPunteggioForfait,FIND("-",constPunteggioForfait)-1),1,0),0))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IF($J107+$L107=0,,IF($L107&lt;$J107,IF($J107&amp;"-"&amp;$L107=constPunteggioForfait,1,0),0))</f>
        <v/>
      </c>
      <c r="W107" s="67">
        <f>IF($J107+$L107=0,,IF($L107&lt;$J107,IF($J107&amp;"-"&amp;$L107&lt;&gt;constPunteggioForfait,1,0),0))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IF(I108="","",HYPERLINK(VLOOKUP(I108,areaCampiSquadre,3,FALSE),VLOOKUP(I108,areaCampiSquadre,2,FALSE)))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127" t="inlineStr">
        <is>
          <t>7J</t>
        </is>
      </c>
      <c r="B110" s="128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130" t="inlineStr">
        <is>
          <t>Gara N.</t>
        </is>
      </c>
      <c r="B111" s="130" t="inlineStr">
        <is>
          <t>Squadra A</t>
        </is>
      </c>
      <c r="C111" s="10" t="n"/>
      <c r="D111" s="130" t="inlineStr">
        <is>
          <t>Squadra B</t>
        </is>
      </c>
      <c r="E111" s="10" t="n"/>
      <c r="F111" s="130" t="inlineStr">
        <is>
          <t>Giorno</t>
        </is>
      </c>
      <c r="G111" s="130" t="inlineStr">
        <is>
          <t>Data</t>
        </is>
      </c>
      <c r="H111" s="130" t="inlineStr">
        <is>
          <t>Ora</t>
        </is>
      </c>
      <c r="I111" s="10" t="n"/>
      <c r="J111" s="130" t="inlineStr">
        <is>
          <t>Risultato</t>
        </is>
      </c>
      <c r="K111" s="9" t="n"/>
      <c r="L111" s="10" t="n"/>
    </row>
    <row r="112" ht="24" customHeight="1">
      <c r="A112" s="132">
        <f>MAX(A$10:A111)+1</f>
        <v/>
      </c>
      <c r="B112" s="61">
        <f>IF(C112="","",IFERROR(VLOOKUP(C112,areaNomiBreviSquadre,7,FALSE),""))</f>
        <v/>
      </c>
      <c r="C112" s="62" t="n"/>
      <c r="D112" s="61">
        <f>IF(E112="","",IFERROR(VLOOKUP(E112,areaNomiBreviSquadre,7,FALSE),""))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130" t="inlineStr">
        <is>
          <t>Gara N.</t>
        </is>
      </c>
      <c r="B114" s="130" t="inlineStr">
        <is>
          <t>Squadra A</t>
        </is>
      </c>
      <c r="C114" s="10" t="n"/>
      <c r="D114" s="130" t="inlineStr">
        <is>
          <t>Squadra B</t>
        </is>
      </c>
      <c r="E114" s="10" t="n"/>
      <c r="F114" s="130" t="inlineStr">
        <is>
          <t>Giorno</t>
        </is>
      </c>
      <c r="G114" s="130" t="inlineStr">
        <is>
          <t>Data</t>
        </is>
      </c>
      <c r="H114" s="130" t="inlineStr">
        <is>
          <t>Ora</t>
        </is>
      </c>
      <c r="I114" s="10" t="n"/>
      <c r="J114" s="130" t="inlineStr">
        <is>
          <t>Risultato</t>
        </is>
      </c>
      <c r="K114" s="9" t="n"/>
      <c r="L114" s="10" t="n"/>
    </row>
    <row r="115" ht="24" customHeight="1">
      <c r="A115" s="132">
        <f>MAX(A$10:A114)+1</f>
        <v/>
      </c>
      <c r="B115" s="61">
        <f>IF(C115="","",IFERROR(VLOOKUP(C115,areaNomiBreviSquadre,7,FALSE),""))</f>
        <v/>
      </c>
      <c r="C115" s="62" t="n"/>
      <c r="D115" s="61">
        <f>IF(E115="","",IFERROR(VLOOKUP(E115,areaNomiBreviSquadre,7,FALSE),""))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130" t="inlineStr">
        <is>
          <t>Gara N.</t>
        </is>
      </c>
      <c r="B117" s="130" t="inlineStr">
        <is>
          <t>Squadra A</t>
        </is>
      </c>
      <c r="C117" s="10" t="n"/>
      <c r="D117" s="130" t="inlineStr">
        <is>
          <t>Squadra B</t>
        </is>
      </c>
      <c r="E117" s="10" t="n"/>
      <c r="F117" s="130" t="inlineStr">
        <is>
          <t>Giorno</t>
        </is>
      </c>
      <c r="G117" s="130" t="inlineStr">
        <is>
          <t>Data</t>
        </is>
      </c>
      <c r="H117" s="130" t="inlineStr">
        <is>
          <t>Ora</t>
        </is>
      </c>
      <c r="I117" s="10" t="n"/>
      <c r="J117" s="130" t="inlineStr">
        <is>
          <t>Risultato</t>
        </is>
      </c>
      <c r="K117" s="9" t="n"/>
      <c r="L117" s="10" t="n"/>
    </row>
    <row r="118" ht="24" customHeight="1">
      <c r="A118" s="132">
        <f>MAX(A$10:A117)+1</f>
        <v/>
      </c>
      <c r="B118" s="61">
        <f>IF(C118="","",IFERROR(VLOOKUP(C118,areaNomiBreviSquadre,7,FALSE),""))</f>
        <v/>
      </c>
      <c r="C118" s="62" t="n"/>
      <c r="D118" s="61">
        <f>IF(E118="","",IFERROR(VLOOKUP(E118,areaNomiBreviSquadre,7,FALSE),""))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130" t="inlineStr">
        <is>
          <t>Gara N.</t>
        </is>
      </c>
      <c r="B120" s="130" t="inlineStr">
        <is>
          <t>Squadra A</t>
        </is>
      </c>
      <c r="C120" s="10" t="n"/>
      <c r="D120" s="130" t="inlineStr">
        <is>
          <t>Squadra B</t>
        </is>
      </c>
      <c r="E120" s="10" t="n"/>
      <c r="F120" s="130" t="inlineStr">
        <is>
          <t>Giorno</t>
        </is>
      </c>
      <c r="G120" s="130" t="inlineStr">
        <is>
          <t>Data</t>
        </is>
      </c>
      <c r="H120" s="130" t="inlineStr">
        <is>
          <t>Ora</t>
        </is>
      </c>
      <c r="I120" s="10" t="n"/>
      <c r="J120" s="130" t="inlineStr">
        <is>
          <t>Risultato</t>
        </is>
      </c>
      <c r="K120" s="9" t="n"/>
      <c r="L120" s="10" t="n"/>
    </row>
    <row r="121" ht="24" customHeight="1">
      <c r="A121" s="132">
        <f>MAX(A$10:A120)+1</f>
        <v/>
      </c>
      <c r="B121" s="61">
        <f>IF(C121="","",IFERROR(VLOOKUP(C121,areaNomiBreviSquadre,7,FALSE),""))</f>
        <v/>
      </c>
      <c r="C121" s="62" t="n"/>
      <c r="D121" s="61">
        <f>IF(E121="","",IFERROR(VLOOKUP(E121,areaNomiBreviSquadre,7,FALSE),""))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130" t="inlineStr">
        <is>
          <t>Gara N.</t>
        </is>
      </c>
      <c r="B123" s="130" t="inlineStr">
        <is>
          <t>Squadra A</t>
        </is>
      </c>
      <c r="C123" s="10" t="n"/>
      <c r="D123" s="130" t="inlineStr">
        <is>
          <t>Squadra B</t>
        </is>
      </c>
      <c r="E123" s="10" t="n"/>
      <c r="F123" s="130" t="inlineStr">
        <is>
          <t>Giorno</t>
        </is>
      </c>
      <c r="G123" s="130" t="inlineStr">
        <is>
          <t>Data</t>
        </is>
      </c>
      <c r="H123" s="130" t="inlineStr">
        <is>
          <t>Ora</t>
        </is>
      </c>
      <c r="I123" s="10" t="n"/>
      <c r="J123" s="130" t="inlineStr">
        <is>
          <t>Risultato</t>
        </is>
      </c>
      <c r="K123" s="9" t="n"/>
      <c r="L123" s="10" t="n"/>
    </row>
    <row r="124" ht="24" customHeight="1">
      <c r="A124" s="132">
        <f>MAX(A$10:A123)+1</f>
        <v/>
      </c>
      <c r="B124" s="61">
        <f>IF(C124="","",IFERROR(VLOOKUP(C124,areaNomiBreviSquadre,7,FALSE),""))</f>
        <v/>
      </c>
      <c r="C124" s="62" t="n"/>
      <c r="D124" s="61">
        <f>IF(E124="","",IFERROR(VLOOKUP(E124,areaNomiBreviSquadre,7,FALSE),""))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127" t="inlineStr">
        <is>
          <t>8J</t>
        </is>
      </c>
      <c r="B127" s="128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130" t="inlineStr">
        <is>
          <t>Gara N.</t>
        </is>
      </c>
      <c r="B128" s="130" t="inlineStr">
        <is>
          <t>Squadra A</t>
        </is>
      </c>
      <c r="C128" s="10" t="n"/>
      <c r="D128" s="130" t="inlineStr">
        <is>
          <t>Squadra B</t>
        </is>
      </c>
      <c r="E128" s="10" t="n"/>
      <c r="F128" s="130" t="inlineStr">
        <is>
          <t>Giorno</t>
        </is>
      </c>
      <c r="G128" s="130" t="inlineStr">
        <is>
          <t>Data</t>
        </is>
      </c>
      <c r="H128" s="130" t="inlineStr">
        <is>
          <t>Ora</t>
        </is>
      </c>
      <c r="I128" s="10" t="n"/>
      <c r="J128" s="130" t="inlineStr">
        <is>
          <t>Risultato</t>
        </is>
      </c>
      <c r="K128" s="9" t="n"/>
      <c r="L128" s="10" t="n"/>
    </row>
    <row r="129" ht="24" customHeight="1">
      <c r="A129" s="132">
        <f>MAX(A$10:A128)+1</f>
        <v/>
      </c>
      <c r="B129" s="61">
        <f>IF(C129="","",IFERROR(VLOOKUP(C129,areaNomiBreviSquadre,7,FALSE),""))</f>
        <v/>
      </c>
      <c r="C129" s="62" t="n"/>
      <c r="D129" s="61">
        <f>IF(E129="","",IFERROR(VLOOKUP(E129,areaNomiBreviSquadre,7,FALSE),""))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IF($J129+$L129=0,,IF($J129&lt;$L129,IF($J129&amp;"-"&amp;$L129=MID(constPunteggioForfait,FIND("-",constPunteggioForfait)+1,LEN(constPunteggioForfait))&amp;"-"&amp;LEFT(constPunteggioForfait,FIND("-",constPunteggioForfait)-1),1,0),0))</f>
        <v/>
      </c>
      <c r="P129" s="67">
        <f>IF($J129+$L129=0,,IF($J129&lt;$L129,IF($J129&amp;"-"&amp;$L129&lt;&gt;MID(constPunteggioForfait,FIND("-",constPunteggioForfait)+1,LEN(constPunteggioForfait))&amp;"-"&amp;LEFT(constPunteggioForfait,FIND("-",constPunteggioForfait)-1),1,0),0))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IF($J129+$L129=0,,IF($L129&lt;$J129,IF($J129&amp;"-"&amp;$L129=constPunteggioForfait,1,0),0))</f>
        <v/>
      </c>
      <c r="W129" s="67">
        <f>IF($J129+$L129=0,,IF($L129&lt;$J129,IF($J129&amp;"-"&amp;$L129&lt;&gt;constPunteggioForfait,1,0),0))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IF(I130="","",HYPERLINK(VLOOKUP(I130,areaCampiSquadre,3,FALSE),VLOOKUP(I130,areaCampiSquadre,2,FALSE)))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130" t="inlineStr">
        <is>
          <t>Gara N.</t>
        </is>
      </c>
      <c r="B131" s="130" t="inlineStr">
        <is>
          <t>Squadra A</t>
        </is>
      </c>
      <c r="C131" s="10" t="n"/>
      <c r="D131" s="130" t="inlineStr">
        <is>
          <t>Squadra B</t>
        </is>
      </c>
      <c r="E131" s="10" t="n"/>
      <c r="F131" s="130" t="inlineStr">
        <is>
          <t>Giorno</t>
        </is>
      </c>
      <c r="G131" s="130" t="inlineStr">
        <is>
          <t>Data</t>
        </is>
      </c>
      <c r="H131" s="130" t="inlineStr">
        <is>
          <t>Ora</t>
        </is>
      </c>
      <c r="I131" s="10" t="n"/>
      <c r="J131" s="130" t="inlineStr">
        <is>
          <t>Risultato</t>
        </is>
      </c>
      <c r="K131" s="9" t="n"/>
      <c r="L131" s="10" t="n"/>
    </row>
    <row r="132" ht="24" customHeight="1">
      <c r="A132" s="132">
        <f>MAX(A$10:A131)+1</f>
        <v/>
      </c>
      <c r="B132" s="61">
        <f>IF(C132="","",IFERROR(VLOOKUP(C132,areaNomiBreviSquadre,7,FALSE),""))</f>
        <v/>
      </c>
      <c r="C132" s="62" t="n"/>
      <c r="D132" s="61">
        <f>IF(E132="","",IFERROR(VLOOKUP(E132,areaNomiBreviSquadre,7,FALSE),""))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IF($J132+$L132=0,,IF($J132&lt;$L132,IF($J132&amp;"-"&amp;$L132=MID(constPunteggioForfait,FIND("-",constPunteggioForfait)+1,LEN(constPunteggioForfait))&amp;"-"&amp;LEFT(constPunteggioForfait,FIND("-",constPunteggioForfait)-1),1,0),0))</f>
        <v/>
      </c>
      <c r="P132" s="67">
        <f>IF($J132+$L132=0,,IF($J132&lt;$L132,IF($J132&amp;"-"&amp;$L132&lt;&gt;MID(constPunteggioForfait,FIND("-",constPunteggioForfait)+1,LEN(constPunteggioForfait))&amp;"-"&amp;LEFT(constPunteggioForfait,FIND("-",constPunteggioForfait)-1),1,0),0))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IF($J132+$L132=0,,IF($L132&lt;$J132,IF($J132&amp;"-"&amp;$L132=constPunteggioForfait,1,0),0))</f>
        <v/>
      </c>
      <c r="W132" s="67">
        <f>IF($J132+$L132=0,,IF($L132&lt;$J132,IF($J132&amp;"-"&amp;$L132&lt;&gt;constPunteggioForfait,1,0),0))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IF(I133="","",HYPERLINK(VLOOKUP(I133,areaCampiSquadre,3,FALSE),VLOOKUP(I133,areaCampiSquadre,2,FALSE)))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130" t="inlineStr">
        <is>
          <t>Gara N.</t>
        </is>
      </c>
      <c r="B134" s="130" t="inlineStr">
        <is>
          <t>Squadra A</t>
        </is>
      </c>
      <c r="C134" s="10" t="n"/>
      <c r="D134" s="130" t="inlineStr">
        <is>
          <t>Squadra B</t>
        </is>
      </c>
      <c r="E134" s="10" t="n"/>
      <c r="F134" s="130" t="inlineStr">
        <is>
          <t>Giorno</t>
        </is>
      </c>
      <c r="G134" s="130" t="inlineStr">
        <is>
          <t>Data</t>
        </is>
      </c>
      <c r="H134" s="130" t="inlineStr">
        <is>
          <t>Ora</t>
        </is>
      </c>
      <c r="I134" s="10" t="n"/>
      <c r="J134" s="130" t="inlineStr">
        <is>
          <t>Risultato</t>
        </is>
      </c>
      <c r="K134" s="9" t="n"/>
      <c r="L134" s="10" t="n"/>
    </row>
    <row r="135" ht="24" customHeight="1">
      <c r="A135" s="132">
        <f>MAX(A$10:A134)+1</f>
        <v/>
      </c>
      <c r="B135" s="61">
        <f>IF(C135="","",IFERROR(VLOOKUP(C135,areaNomiBreviSquadre,7,FALSE),""))</f>
        <v/>
      </c>
      <c r="C135" s="62" t="n"/>
      <c r="D135" s="61">
        <f>IF(E135="","",IFERROR(VLOOKUP(E135,areaNomiBreviSquadre,7,FALSE),""))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IF($J135+$L135=0,,IF($J135&lt;$L135,IF($J135&amp;"-"&amp;$L135=MID(constPunteggioForfait,FIND("-",constPunteggioForfait)+1,LEN(constPunteggioForfait))&amp;"-"&amp;LEFT(constPunteggioForfait,FIND("-",constPunteggioForfait)-1),1,0),0))</f>
        <v/>
      </c>
      <c r="P135" s="67">
        <f>IF($J135+$L135=0,,IF($J135&lt;$L135,IF($J135&amp;"-"&amp;$L135&lt;&gt;MID(constPunteggioForfait,FIND("-",constPunteggioForfait)+1,LEN(constPunteggioForfait))&amp;"-"&amp;LEFT(constPunteggioForfait,FIND("-",constPunteggioForfait)-1),1,0),0))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IF($J135+$L135=0,,IF($L135&lt;$J135,IF($J135&amp;"-"&amp;$L135=constPunteggioForfait,1,0),0))</f>
        <v/>
      </c>
      <c r="W135" s="67">
        <f>IF($J135+$L135=0,,IF($L135&lt;$J135,IF($J135&amp;"-"&amp;$L135&lt;&gt;constPunteggioForfait,1,0),0))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IF(I136="","",HYPERLINK(VLOOKUP(I136,areaCampiSquadre,3,FALSE),VLOOKUP(I136,areaCampiSquadre,2,FALSE)))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130" t="inlineStr">
        <is>
          <t>Gara N.</t>
        </is>
      </c>
      <c r="B137" s="130" t="inlineStr">
        <is>
          <t>Squadra A</t>
        </is>
      </c>
      <c r="C137" s="10" t="n"/>
      <c r="D137" s="130" t="inlineStr">
        <is>
          <t>Squadra B</t>
        </is>
      </c>
      <c r="E137" s="10" t="n"/>
      <c r="F137" s="130" t="inlineStr">
        <is>
          <t>Giorno</t>
        </is>
      </c>
      <c r="G137" s="130" t="inlineStr">
        <is>
          <t>Data</t>
        </is>
      </c>
      <c r="H137" s="130" t="inlineStr">
        <is>
          <t>Ora</t>
        </is>
      </c>
      <c r="I137" s="10" t="n"/>
      <c r="J137" s="130" t="inlineStr">
        <is>
          <t>Risultato</t>
        </is>
      </c>
      <c r="K137" s="9" t="n"/>
      <c r="L137" s="10" t="n"/>
    </row>
    <row r="138" ht="24" customHeight="1">
      <c r="A138" s="132">
        <f>MAX(A$10:A137)+1</f>
        <v/>
      </c>
      <c r="B138" s="61">
        <f>IF(C138="","",IFERROR(VLOOKUP(C138,areaNomiBreviSquadre,7,FALSE),""))</f>
        <v/>
      </c>
      <c r="C138" s="62" t="n"/>
      <c r="D138" s="61">
        <f>IF(E138="","",IFERROR(VLOOKUP(E138,areaNomiBreviSquadre,7,FALSE),""))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130" t="inlineStr">
        <is>
          <t>Gara N.</t>
        </is>
      </c>
      <c r="B140" s="130" t="inlineStr">
        <is>
          <t>Squadra A</t>
        </is>
      </c>
      <c r="C140" s="10" t="n"/>
      <c r="D140" s="130" t="inlineStr">
        <is>
          <t>Squadra B</t>
        </is>
      </c>
      <c r="E140" s="10" t="n"/>
      <c r="F140" s="130" t="inlineStr">
        <is>
          <t>Giorno</t>
        </is>
      </c>
      <c r="G140" s="130" t="inlineStr">
        <is>
          <t>Data</t>
        </is>
      </c>
      <c r="H140" s="130" t="inlineStr">
        <is>
          <t>Ora</t>
        </is>
      </c>
      <c r="I140" s="10" t="n"/>
      <c r="J140" s="130" t="inlineStr">
        <is>
          <t>Risultato</t>
        </is>
      </c>
      <c r="K140" s="9" t="n"/>
      <c r="L140" s="10" t="n"/>
    </row>
    <row r="141" ht="24" customHeight="1">
      <c r="A141" s="132">
        <f>MAX(A$10:A140)+1</f>
        <v/>
      </c>
      <c r="B141" s="61">
        <f>IF(C141="","",IFERROR(VLOOKUP(C141,areaNomiBreviSquadre,7,FALSE),""))</f>
        <v/>
      </c>
      <c r="C141" s="62" t="n"/>
      <c r="D141" s="61">
        <f>IF(E141="","",IFERROR(VLOOKUP(E141,areaNomiBreviSquadre,7,FALSE),""))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127" t="inlineStr">
        <is>
          <t>9J</t>
        </is>
      </c>
      <c r="B144" s="128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130" t="inlineStr">
        <is>
          <t>Gara N.</t>
        </is>
      </c>
      <c r="B145" s="130" t="inlineStr">
        <is>
          <t>Squadra A</t>
        </is>
      </c>
      <c r="C145" s="10" t="n"/>
      <c r="D145" s="130" t="inlineStr">
        <is>
          <t>Squadra B</t>
        </is>
      </c>
      <c r="E145" s="10" t="n"/>
      <c r="F145" s="130" t="inlineStr">
        <is>
          <t>Giorno</t>
        </is>
      </c>
      <c r="G145" s="130" t="inlineStr">
        <is>
          <t>Data</t>
        </is>
      </c>
      <c r="H145" s="130" t="inlineStr">
        <is>
          <t>Ora</t>
        </is>
      </c>
      <c r="I145" s="10" t="n"/>
      <c r="J145" s="130" t="inlineStr">
        <is>
          <t>Risultato</t>
        </is>
      </c>
      <c r="K145" s="9" t="n"/>
      <c r="L145" s="10" t="n"/>
    </row>
    <row r="146" ht="24" customHeight="1">
      <c r="A146" s="132">
        <f>MAX(A$10:A145)+1</f>
        <v/>
      </c>
      <c r="B146" s="61">
        <f>IF(C146="","",IFERROR(VLOOKUP(C146,areaNomiBreviSquadre,7,FALSE),""))</f>
        <v/>
      </c>
      <c r="C146" s="62" t="n"/>
      <c r="D146" s="61">
        <f>IF(E146="","",IFERROR(VLOOKUP(E146,areaNomiBreviSquadre,7,FALSE),""))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IF($J146+$L146=0,,IF($J146&lt;$L146,IF($J146&amp;"-"&amp;$L146=MID(constPunteggioForfait,FIND("-",constPunteggioForfait)+1,LEN(constPunteggioForfait))&amp;"-"&amp;LEFT(constPunteggioForfait,FIND("-",constPunteggioForfait)-1),1,0),0))</f>
        <v/>
      </c>
      <c r="P146" s="67">
        <f>IF($J146+$L146=0,,IF($J146&lt;$L146,IF($J146&amp;"-"&amp;$L146&lt;&gt;MID(constPunteggioForfait,FIND("-",constPunteggioForfait)+1,LEN(constPunteggioForfait))&amp;"-"&amp;LEFT(constPunteggioForfait,FIND("-",constPunteggioForfait)-1),1,0),0))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IF($J146+$L146=0,,IF($L146&lt;$J146,IF($J146&amp;"-"&amp;$L146=constPunteggioForfait,1,0),0))</f>
        <v/>
      </c>
      <c r="W146" s="67">
        <f>IF($J146+$L146=0,,IF($L146&lt;$J146,IF($J146&amp;"-"&amp;$L146&lt;&gt;constPunteggioForfait,1,0),0))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IF(I147="","",HYPERLINK(VLOOKUP(I147,areaCampiSquadre,3,FALSE),VLOOKUP(I147,areaCampiSquadre,2,FALSE)))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130" t="inlineStr">
        <is>
          <t>Gara N.</t>
        </is>
      </c>
      <c r="B148" s="130" t="inlineStr">
        <is>
          <t>Squadra A</t>
        </is>
      </c>
      <c r="C148" s="10" t="n"/>
      <c r="D148" s="130" t="inlineStr">
        <is>
          <t>Squadra B</t>
        </is>
      </c>
      <c r="E148" s="10" t="n"/>
      <c r="F148" s="130" t="inlineStr">
        <is>
          <t>Giorno</t>
        </is>
      </c>
      <c r="G148" s="130" t="inlineStr">
        <is>
          <t>Data</t>
        </is>
      </c>
      <c r="H148" s="130" t="inlineStr">
        <is>
          <t>Ora</t>
        </is>
      </c>
      <c r="I148" s="10" t="n"/>
      <c r="J148" s="130" t="inlineStr">
        <is>
          <t>Risultato</t>
        </is>
      </c>
      <c r="K148" s="9" t="n"/>
      <c r="L148" s="10" t="n"/>
    </row>
    <row r="149" ht="24" customHeight="1">
      <c r="A149" s="132">
        <f>MAX(A$10:A148)+1</f>
        <v/>
      </c>
      <c r="B149" s="61">
        <f>IF(C149="","",IFERROR(VLOOKUP(C149,areaNomiBreviSquadre,7,FALSE),""))</f>
        <v/>
      </c>
      <c r="C149" s="62" t="n"/>
      <c r="D149" s="61">
        <f>IF(E149="","",IFERROR(VLOOKUP(E149,areaNomiBreviSquadre,7,FALSE),""))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IF($J149+$L149=0,,IF($J149&lt;$L149,IF($J149&amp;"-"&amp;$L149=MID(constPunteggioForfait,FIND("-",constPunteggioForfait)+1,LEN(constPunteggioForfait))&amp;"-"&amp;LEFT(constPunteggioForfait,FIND("-",constPunteggioForfait)-1),1,0),0))</f>
        <v/>
      </c>
      <c r="P149" s="67">
        <f>IF($J149+$L149=0,,IF($J149&lt;$L149,IF($J149&amp;"-"&amp;$L149&lt;&gt;MID(constPunteggioForfait,FIND("-",constPunteggioForfait)+1,LEN(constPunteggioForfait))&amp;"-"&amp;LEFT(constPunteggioForfait,FIND("-",constPunteggioForfait)-1),1,0),0))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IF($J149+$L149=0,,IF($L149&lt;$J149,IF($J149&amp;"-"&amp;$L149=constPunteggioForfait,1,0),0))</f>
        <v/>
      </c>
      <c r="W149" s="67">
        <f>IF($J149+$L149=0,,IF($L149&lt;$J149,IF($J149&amp;"-"&amp;$L149&lt;&gt;constPunteggioForfait,1,0),0))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IF(I150="","",HYPERLINK(VLOOKUP(I150,areaCampiSquadre,3,FALSE),VLOOKUP(I150,areaCampiSquadre,2,FALSE)))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130" t="inlineStr">
        <is>
          <t>Gara N.</t>
        </is>
      </c>
      <c r="B151" s="130" t="inlineStr">
        <is>
          <t>Squadra A</t>
        </is>
      </c>
      <c r="C151" s="10" t="n"/>
      <c r="D151" s="130" t="inlineStr">
        <is>
          <t>Squadra B</t>
        </is>
      </c>
      <c r="E151" s="10" t="n"/>
      <c r="F151" s="130" t="inlineStr">
        <is>
          <t>Giorno</t>
        </is>
      </c>
      <c r="G151" s="130" t="inlineStr">
        <is>
          <t>Data</t>
        </is>
      </c>
      <c r="H151" s="130" t="inlineStr">
        <is>
          <t>Ora</t>
        </is>
      </c>
      <c r="I151" s="10" t="n"/>
      <c r="J151" s="130" t="inlineStr">
        <is>
          <t>Risultato</t>
        </is>
      </c>
      <c r="K151" s="9" t="n"/>
      <c r="L151" s="10" t="n"/>
    </row>
    <row r="152" ht="24" customHeight="1">
      <c r="A152" s="132">
        <f>MAX(A$10:A151)+1</f>
        <v/>
      </c>
      <c r="B152" s="61">
        <f>IF(C152="","",IFERROR(VLOOKUP(C152,areaNomiBreviSquadre,7,FALSE),""))</f>
        <v/>
      </c>
      <c r="C152" s="62" t="n"/>
      <c r="D152" s="61">
        <f>IF(E152="","",IFERROR(VLOOKUP(E152,areaNomiBreviSquadre,7,FALSE),""))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IF($J152+$L152=0,,IF($J152&lt;$L152,IF($J152&amp;"-"&amp;$L152=MID(constPunteggioForfait,FIND("-",constPunteggioForfait)+1,LEN(constPunteggioForfait))&amp;"-"&amp;LEFT(constPunteggioForfait,FIND("-",constPunteggioForfait)-1),1,0),0))</f>
        <v/>
      </c>
      <c r="P152" s="67">
        <f>IF($J152+$L152=0,,IF($J152&lt;$L152,IF($J152&amp;"-"&amp;$L152&lt;&gt;MID(constPunteggioForfait,FIND("-",constPunteggioForfait)+1,LEN(constPunteggioForfait))&amp;"-"&amp;LEFT(constPunteggioForfait,FIND("-",constPunteggioForfait)-1),1,0),0))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IF($J152+$L152=0,,IF($L152&lt;$J152,IF($J152&amp;"-"&amp;$L152=constPunteggioForfait,1,0),0))</f>
        <v/>
      </c>
      <c r="W152" s="67">
        <f>IF($J152+$L152=0,,IF($L152&lt;$J152,IF($J152&amp;"-"&amp;$L152&lt;&gt;constPunteggioForfait,1,0),0))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IF(I153="","",HYPERLINK(VLOOKUP(I153,areaCampiSquadre,3,FALSE),VLOOKUP(I153,areaCampiSquadre,2,FALSE)))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130" t="inlineStr">
        <is>
          <t>Gara N.</t>
        </is>
      </c>
      <c r="B154" s="130" t="inlineStr">
        <is>
          <t>Squadra A</t>
        </is>
      </c>
      <c r="C154" s="10" t="n"/>
      <c r="D154" s="130" t="inlineStr">
        <is>
          <t>Squadra B</t>
        </is>
      </c>
      <c r="E154" s="10" t="n"/>
      <c r="F154" s="130" t="inlineStr">
        <is>
          <t>Giorno</t>
        </is>
      </c>
      <c r="G154" s="130" t="inlineStr">
        <is>
          <t>Data</t>
        </is>
      </c>
      <c r="H154" s="130" t="inlineStr">
        <is>
          <t>Ora</t>
        </is>
      </c>
      <c r="I154" s="10" t="n"/>
      <c r="J154" s="130" t="inlineStr">
        <is>
          <t>Risultato</t>
        </is>
      </c>
      <c r="K154" s="9" t="n"/>
      <c r="L154" s="10" t="n"/>
    </row>
    <row r="155" ht="24" customHeight="1">
      <c r="A155" s="132">
        <f>MAX(A$10:A154)+1</f>
        <v/>
      </c>
      <c r="B155" s="61">
        <f>IF(C155="","",IFERROR(VLOOKUP(C155,areaNomiBreviSquadre,7,FALSE),""))</f>
        <v/>
      </c>
      <c r="C155" s="62" t="n"/>
      <c r="D155" s="61">
        <f>IF(E155="","",IFERROR(VLOOKUP(E155,areaNomiBreviSquadre,7,FALSE),""))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IF($J155+$L155=0,,IF($J155&lt;$L155,IF($J155&amp;"-"&amp;$L155=MID(constPunteggioForfait,FIND("-",constPunteggioForfait)+1,LEN(constPunteggioForfait))&amp;"-"&amp;LEFT(constPunteggioForfait,FIND("-",constPunteggioForfait)-1),1,0),0))</f>
        <v/>
      </c>
      <c r="P155" s="67">
        <f>IF($J155+$L155=0,,IF($J155&lt;$L155,IF($J155&amp;"-"&amp;$L155&lt;&gt;MID(constPunteggioForfait,FIND("-",constPunteggioForfait)+1,LEN(constPunteggioForfait))&amp;"-"&amp;LEFT(constPunteggioForfait,FIND("-",constPunteggioForfait)-1),1,0),0))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IF($J155+$L155=0,,IF($L155&lt;$J155,IF($J155&amp;"-"&amp;$L155=constPunteggioForfait,1,0),0))</f>
        <v/>
      </c>
      <c r="W155" s="67">
        <f>IF($J155+$L155=0,,IF($L155&lt;$J155,IF($J155&amp;"-"&amp;$L155&lt;&gt;constPunteggioForfait,1,0),0))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IF(I156="","",HYPERLINK(VLOOKUP(I156,areaCampiSquadre,3,FALSE),VLOOKUP(I156,areaCampiSquadre,2,FALSE)))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130" t="inlineStr">
        <is>
          <t>Gara N.</t>
        </is>
      </c>
      <c r="B157" s="130" t="inlineStr">
        <is>
          <t>Squadra A</t>
        </is>
      </c>
      <c r="C157" s="10" t="n"/>
      <c r="D157" s="130" t="inlineStr">
        <is>
          <t>Squadra B</t>
        </is>
      </c>
      <c r="E157" s="10" t="n"/>
      <c r="F157" s="130" t="inlineStr">
        <is>
          <t>Giorno</t>
        </is>
      </c>
      <c r="G157" s="130" t="inlineStr">
        <is>
          <t>Data</t>
        </is>
      </c>
      <c r="H157" s="130" t="inlineStr">
        <is>
          <t>Ora</t>
        </is>
      </c>
      <c r="I157" s="10" t="n"/>
      <c r="J157" s="130" t="inlineStr">
        <is>
          <t>Risultato</t>
        </is>
      </c>
      <c r="K157" s="9" t="n"/>
      <c r="L157" s="10" t="n"/>
    </row>
    <row r="158" ht="24" customHeight="1">
      <c r="A158" s="132">
        <f>MAX(A$10:A157)+1</f>
        <v/>
      </c>
      <c r="B158" s="61">
        <f>IF(C158="","",IFERROR(VLOOKUP(C158,areaNomiBreviSquadre,7,FALSE),""))</f>
        <v/>
      </c>
      <c r="C158" s="62" t="n"/>
      <c r="D158" s="61">
        <f>IF(E158="","",IFERROR(VLOOKUP(E158,areaNomiBreviSquadre,7,FALSE),""))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IF($J158+$L158=0,,IF($J158&lt;$L158,IF($J158&amp;"-"&amp;$L158=MID(constPunteggioForfait,FIND("-",constPunteggioForfait)+1,LEN(constPunteggioForfait))&amp;"-"&amp;LEFT(constPunteggioForfait,FIND("-",constPunteggioForfait)-1),1,0),0))</f>
        <v/>
      </c>
      <c r="P158" s="67">
        <f>IF($J158+$L158=0,,IF($J158&lt;$L158,IF($J158&amp;"-"&amp;$L158&lt;&gt;MID(constPunteggioForfait,FIND("-",constPunteggioForfait)+1,LEN(constPunteggioForfait))&amp;"-"&amp;LEFT(constPunteggioForfait,FIND("-",constPunteggioForfait)-1),1,0),0))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IF($J158+$L158=0,,IF($L158&lt;$J158,IF($J158&amp;"-"&amp;$L158=constPunteggioForfait,1,0),0))</f>
        <v/>
      </c>
      <c r="W158" s="67">
        <f>IF($J158+$L158=0,,IF($L158&lt;$J158,IF($J158&amp;"-"&amp;$L158&lt;&gt;constPunteggioForfait,1,0),0))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IF(I159="","",HYPERLINK(VLOOKUP(I159,areaCampiSquadre,3,FALSE),VLOOKUP(I159,areaCampiSquadre,2,FALSE)))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tabColor rgb="FF212121"/>
    <outlinePr summaryBelow="1" summaryRight="1"/>
    <pageSetUpPr fitToPage="1"/>
  </sheetPr>
  <dimension ref="A1:AC6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 t="str">
        <f>IFERROR(IMAGE(constLogo1),"")</f>
        <v/>
      </c>
      <c r="I1" t="str">
        <f>IFERROR(IMAGE(constLogo2),"")</f>
        <v/>
      </c>
    </row>
    <row r="2" ht="22" customHeight="1"/>
    <row r="3" ht="22" customHeight="1">
      <c r="A3" s="52">
        <f>"PLAYOFF - Stagione "&amp;constStagionaCampionato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B8" s="133" t="inlineStr">
        <is>
          <t>PLAYOFF OTTAVI DI FINALE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35" t="inlineStr">
        <is>
          <t>Gara N.</t>
        </is>
      </c>
      <c r="B9" s="135" t="inlineStr">
        <is>
          <t>Squadra A</t>
        </is>
      </c>
      <c r="C9" s="10" t="n"/>
      <c r="D9" s="135" t="inlineStr">
        <is>
          <t>Squadra B</t>
        </is>
      </c>
      <c r="E9" s="10" t="n"/>
      <c r="F9" s="135" t="inlineStr">
        <is>
          <t>Giorno</t>
        </is>
      </c>
      <c r="G9" s="135" t="inlineStr">
        <is>
          <t>Data</t>
        </is>
      </c>
      <c r="H9" s="135" t="inlineStr">
        <is>
          <t>Ora</t>
        </is>
      </c>
      <c r="I9" s="10" t="n"/>
      <c r="J9" s="135" t="inlineStr">
        <is>
          <t>Risultato</t>
        </is>
      </c>
      <c r="K9" s="9" t="n"/>
      <c r="L9" s="10" t="n"/>
    </row>
    <row r="10" ht="24" customHeight="1">
      <c r="A10" s="137" t="n">
        <v>451</v>
      </c>
      <c r="B10" s="61">
        <f>IFERROR(VLOOKUP(C10,Campionato!$G$14:$H$113,2,FALSE),"("&amp;C10&amp;")")</f>
        <v/>
      </c>
      <c r="C10" s="62" t="inlineStr">
        <is>
          <t>A1</t>
        </is>
      </c>
      <c r="D10" s="61">
        <f>IFERROR(VLOOKUP(E10,Campionato!$G$14:$H$113,2,FALSE),"("&amp;E10&amp;")")</f>
        <v/>
      </c>
      <c r="E10" s="62" t="inlineStr">
        <is>
          <t>H2</t>
        </is>
      </c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IF($B10="","","["&amp;PROPER(TRIM(SUBSTITUTE(SUBSTITUTE($B$8,"PLAYOFF",""),"DI FINALE","")))&amp;"]")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138" t="inlineStr">
        <is>
          <t>TBD</t>
        </is>
      </c>
      <c r="J11" s="141" t="n"/>
      <c r="K11" s="141" t="n"/>
      <c r="L11" s="141" t="n"/>
    </row>
    <row r="12" ht="13" customHeight="1">
      <c r="A12" s="135" t="inlineStr">
        <is>
          <t>Gara N.</t>
        </is>
      </c>
      <c r="B12" s="135" t="inlineStr">
        <is>
          <t>Squadra A</t>
        </is>
      </c>
      <c r="C12" s="10" t="n"/>
      <c r="D12" s="135" t="inlineStr">
        <is>
          <t>Squadra B</t>
        </is>
      </c>
      <c r="E12" s="10" t="n"/>
      <c r="F12" s="135" t="inlineStr">
        <is>
          <t>Giorno</t>
        </is>
      </c>
      <c r="G12" s="135" t="inlineStr">
        <is>
          <t>Data</t>
        </is>
      </c>
      <c r="H12" s="135" t="inlineStr">
        <is>
          <t>Ora</t>
        </is>
      </c>
      <c r="I12" s="10" t="n"/>
      <c r="J12" s="135" t="inlineStr">
        <is>
          <t>Risultato</t>
        </is>
      </c>
      <c r="K12" s="9" t="n"/>
      <c r="L12" s="10" t="n"/>
    </row>
    <row r="13" ht="24" customHeight="1">
      <c r="A13" s="137">
        <f>MAX(A$10:A12)+1</f>
        <v/>
      </c>
      <c r="B13" s="61">
        <f>IFERROR(VLOOKUP(C13,Campionato!$G$14:$H$113,2,FALSE),"("&amp;C13&amp;")")</f>
        <v/>
      </c>
      <c r="C13" s="62" t="inlineStr">
        <is>
          <t>B1</t>
        </is>
      </c>
      <c r="D13" s="61">
        <f>IFERROR(VLOOKUP(E13,Campionato!$G$14:$H$113,2,FALSE),"("&amp;E13&amp;")")</f>
        <v/>
      </c>
      <c r="E13" s="62" t="inlineStr">
        <is>
          <t>G2</t>
        </is>
      </c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IF($B13="","","["&amp;PROPER(TRIM(SUBSTITUTE(SUBSTITUTE($B$8,"PLAYOFF",""),"DI FINALE","")))&amp;"]")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138" t="inlineStr">
        <is>
          <t>TBD</t>
        </is>
      </c>
      <c r="J14" s="141" t="n"/>
      <c r="K14" s="141" t="n"/>
      <c r="L14" s="141" t="n"/>
    </row>
    <row r="15" ht="13" customHeight="1">
      <c r="A15" s="135" t="inlineStr">
        <is>
          <t>Gara N.</t>
        </is>
      </c>
      <c r="B15" s="135" t="inlineStr">
        <is>
          <t>Squadra A</t>
        </is>
      </c>
      <c r="C15" s="10" t="n"/>
      <c r="D15" s="135" t="inlineStr">
        <is>
          <t>Squadra B</t>
        </is>
      </c>
      <c r="E15" s="10" t="n"/>
      <c r="F15" s="135" t="inlineStr">
        <is>
          <t>Giorno</t>
        </is>
      </c>
      <c r="G15" s="135" t="inlineStr">
        <is>
          <t>Data</t>
        </is>
      </c>
      <c r="H15" s="135" t="inlineStr">
        <is>
          <t>Ora</t>
        </is>
      </c>
      <c r="I15" s="10" t="n"/>
      <c r="J15" s="135" t="inlineStr">
        <is>
          <t>Risultato</t>
        </is>
      </c>
      <c r="K15" s="9" t="n"/>
      <c r="L15" s="10" t="n"/>
    </row>
    <row r="16" ht="24" customHeight="1">
      <c r="A16" s="137">
        <f>MAX(A$10:A15)+1</f>
        <v/>
      </c>
      <c r="B16" s="61">
        <f>IFERROR(VLOOKUP(C16,Campionato!$G$14:$H$113,2,FALSE),"("&amp;C16&amp;")")</f>
        <v/>
      </c>
      <c r="C16" s="62" t="inlineStr">
        <is>
          <t>C1</t>
        </is>
      </c>
      <c r="D16" s="61">
        <f>IFERROR(VLOOKUP(E16,Campionato!$G$14:$H$113,2,FALSE),"("&amp;E16&amp;")")</f>
        <v/>
      </c>
      <c r="E16" s="62" t="inlineStr">
        <is>
          <t>F2</t>
        </is>
      </c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IF($B16="","","["&amp;PROPER(TRIM(SUBSTITUTE(SUBSTITUTE($B$8,"PLAYOFF",""),"DI FINALE","")))&amp;"]")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138" t="inlineStr">
        <is>
          <t>TBD</t>
        </is>
      </c>
      <c r="J17" s="141" t="n"/>
      <c r="K17" s="141" t="n"/>
      <c r="L17" s="141" t="n"/>
    </row>
    <row r="18" ht="13" customHeight="1">
      <c r="A18" s="135" t="inlineStr">
        <is>
          <t>Gara N.</t>
        </is>
      </c>
      <c r="B18" s="135" t="inlineStr">
        <is>
          <t>Squadra A</t>
        </is>
      </c>
      <c r="C18" s="10" t="n"/>
      <c r="D18" s="135" t="inlineStr">
        <is>
          <t>Squadra B</t>
        </is>
      </c>
      <c r="E18" s="10" t="n"/>
      <c r="F18" s="135" t="inlineStr">
        <is>
          <t>Giorno</t>
        </is>
      </c>
      <c r="G18" s="135" t="inlineStr">
        <is>
          <t>Data</t>
        </is>
      </c>
      <c r="H18" s="135" t="inlineStr">
        <is>
          <t>Ora</t>
        </is>
      </c>
      <c r="I18" s="10" t="n"/>
      <c r="J18" s="135" t="inlineStr">
        <is>
          <t>Risultato</t>
        </is>
      </c>
      <c r="K18" s="9" t="n"/>
      <c r="L18" s="10" t="n"/>
    </row>
    <row r="19" ht="24" customHeight="1">
      <c r="A19" s="137">
        <f>MAX(A$10:A18)+1</f>
        <v/>
      </c>
      <c r="B19" s="61">
        <f>IFERROR(VLOOKUP(C19,Campionato!$G$14:$H$113,2,FALSE),"("&amp;C19&amp;")")</f>
        <v/>
      </c>
      <c r="C19" s="62" t="inlineStr">
        <is>
          <t>D1</t>
        </is>
      </c>
      <c r="D19" s="61">
        <f>IFERROR(VLOOKUP(E19,Campionato!$G$14:$H$113,2,FALSE),"("&amp;E19&amp;")")</f>
        <v/>
      </c>
      <c r="E19" s="62" t="inlineStr">
        <is>
          <t>E2</t>
        </is>
      </c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IF($B19="","","["&amp;PROPER(TRIM(SUBSTITUTE(SUBSTITUTE($B$8,"PLAYOFF",""),"DI FINALE","")))&amp;"]")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138" t="inlineStr">
        <is>
          <t>TBD</t>
        </is>
      </c>
      <c r="J20" s="141" t="n"/>
      <c r="K20" s="141" t="n"/>
      <c r="L20" s="141" t="n"/>
    </row>
    <row r="21" ht="13" customHeight="1">
      <c r="A21" s="135" t="inlineStr">
        <is>
          <t>Gara N.</t>
        </is>
      </c>
      <c r="B21" s="135" t="inlineStr">
        <is>
          <t>Squadra A</t>
        </is>
      </c>
      <c r="C21" s="10" t="n"/>
      <c r="D21" s="135" t="inlineStr">
        <is>
          <t>Squadra B</t>
        </is>
      </c>
      <c r="E21" s="10" t="n"/>
      <c r="F21" s="135" t="inlineStr">
        <is>
          <t>Giorno</t>
        </is>
      </c>
      <c r="G21" s="135" t="inlineStr">
        <is>
          <t>Data</t>
        </is>
      </c>
      <c r="H21" s="135" t="inlineStr">
        <is>
          <t>Ora</t>
        </is>
      </c>
      <c r="I21" s="10" t="n"/>
      <c r="J21" s="135" t="inlineStr">
        <is>
          <t>Risultato</t>
        </is>
      </c>
      <c r="K21" s="9" t="n"/>
      <c r="L21" s="10" t="n"/>
    </row>
    <row r="22" ht="24" customHeight="1">
      <c r="A22" s="137">
        <f>MAX(A$10:A21)+1</f>
        <v/>
      </c>
      <c r="B22" s="61">
        <f>IFERROR(VLOOKUP(C22,Campionato!$G$14:$H$113,2,FALSE),"("&amp;C22&amp;")")</f>
        <v/>
      </c>
      <c r="C22" s="62" t="inlineStr">
        <is>
          <t>E1</t>
        </is>
      </c>
      <c r="D22" s="61">
        <f>IFERROR(VLOOKUP(E22,Campionato!$G$14:$H$113,2,FALSE),"("&amp;E22&amp;")")</f>
        <v/>
      </c>
      <c r="E22" s="62" t="inlineStr">
        <is>
          <t>D2</t>
        </is>
      </c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IF($B22="","","["&amp;PROPER(TRIM(SUBSTITUTE(SUBSTITUTE($B$8,"PLAYOFF",""),"DI FINALE","")))&amp;"]")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138" t="inlineStr">
        <is>
          <t>TBD</t>
        </is>
      </c>
      <c r="J23" s="141" t="n"/>
      <c r="K23" s="141" t="n"/>
      <c r="L23" s="141" t="n"/>
    </row>
    <row r="24" ht="13" customHeight="1">
      <c r="A24" s="135" t="inlineStr">
        <is>
          <t>Gara N.</t>
        </is>
      </c>
      <c r="B24" s="135" t="inlineStr">
        <is>
          <t>Squadra A</t>
        </is>
      </c>
      <c r="C24" s="10" t="n"/>
      <c r="D24" s="135" t="inlineStr">
        <is>
          <t>Squadra B</t>
        </is>
      </c>
      <c r="E24" s="10" t="n"/>
      <c r="F24" s="135" t="inlineStr">
        <is>
          <t>Giorno</t>
        </is>
      </c>
      <c r="G24" s="135" t="inlineStr">
        <is>
          <t>Data</t>
        </is>
      </c>
      <c r="H24" s="135" t="inlineStr">
        <is>
          <t>Ora</t>
        </is>
      </c>
      <c r="I24" s="10" t="n"/>
      <c r="J24" s="135" t="inlineStr">
        <is>
          <t>Risultato</t>
        </is>
      </c>
      <c r="K24" s="9" t="n"/>
      <c r="L24" s="10" t="n"/>
    </row>
    <row r="25" ht="24" customHeight="1">
      <c r="A25" s="137">
        <f>MAX(A$10:A24)+1</f>
        <v/>
      </c>
      <c r="B25" s="61">
        <f>IFERROR(VLOOKUP(C25,Campionato!$G$14:$H$113,2,FALSE),"("&amp;C25&amp;")")</f>
        <v/>
      </c>
      <c r="C25" s="62" t="inlineStr">
        <is>
          <t>F1</t>
        </is>
      </c>
      <c r="D25" s="61">
        <f>IFERROR(VLOOKUP(E25,Campionato!$G$14:$H$113,2,FALSE),"("&amp;E25&amp;")")</f>
        <v/>
      </c>
      <c r="E25" s="62" t="inlineStr">
        <is>
          <t>C2</t>
        </is>
      </c>
      <c r="F25" s="63" t="n"/>
      <c r="G25" s="9" t="n"/>
      <c r="H25" s="9" t="n"/>
      <c r="I25" s="10" t="n"/>
      <c r="J25" s="65" t="n"/>
      <c r="K25" s="66" t="inlineStr">
        <is>
          <t>-</t>
        </is>
      </c>
      <c r="L25" s="65" t="n"/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IF($J25+$L25=0,,IF($J25&lt;$L25,IF($J25&amp;"-"&amp;$L25=MID(constPunteggioForfait,FIND("-",constPunteggioForfait)+1,LEN(constPunteggioForfait))&amp;"-"&amp;LEFT(constPunteggioForfait,FIND("-",constPunteggioForfait)-1),1,0),0))</f>
        <v/>
      </c>
      <c r="P25" s="67">
        <f>IF($J25+$L25=0,,IF($J25&lt;$L25,IF($J25&amp;"-"&amp;$L25&lt;&gt;MID(constPunteggioForfait,FIND("-",constPunteggioForfait)+1,LEN(constPunteggioForfait))&amp;"-"&amp;LEFT(constPunteggioForfait,FIND("-",constPunteggioForfait)-1),1,0),0))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IF($J25+$L25=0,,IF($L25&lt;$J25,IF($J25&amp;"-"&amp;$L25=constPunteggioForfait,1,0),0))</f>
        <v/>
      </c>
      <c r="W25" s="67">
        <f>IF($J25+$L25=0,,IF($L25&lt;$J25,IF($J25&amp;"-"&amp;$L25&lt;&gt;constPunteggioForfait,1,0),0))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IF($B25="","","["&amp;PROPER(TRIM(SUBSTITUTE(SUBSTITUTE($B$8,"PLAYOFF",""),"DI FINALE","")))&amp;"]")</f>
        <v/>
      </c>
    </row>
    <row r="26" ht="16" customHeight="1">
      <c r="A26" s="141" t="n"/>
      <c r="B26" s="69">
        <f>IF(I26="","",HYPERLINK(VLOOKUP(I26,areaCampiSquadre,3,FALSE),VLOOKUP(I26,areaCampiSquadre,2,FALSE)))</f>
        <v/>
      </c>
      <c r="C26" s="9" t="n"/>
      <c r="D26" s="9" t="n"/>
      <c r="E26" s="9" t="n"/>
      <c r="F26" s="9" t="n"/>
      <c r="G26" s="9" t="n"/>
      <c r="H26" s="10" t="n"/>
      <c r="I26" s="138" t="inlineStr">
        <is>
          <t>TBD</t>
        </is>
      </c>
      <c r="J26" s="141" t="n"/>
      <c r="K26" s="141" t="n"/>
      <c r="L26" s="141" t="n"/>
    </row>
    <row r="27" ht="13" customHeight="1">
      <c r="A27" s="135" t="inlineStr">
        <is>
          <t>Gara N.</t>
        </is>
      </c>
      <c r="B27" s="135" t="inlineStr">
        <is>
          <t>Squadra A</t>
        </is>
      </c>
      <c r="C27" s="10" t="n"/>
      <c r="D27" s="135" t="inlineStr">
        <is>
          <t>Squadra B</t>
        </is>
      </c>
      <c r="E27" s="10" t="n"/>
      <c r="F27" s="135" t="inlineStr">
        <is>
          <t>Giorno</t>
        </is>
      </c>
      <c r="G27" s="135" t="inlineStr">
        <is>
          <t>Data</t>
        </is>
      </c>
      <c r="H27" s="135" t="inlineStr">
        <is>
          <t>Ora</t>
        </is>
      </c>
      <c r="I27" s="10" t="n"/>
      <c r="J27" s="135" t="inlineStr">
        <is>
          <t>Risultato</t>
        </is>
      </c>
      <c r="K27" s="9" t="n"/>
      <c r="L27" s="10" t="n"/>
    </row>
    <row r="28" ht="24" customHeight="1">
      <c r="A28" s="137">
        <f>MAX(A$10:A27)+1</f>
        <v/>
      </c>
      <c r="B28" s="61">
        <f>IFERROR(VLOOKUP(C28,Campionato!$G$14:$H$113,2,FALSE),"("&amp;C28&amp;")")</f>
        <v/>
      </c>
      <c r="C28" s="62" t="inlineStr">
        <is>
          <t>G1</t>
        </is>
      </c>
      <c r="D28" s="61">
        <f>IFERROR(VLOOKUP(E28,Campionato!$G$14:$H$113,2,FALSE),"("&amp;E28&amp;")")</f>
        <v/>
      </c>
      <c r="E28" s="62" t="inlineStr">
        <is>
          <t>B2</t>
        </is>
      </c>
      <c r="F28" s="63" t="n"/>
      <c r="G28" s="9" t="n"/>
      <c r="H28" s="9" t="n"/>
      <c r="I28" s="10" t="n"/>
      <c r="J28" s="65" t="n"/>
      <c r="K28" s="66" t="inlineStr">
        <is>
          <t>-</t>
        </is>
      </c>
      <c r="L28" s="65" t="n"/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IF($J28+$L28=0,,IF($J28&lt;$L28,IF($J28&amp;"-"&amp;$L28=MID(constPunteggioForfait,FIND("-",constPunteggioForfait)+1,LEN(constPunteggioForfait))&amp;"-"&amp;LEFT(constPunteggioForfait,FIND("-",constPunteggioForfait)-1),1,0),0))</f>
        <v/>
      </c>
      <c r="P28" s="67">
        <f>IF($J28+$L28=0,,IF($J28&lt;$L28,IF($J28&amp;"-"&amp;$L28&lt;&gt;MID(constPunteggioForfait,FIND("-",constPunteggioForfait)+1,LEN(constPunteggioForfait))&amp;"-"&amp;LEFT(constPunteggioForfait,FIND("-",constPunteggioForfait)-1),1,0),0))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IF($J28+$L28=0,,IF($L28&lt;$J28,IF($J28&amp;"-"&amp;$L28=constPunteggioForfait,1,0),0))</f>
        <v/>
      </c>
      <c r="W28" s="67">
        <f>IF($J28+$L28=0,,IF($L28&lt;$J28,IF($J28&amp;"-"&amp;$L28&lt;&gt;constPunteggioForfait,1,0),0))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IF($B28="","","["&amp;PROPER(TRIM(SUBSTITUTE(SUBSTITUTE($B$8,"PLAYOFF",""),"DI FINALE","")))&amp;"]")</f>
        <v/>
      </c>
    </row>
    <row r="29" ht="16" customHeight="1">
      <c r="A29" s="141" t="n"/>
      <c r="B29" s="69">
        <f>IF(I29="","",HYPERLINK(VLOOKUP(I29,areaCampiSquadre,3,FALSE),VLOOKUP(I29,areaCampiSquadre,2,FALSE)))</f>
        <v/>
      </c>
      <c r="C29" s="9" t="n"/>
      <c r="D29" s="9" t="n"/>
      <c r="E29" s="9" t="n"/>
      <c r="F29" s="9" t="n"/>
      <c r="G29" s="9" t="n"/>
      <c r="H29" s="10" t="n"/>
      <c r="I29" s="138" t="inlineStr">
        <is>
          <t>TBD</t>
        </is>
      </c>
      <c r="J29" s="141" t="n"/>
      <c r="K29" s="141" t="n"/>
      <c r="L29" s="141" t="n"/>
    </row>
    <row r="30" ht="13" customHeight="1">
      <c r="A30" s="135" t="inlineStr">
        <is>
          <t>Gara N.</t>
        </is>
      </c>
      <c r="B30" s="135" t="inlineStr">
        <is>
          <t>Squadra A</t>
        </is>
      </c>
      <c r="C30" s="10" t="n"/>
      <c r="D30" s="135" t="inlineStr">
        <is>
          <t>Squadra B</t>
        </is>
      </c>
      <c r="E30" s="10" t="n"/>
      <c r="F30" s="135" t="inlineStr">
        <is>
          <t>Giorno</t>
        </is>
      </c>
      <c r="G30" s="135" t="inlineStr">
        <is>
          <t>Data</t>
        </is>
      </c>
      <c r="H30" s="135" t="inlineStr">
        <is>
          <t>Ora</t>
        </is>
      </c>
      <c r="I30" s="10" t="n"/>
      <c r="J30" s="135" t="inlineStr">
        <is>
          <t>Risultato</t>
        </is>
      </c>
      <c r="K30" s="9" t="n"/>
      <c r="L30" s="10" t="n"/>
    </row>
    <row r="31" ht="24" customHeight="1">
      <c r="A31" s="137">
        <f>MAX(A$10:A30)+1</f>
        <v/>
      </c>
      <c r="B31" s="61">
        <f>IFERROR(VLOOKUP(C31,Campionato!$G$14:$H$113,2,FALSE),"("&amp;C31&amp;")")</f>
        <v/>
      </c>
      <c r="C31" s="62" t="inlineStr">
        <is>
          <t>H1</t>
        </is>
      </c>
      <c r="D31" s="61">
        <f>IFERROR(VLOOKUP(E31,Campionato!$G$14:$H$113,2,FALSE),"("&amp;E31&amp;")")</f>
        <v/>
      </c>
      <c r="E31" s="62" t="inlineStr">
        <is>
          <t>A2</t>
        </is>
      </c>
      <c r="F31" s="63" t="n"/>
      <c r="G31" s="9" t="n"/>
      <c r="H31" s="9" t="n"/>
      <c r="I31" s="10" t="n"/>
      <c r="J31" s="65" t="n"/>
      <c r="K31" s="66" t="inlineStr">
        <is>
          <t>-</t>
        </is>
      </c>
      <c r="L31" s="65" t="n"/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IF($J31+$L31=0,,IF($J31&lt;$L31,IF($J31&amp;"-"&amp;$L31=MID(constPunteggioForfait,FIND("-",constPunteggioForfait)+1,LEN(constPunteggioForfait))&amp;"-"&amp;LEFT(constPunteggioForfait,FIND("-",constPunteggioForfait)-1),1,0),0))</f>
        <v/>
      </c>
      <c r="P31" s="67">
        <f>IF($J31+$L31=0,,IF($J31&lt;$L31,IF($J31&amp;"-"&amp;$L31&lt;&gt;MID(constPunteggioForfait,FIND("-",constPunteggioForfait)+1,LEN(constPunteggioForfait))&amp;"-"&amp;LEFT(constPunteggioForfait,FIND("-",constPunteggioForfait)-1),1,0),0))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IF($J31+$L31=0,,IF($L31&lt;$J31,IF($J31&amp;"-"&amp;$L31=constPunteggioForfait,1,0),0))</f>
        <v/>
      </c>
      <c r="W31" s="67">
        <f>IF($J31+$L31=0,,IF($L31&lt;$J31,IF($J31&amp;"-"&amp;$L31&lt;&gt;constPunteggioForfait,1,0),0))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IF($B31="","","["&amp;PROPER(TRIM(SUBSTITUTE(SUBSTITUTE($B$8,"PLAYOFF",""),"DI FINALE","")))&amp;"]")</f>
        <v/>
      </c>
    </row>
    <row r="32" ht="16" customHeight="1">
      <c r="A32" s="141" t="n"/>
      <c r="B32" s="69">
        <f>IF(I32="","",HYPERLINK(VLOOKUP(I32,areaCampiSquadre,3,FALSE),VLOOKUP(I32,areaCampiSquadre,2,FALSE)))</f>
        <v/>
      </c>
      <c r="C32" s="9" t="n"/>
      <c r="D32" s="9" t="n"/>
      <c r="E32" s="9" t="n"/>
      <c r="F32" s="9" t="n"/>
      <c r="G32" s="9" t="n"/>
      <c r="H32" s="10" t="n"/>
      <c r="I32" s="138" t="inlineStr">
        <is>
          <t>TBD</t>
        </is>
      </c>
      <c r="J32" s="141" t="n"/>
      <c r="K32" s="141" t="n"/>
      <c r="L32" s="141" t="n"/>
    </row>
    <row r="34" ht="20" customHeight="1">
      <c r="B34" s="133" t="inlineStr">
        <is>
          <t>PLAYOFF QUARTI DI FINALE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10" t="n"/>
    </row>
    <row r="35" ht="13" customHeight="1">
      <c r="A35" s="135" t="inlineStr">
        <is>
          <t>Gara N.</t>
        </is>
      </c>
      <c r="B35" s="135" t="inlineStr">
        <is>
          <t>Squadra A</t>
        </is>
      </c>
      <c r="C35" s="10" t="n"/>
      <c r="D35" s="135" t="inlineStr">
        <is>
          <t>Squadra B</t>
        </is>
      </c>
      <c r="E35" s="10" t="n"/>
      <c r="F35" s="135" t="inlineStr">
        <is>
          <t>Giorno</t>
        </is>
      </c>
      <c r="G35" s="135" t="inlineStr">
        <is>
          <t>Data</t>
        </is>
      </c>
      <c r="H35" s="135" t="inlineStr">
        <is>
          <t>Ora</t>
        </is>
      </c>
      <c r="I35" s="10" t="n"/>
      <c r="J35" s="135" t="inlineStr">
        <is>
          <t>Risultato</t>
        </is>
      </c>
      <c r="K35" s="9" t="n"/>
      <c r="L35" s="10" t="n"/>
    </row>
    <row r="36" ht="24" customHeight="1">
      <c r="A36" s="137">
        <f>MAX(A$10:A35)+1</f>
        <v/>
      </c>
      <c r="B36" s="61">
        <f>AA10</f>
        <v/>
      </c>
      <c r="C36" s="62">
        <f>A10</f>
        <v/>
      </c>
      <c r="D36" s="61">
        <f>AA31</f>
        <v/>
      </c>
      <c r="E36" s="62">
        <f>A31</f>
        <v/>
      </c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IF($J36+$L36=0,,IF($J36&lt;$L36,IF($J36&amp;"-"&amp;$L36=MID(constPunteggioForfait,FIND("-",constPunteggioForfait)+1,LEN(constPunteggioForfait))&amp;"-"&amp;LEFT(constPunteggioForfait,FIND("-",constPunteggioForfait)-1),1,0),0))</f>
        <v/>
      </c>
      <c r="P36" s="67">
        <f>IF($J36+$L36=0,,IF($J36&lt;$L36,IF($J36&amp;"-"&amp;$L36&lt;&gt;MID(constPunteggioForfait,FIND("-",constPunteggioForfait)+1,LEN(constPunteggioForfait))&amp;"-"&amp;LEFT(constPunteggioForfait,FIND("-",constPunteggioForfait)-1),1,0),0))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IF($J36+$L36=0,,IF($L36&lt;$J36,IF($J36&amp;"-"&amp;$L36=constPunteggioForfait,1,0),0))</f>
        <v/>
      </c>
      <c r="W36" s="67">
        <f>IF($J36+$L36=0,,IF($L36&lt;$J36,IF($J36&amp;"-"&amp;$L36&lt;&gt;constPunteggioForfait,1,0),0))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IF($B36="","","["&amp;PROPER(TRIM(SUBSTITUTE(SUBSTITUTE($B$34,"PLAYOFF",""),"DI FINALE","")))&amp;"]")</f>
        <v/>
      </c>
    </row>
    <row r="37" ht="16" customHeight="1">
      <c r="A37" s="141" t="n"/>
      <c r="B37" s="69">
        <f>IF(I37="","",HYPERLINK(VLOOKUP(I37,areaCampiSquadre,3,FALSE),VLOOKUP(I37,areaCampiSquadre,2,FALSE)))</f>
        <v/>
      </c>
      <c r="C37" s="9" t="n"/>
      <c r="D37" s="9" t="n"/>
      <c r="E37" s="9" t="n"/>
      <c r="F37" s="9" t="n"/>
      <c r="G37" s="9" t="n"/>
      <c r="H37" s="10" t="n"/>
      <c r="I37" s="138" t="inlineStr">
        <is>
          <t>TBD</t>
        </is>
      </c>
      <c r="J37" s="141" t="n"/>
      <c r="K37" s="141" t="n"/>
      <c r="L37" s="141" t="n"/>
    </row>
    <row r="38" ht="13" customHeight="1">
      <c r="A38" s="135" t="inlineStr">
        <is>
          <t>Gara N.</t>
        </is>
      </c>
      <c r="B38" s="135" t="inlineStr">
        <is>
          <t>Squadra A</t>
        </is>
      </c>
      <c r="C38" s="10" t="n"/>
      <c r="D38" s="135" t="inlineStr">
        <is>
          <t>Squadra B</t>
        </is>
      </c>
      <c r="E38" s="10" t="n"/>
      <c r="F38" s="135" t="inlineStr">
        <is>
          <t>Giorno</t>
        </is>
      </c>
      <c r="G38" s="135" t="inlineStr">
        <is>
          <t>Data</t>
        </is>
      </c>
      <c r="H38" s="135" t="inlineStr">
        <is>
          <t>Ora</t>
        </is>
      </c>
      <c r="I38" s="10" t="n"/>
      <c r="J38" s="135" t="inlineStr">
        <is>
          <t>Risultato</t>
        </is>
      </c>
      <c r="K38" s="9" t="n"/>
      <c r="L38" s="10" t="n"/>
    </row>
    <row r="39" ht="24" customHeight="1">
      <c r="A39" s="137">
        <f>MAX(A$10:A38)+1</f>
        <v/>
      </c>
      <c r="B39" s="61">
        <f>AA13</f>
        <v/>
      </c>
      <c r="C39" s="62">
        <f>A13</f>
        <v/>
      </c>
      <c r="D39" s="61">
        <f>AA28</f>
        <v/>
      </c>
      <c r="E39" s="62">
        <f>A28</f>
        <v/>
      </c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IF($J39+$L39=0,,IF($J39&lt;$L39,IF($J39&amp;"-"&amp;$L39=MID(constPunteggioForfait,FIND("-",constPunteggioForfait)+1,LEN(constPunteggioForfait))&amp;"-"&amp;LEFT(constPunteggioForfait,FIND("-",constPunteggioForfait)-1),1,0),0))</f>
        <v/>
      </c>
      <c r="P39" s="67">
        <f>IF($J39+$L39=0,,IF($J39&lt;$L39,IF($J39&amp;"-"&amp;$L39&lt;&gt;MID(constPunteggioForfait,FIND("-",constPunteggioForfait)+1,LEN(constPunteggioForfait))&amp;"-"&amp;LEFT(constPunteggioForfait,FIND("-",constPunteggioForfait)-1),1,0),0))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IF($J39+$L39=0,,IF($L39&lt;$J39,IF($J39&amp;"-"&amp;$L39=constPunteggioForfait,1,0),0))</f>
        <v/>
      </c>
      <c r="W39" s="67">
        <f>IF($J39+$L39=0,,IF($L39&lt;$J39,IF($J39&amp;"-"&amp;$L39&lt;&gt;constPunteggioForfait,1,0),0))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IF($B39="","","["&amp;PROPER(TRIM(SUBSTITUTE(SUBSTITUTE($B$34,"PLAYOFF",""),"DI FINALE","")))&amp;"]")</f>
        <v/>
      </c>
    </row>
    <row r="40" ht="16" customHeight="1">
      <c r="A40" s="141" t="n"/>
      <c r="B40" s="69">
        <f>IF(I40="","",HYPERLINK(VLOOKUP(I40,areaCampiSquadre,3,FALSE),VLOOKUP(I40,areaCampiSquadre,2,FALSE)))</f>
        <v/>
      </c>
      <c r="C40" s="9" t="n"/>
      <c r="D40" s="9" t="n"/>
      <c r="E40" s="9" t="n"/>
      <c r="F40" s="9" t="n"/>
      <c r="G40" s="9" t="n"/>
      <c r="H40" s="10" t="n"/>
      <c r="I40" s="138" t="inlineStr">
        <is>
          <t>TBD</t>
        </is>
      </c>
      <c r="J40" s="141" t="n"/>
      <c r="K40" s="141" t="n"/>
      <c r="L40" s="141" t="n"/>
    </row>
    <row r="41" ht="13" customHeight="1">
      <c r="A41" s="135" t="inlineStr">
        <is>
          <t>Gara N.</t>
        </is>
      </c>
      <c r="B41" s="135" t="inlineStr">
        <is>
          <t>Squadra A</t>
        </is>
      </c>
      <c r="C41" s="10" t="n"/>
      <c r="D41" s="135" t="inlineStr">
        <is>
          <t>Squadra B</t>
        </is>
      </c>
      <c r="E41" s="10" t="n"/>
      <c r="F41" s="135" t="inlineStr">
        <is>
          <t>Giorno</t>
        </is>
      </c>
      <c r="G41" s="135" t="inlineStr">
        <is>
          <t>Data</t>
        </is>
      </c>
      <c r="H41" s="135" t="inlineStr">
        <is>
          <t>Ora</t>
        </is>
      </c>
      <c r="I41" s="10" t="n"/>
      <c r="J41" s="135" t="inlineStr">
        <is>
          <t>Risultato</t>
        </is>
      </c>
      <c r="K41" s="9" t="n"/>
      <c r="L41" s="10" t="n"/>
    </row>
    <row r="42" ht="24" customHeight="1">
      <c r="A42" s="137">
        <f>MAX(A$10:A41)+1</f>
        <v/>
      </c>
      <c r="B42" s="61">
        <f>AA16</f>
        <v/>
      </c>
      <c r="C42" s="62">
        <f>A16</f>
        <v/>
      </c>
      <c r="D42" s="61">
        <f>AA25</f>
        <v/>
      </c>
      <c r="E42" s="62">
        <f>A25</f>
        <v/>
      </c>
      <c r="F42" s="63" t="n"/>
      <c r="G42" s="9" t="n"/>
      <c r="H42" s="9" t="n"/>
      <c r="I42" s="10" t="n"/>
      <c r="J42" s="65" t="n"/>
      <c r="K42" s="66" t="inlineStr">
        <is>
          <t>-</t>
        </is>
      </c>
      <c r="L42" s="65" t="n"/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IF($J42+$L42=0,,IF($J42&lt;$L42,IF($J42&amp;"-"&amp;$L42=MID(constPunteggioForfait,FIND("-",constPunteggioForfait)+1,LEN(constPunteggioForfait))&amp;"-"&amp;LEFT(constPunteggioForfait,FIND("-",constPunteggioForfait)-1),1,0),0))</f>
        <v/>
      </c>
      <c r="P42" s="67">
        <f>IF($J42+$L42=0,,IF($J42&lt;$L42,IF($J42&amp;"-"&amp;$L42&lt;&gt;MID(constPunteggioForfait,FIND("-",constPunteggioForfait)+1,LEN(constPunteggioForfait))&amp;"-"&amp;LEFT(constPunteggioForfait,FIND("-",constPunteggioForfait)-1),1,0),0))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IF($J42+$L42=0,,IF($L42&lt;$J42,IF($J42&amp;"-"&amp;$L42=constPunteggioForfait,1,0),0))</f>
        <v/>
      </c>
      <c r="W42" s="67">
        <f>IF($J42+$L42=0,,IF($L42&lt;$J42,IF($J42&amp;"-"&amp;$L42&lt;&gt;constPunteggioForfait,1,0),0))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IF($B42="","","["&amp;PROPER(TRIM(SUBSTITUTE(SUBSTITUTE($B$34,"PLAYOFF",""),"DI FINALE","")))&amp;"]")</f>
        <v/>
      </c>
    </row>
    <row r="43" ht="16" customHeight="1">
      <c r="A43" s="141" t="n"/>
      <c r="B43" s="69">
        <f>IF(I43="","",HYPERLINK(VLOOKUP(I43,areaCampiSquadre,3,FALSE),VLOOKUP(I43,areaCampiSquadre,2,FALSE)))</f>
        <v/>
      </c>
      <c r="C43" s="9" t="n"/>
      <c r="D43" s="9" t="n"/>
      <c r="E43" s="9" t="n"/>
      <c r="F43" s="9" t="n"/>
      <c r="G43" s="9" t="n"/>
      <c r="H43" s="10" t="n"/>
      <c r="I43" s="138" t="inlineStr">
        <is>
          <t>TBD</t>
        </is>
      </c>
      <c r="J43" s="141" t="n"/>
      <c r="K43" s="141" t="n"/>
      <c r="L43" s="141" t="n"/>
    </row>
    <row r="44" ht="13" customHeight="1">
      <c r="A44" s="135" t="inlineStr">
        <is>
          <t>Gara N.</t>
        </is>
      </c>
      <c r="B44" s="135" t="inlineStr">
        <is>
          <t>Squadra A</t>
        </is>
      </c>
      <c r="C44" s="10" t="n"/>
      <c r="D44" s="135" t="inlineStr">
        <is>
          <t>Squadra B</t>
        </is>
      </c>
      <c r="E44" s="10" t="n"/>
      <c r="F44" s="135" t="inlineStr">
        <is>
          <t>Giorno</t>
        </is>
      </c>
      <c r="G44" s="135" t="inlineStr">
        <is>
          <t>Data</t>
        </is>
      </c>
      <c r="H44" s="135" t="inlineStr">
        <is>
          <t>Ora</t>
        </is>
      </c>
      <c r="I44" s="10" t="n"/>
      <c r="J44" s="135" t="inlineStr">
        <is>
          <t>Risultato</t>
        </is>
      </c>
      <c r="K44" s="9" t="n"/>
      <c r="L44" s="10" t="n"/>
    </row>
    <row r="45" ht="24" customHeight="1">
      <c r="A45" s="137">
        <f>MAX(A$10:A44)+1</f>
        <v/>
      </c>
      <c r="B45" s="61">
        <f>AA19</f>
        <v/>
      </c>
      <c r="C45" s="62">
        <f>A19</f>
        <v/>
      </c>
      <c r="D45" s="61">
        <f>AA22</f>
        <v/>
      </c>
      <c r="E45" s="62">
        <f>A22</f>
        <v/>
      </c>
      <c r="F45" s="63" t="n"/>
      <c r="G45" s="9" t="n"/>
      <c r="H45" s="9" t="n"/>
      <c r="I45" s="10" t="n"/>
      <c r="J45" s="65" t="n"/>
      <c r="K45" s="66" t="inlineStr">
        <is>
          <t>-</t>
        </is>
      </c>
      <c r="L45" s="65" t="n"/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IF($J45+$L45=0,,IF($J45&lt;$L45,IF($J45&amp;"-"&amp;$L45=MID(constPunteggioForfait,FIND("-",constPunteggioForfait)+1,LEN(constPunteggioForfait))&amp;"-"&amp;LEFT(constPunteggioForfait,FIND("-",constPunteggioForfait)-1),1,0),0))</f>
        <v/>
      </c>
      <c r="P45" s="67">
        <f>IF($J45+$L45=0,,IF($J45&lt;$L45,IF($J45&amp;"-"&amp;$L45&lt;&gt;MID(constPunteggioForfait,FIND("-",constPunteggioForfait)+1,LEN(constPunteggioForfait))&amp;"-"&amp;LEFT(constPunteggioForfait,FIND("-",constPunteggioForfait)-1),1,0),0))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IF($J45+$L45=0,,IF($L45&lt;$J45,IF($J45&amp;"-"&amp;$L45=constPunteggioForfait,1,0),0))</f>
        <v/>
      </c>
      <c r="W45" s="67">
        <f>IF($J45+$L45=0,,IF($L45&lt;$J45,IF($J45&amp;"-"&amp;$L45&lt;&gt;constPunteggioForfait,1,0),0))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IF($B45="","","["&amp;PROPER(TRIM(SUBSTITUTE(SUBSTITUTE($B$34,"PLAYOFF",""),"DI FINALE","")))&amp;"]")</f>
        <v/>
      </c>
    </row>
    <row r="46" ht="16" customHeight="1">
      <c r="A46" s="141" t="n"/>
      <c r="B46" s="69">
        <f>IF(I46="","",HYPERLINK(VLOOKUP(I46,areaCampiSquadre,3,FALSE),VLOOKUP(I46,areaCampiSquadre,2,FALSE)))</f>
        <v/>
      </c>
      <c r="C46" s="9" t="n"/>
      <c r="D46" s="9" t="n"/>
      <c r="E46" s="9" t="n"/>
      <c r="F46" s="9" t="n"/>
      <c r="G46" s="9" t="n"/>
      <c r="H46" s="10" t="n"/>
      <c r="I46" s="138" t="inlineStr">
        <is>
          <t>TBD</t>
        </is>
      </c>
      <c r="J46" s="141" t="n"/>
      <c r="K46" s="141" t="n"/>
      <c r="L46" s="141" t="n"/>
    </row>
    <row r="48" ht="20" customHeight="1">
      <c r="B48" s="133" t="inlineStr">
        <is>
          <t>PLAYOFF SEMIFINALI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10" t="n"/>
    </row>
    <row r="49" ht="13" customHeight="1">
      <c r="A49" s="135" t="inlineStr">
        <is>
          <t>Gara N.</t>
        </is>
      </c>
      <c r="B49" s="135" t="inlineStr">
        <is>
          <t>Squadra A</t>
        </is>
      </c>
      <c r="C49" s="10" t="n"/>
      <c r="D49" s="135" t="inlineStr">
        <is>
          <t>Squadra B</t>
        </is>
      </c>
      <c r="E49" s="10" t="n"/>
      <c r="F49" s="135" t="inlineStr">
        <is>
          <t>Giorno</t>
        </is>
      </c>
      <c r="G49" s="135" t="inlineStr">
        <is>
          <t>Data</t>
        </is>
      </c>
      <c r="H49" s="135" t="inlineStr">
        <is>
          <t>Ora</t>
        </is>
      </c>
      <c r="I49" s="10" t="n"/>
      <c r="J49" s="135" t="inlineStr">
        <is>
          <t>Risultato</t>
        </is>
      </c>
      <c r="K49" s="9" t="n"/>
      <c r="L49" s="10" t="n"/>
    </row>
    <row r="50" ht="24" customHeight="1">
      <c r="A50" s="137">
        <f>MAX(A$10:A49)+1</f>
        <v/>
      </c>
      <c r="B50" s="61">
        <f>AA36</f>
        <v/>
      </c>
      <c r="C50" s="62">
        <f>A36</f>
        <v/>
      </c>
      <c r="D50" s="61">
        <f>AA45</f>
        <v/>
      </c>
      <c r="E50" s="62">
        <f>A45</f>
        <v/>
      </c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IF($J50+$L50=0,,IF($J50&lt;$L50,IF($J50&amp;"-"&amp;$L50=MID(constPunteggioForfait,FIND("-",constPunteggioForfait)+1,LEN(constPunteggioForfait))&amp;"-"&amp;LEFT(constPunteggioForfait,FIND("-",constPunteggioForfait)-1),1,0),0))</f>
        <v/>
      </c>
      <c r="P50" s="67">
        <f>IF($J50+$L50=0,,IF($J50&lt;$L50,IF($J50&amp;"-"&amp;$L50&lt;&gt;MID(constPunteggioForfait,FIND("-",constPunteggioForfait)+1,LEN(constPunteggioForfait))&amp;"-"&amp;LEFT(constPunteggioForfait,FIND("-",constPunteggioForfait)-1),1,0),0))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IF($J50+$L50=0,,IF($L50&lt;$J50,IF($J50&amp;"-"&amp;$L50=constPunteggioForfait,1,0),0))</f>
        <v/>
      </c>
      <c r="W50" s="67">
        <f>IF($J50+$L50=0,,IF($L50&lt;$J50,IF($J50&amp;"-"&amp;$L50&lt;&gt;constPunteggioForfait,1,0),0))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IF($B50="","","["&amp;PROPER(TRIM(SUBSTITUTE(SUBSTITUTE($B$48,"PLAYOFF",""),"DI FINALE","")))&amp;"]")</f>
        <v/>
      </c>
    </row>
    <row r="51" ht="16" customHeight="1">
      <c r="A51" s="141" t="n"/>
      <c r="B51" s="69">
        <f>IF(I51="","",HYPERLINK(VLOOKUP(I51,areaCampiSquadre,3,FALSE),VLOOKUP(I51,areaCampiSquadre,2,FALSE)))</f>
        <v/>
      </c>
      <c r="C51" s="9" t="n"/>
      <c r="D51" s="9" t="n"/>
      <c r="E51" s="9" t="n"/>
      <c r="F51" s="9" t="n"/>
      <c r="G51" s="9" t="n"/>
      <c r="H51" s="10" t="n"/>
      <c r="I51" s="138" t="inlineStr">
        <is>
          <t>TBD</t>
        </is>
      </c>
      <c r="J51" s="141" t="n"/>
      <c r="K51" s="141" t="n"/>
      <c r="L51" s="141" t="n"/>
    </row>
    <row r="52" ht="13" customHeight="1">
      <c r="A52" s="135" t="inlineStr">
        <is>
          <t>Gara N.</t>
        </is>
      </c>
      <c r="B52" s="135" t="inlineStr">
        <is>
          <t>Squadra A</t>
        </is>
      </c>
      <c r="C52" s="10" t="n"/>
      <c r="D52" s="135" t="inlineStr">
        <is>
          <t>Squadra B</t>
        </is>
      </c>
      <c r="E52" s="10" t="n"/>
      <c r="F52" s="135" t="inlineStr">
        <is>
          <t>Giorno</t>
        </is>
      </c>
      <c r="G52" s="135" t="inlineStr">
        <is>
          <t>Data</t>
        </is>
      </c>
      <c r="H52" s="135" t="inlineStr">
        <is>
          <t>Ora</t>
        </is>
      </c>
      <c r="I52" s="10" t="n"/>
      <c r="J52" s="135" t="inlineStr">
        <is>
          <t>Risultato</t>
        </is>
      </c>
      <c r="K52" s="9" t="n"/>
      <c r="L52" s="10" t="n"/>
    </row>
    <row r="53" ht="24" customHeight="1">
      <c r="A53" s="137">
        <f>MAX(A$10:A52)+1</f>
        <v/>
      </c>
      <c r="B53" s="61">
        <f>AA39</f>
        <v/>
      </c>
      <c r="C53" s="62">
        <f>A39</f>
        <v/>
      </c>
      <c r="D53" s="61">
        <f>AA42</f>
        <v/>
      </c>
      <c r="E53" s="62">
        <f>A42</f>
        <v/>
      </c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IF($J53+$L53=0,,IF($J53&lt;$L53,IF($J53&amp;"-"&amp;$L53=MID(constPunteggioForfait,FIND("-",constPunteggioForfait)+1,LEN(constPunteggioForfait))&amp;"-"&amp;LEFT(constPunteggioForfait,FIND("-",constPunteggioForfait)-1),1,0),0))</f>
        <v/>
      </c>
      <c r="P53" s="67">
        <f>IF($J53+$L53=0,,IF($J53&lt;$L53,IF($J53&amp;"-"&amp;$L53&lt;&gt;MID(constPunteggioForfait,FIND("-",constPunteggioForfait)+1,LEN(constPunteggioForfait))&amp;"-"&amp;LEFT(constPunteggioForfait,FIND("-",constPunteggioForfait)-1),1,0),0))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IF($J53+$L53=0,,IF($L53&lt;$J53,IF($J53&amp;"-"&amp;$L53=constPunteggioForfait,1,0),0))</f>
        <v/>
      </c>
      <c r="W53" s="67">
        <f>IF($J53+$L53=0,,IF($L53&lt;$J53,IF($J53&amp;"-"&amp;$L53&lt;&gt;constPunteggioForfait,1,0),0))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IF($B53="","","["&amp;PROPER(TRIM(SUBSTITUTE(SUBSTITUTE($B$48,"PLAYOFF",""),"DI FINALE","")))&amp;"]")</f>
        <v/>
      </c>
    </row>
    <row r="54" ht="16" customHeight="1">
      <c r="A54" s="141" t="n"/>
      <c r="B54" s="69">
        <f>IF(I54="","",HYPERLINK(VLOOKUP(I54,areaCampiSquadre,3,FALSE),VLOOKUP(I54,areaCampiSquadre,2,FALSE)))</f>
        <v/>
      </c>
      <c r="C54" s="9" t="n"/>
      <c r="D54" s="9" t="n"/>
      <c r="E54" s="9" t="n"/>
      <c r="F54" s="9" t="n"/>
      <c r="G54" s="9" t="n"/>
      <c r="H54" s="10" t="n"/>
      <c r="I54" s="138" t="inlineStr">
        <is>
          <t>TBD</t>
        </is>
      </c>
      <c r="J54" s="141" t="n"/>
      <c r="K54" s="141" t="n"/>
      <c r="L54" s="141" t="n"/>
    </row>
    <row r="56" ht="20" customHeight="1">
      <c r="B56" s="133" t="inlineStr">
        <is>
          <t>PLAYOFF FINALI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10" t="n"/>
    </row>
    <row r="57" ht="13" customHeight="1">
      <c r="A57" s="135" t="inlineStr">
        <is>
          <t>Gara N.</t>
        </is>
      </c>
      <c r="B57" s="135" t="inlineStr">
        <is>
          <t>Squadra A</t>
        </is>
      </c>
      <c r="C57" s="10" t="n"/>
      <c r="D57" s="135" t="inlineStr">
        <is>
          <t>Squadra B</t>
        </is>
      </c>
      <c r="E57" s="10" t="n"/>
      <c r="F57" s="135" t="inlineStr">
        <is>
          <t>Giorno</t>
        </is>
      </c>
      <c r="G57" s="135" t="inlineStr">
        <is>
          <t>Data</t>
        </is>
      </c>
      <c r="H57" s="135" t="inlineStr">
        <is>
          <t>Ora</t>
        </is>
      </c>
      <c r="I57" s="10" t="n"/>
      <c r="J57" s="135" t="inlineStr">
        <is>
          <t>Risultato</t>
        </is>
      </c>
      <c r="K57" s="9" t="n"/>
      <c r="L57" s="10" t="n"/>
    </row>
    <row r="58" ht="24" customHeight="1">
      <c r="A58" s="137">
        <f>MAX(A$10:A57)+1</f>
        <v/>
      </c>
      <c r="B58" s="61">
        <f>AB50</f>
        <v/>
      </c>
      <c r="C58" s="62">
        <f>A50</f>
        <v/>
      </c>
      <c r="D58" s="61">
        <f>AB53</f>
        <v/>
      </c>
      <c r="E58" s="62">
        <f>A53</f>
        <v/>
      </c>
      <c r="F58" s="63" t="n"/>
      <c r="G58" s="9" t="n"/>
      <c r="H58" s="9" t="n"/>
      <c r="I58" s="10" t="n"/>
      <c r="J58" s="65" t="n"/>
      <c r="K58" s="66" t="inlineStr">
        <is>
          <t>-</t>
        </is>
      </c>
      <c r="L58" s="65" t="n"/>
      <c r="M58" s="67">
        <f>IF($B58="","(Squadra A)",$B58)</f>
        <v/>
      </c>
      <c r="N58" s="67">
        <f>IF($J58+$L58=0,,IF($J58&gt;$L58,1,0))</f>
        <v/>
      </c>
      <c r="O58" s="67">
        <f>IF($J58+$L58=0,,IF($J58&lt;$L58,IF($J58&amp;"-"&amp;$L58=MID(constPunteggioForfait,FIND("-",constPunteggioForfait)+1,LEN(constPunteggioForfait))&amp;"-"&amp;LEFT(constPunteggioForfait,FIND("-",constPunteggioForfait)-1),1,0),0))</f>
        <v/>
      </c>
      <c r="P58" s="67">
        <f>IF($J58+$L58=0,,IF($J58&lt;$L58,IF($J58&amp;"-"&amp;$L58&lt;&gt;MID(constPunteggioForfait,FIND("-",constPunteggioForfait)+1,LEN(constPunteggioForfait))&amp;"-"&amp;LEFT(constPunteggioForfait,FIND("-",constPunteggioForfait)-1),1,0),0))</f>
        <v/>
      </c>
      <c r="Q58" s="67">
        <f>IF($J58+$L58=0,,$J58)</f>
        <v/>
      </c>
      <c r="R58" s="67">
        <f>IF($J58+$L58=0,,$L58)</f>
        <v/>
      </c>
      <c r="S58" s="67">
        <f>IF($J58+$L58=0,,$J58-$L58)</f>
        <v/>
      </c>
      <c r="T58" s="67">
        <f>IF($D58="","(Squadra B)",$D58)</f>
        <v/>
      </c>
      <c r="U58" s="67">
        <f>IF($J58+$L58=0,,IF($L58&gt;$J58,1,0))</f>
        <v/>
      </c>
      <c r="V58" s="67">
        <f>IF($J58+$L58=0,,IF($L58&lt;$J58,IF($J58&amp;"-"&amp;$L58=constPunteggioForfait,1,0),0))</f>
        <v/>
      </c>
      <c r="W58" s="67">
        <f>IF($J58+$L58=0,,IF($L58&lt;$J58,IF($J58&amp;"-"&amp;$L58&lt;&gt;constPunteggioForfait,1,0),0))</f>
        <v/>
      </c>
      <c r="X58" s="67">
        <f>IF($J58+$L58=0,,$L58)</f>
        <v/>
      </c>
      <c r="Y58" s="67">
        <f>IF($J58+$L58=0,,$J58)</f>
        <v/>
      </c>
      <c r="Z58" s="67">
        <f>IF($J58+$L58=0,,$L58-$J58)</f>
        <v/>
      </c>
      <c r="AA58" s="67">
        <f>IF($J58+$L58=0,"(Vincente)",IF($J58&gt;$L58,$B58,$D58))</f>
        <v/>
      </c>
      <c r="AB58" s="67">
        <f>IF($J58+$L58=0,"(Perdente)",IF($J58&lt;$L58,$B58,$D58))</f>
        <v/>
      </c>
      <c r="AC58" s="68">
        <f>IF($B58="","","[Finale "&amp;IF(COUNT($A$57:$A57)=0,"3-4","1-2")&amp;"]")</f>
        <v/>
      </c>
    </row>
    <row r="59" ht="16" customHeight="1">
      <c r="A59" s="141" t="n"/>
      <c r="B59" s="69">
        <f>IF(I59="","",HYPERLINK(VLOOKUP(I59,areaCampiSquadre,3,FALSE),VLOOKUP(I59,areaCampiSquadre,2,FALSE)))</f>
        <v/>
      </c>
      <c r="C59" s="9" t="n"/>
      <c r="D59" s="9" t="n"/>
      <c r="E59" s="9" t="n"/>
      <c r="F59" s="9" t="n"/>
      <c r="G59" s="9" t="n"/>
      <c r="H59" s="10" t="n"/>
      <c r="I59" s="138" t="inlineStr">
        <is>
          <t>TBD</t>
        </is>
      </c>
      <c r="J59" s="141" t="n"/>
      <c r="K59" s="141" t="n"/>
      <c r="L59" s="141" t="n"/>
    </row>
    <row r="60" ht="13" customHeight="1">
      <c r="A60" s="135" t="inlineStr">
        <is>
          <t>Gara N.</t>
        </is>
      </c>
      <c r="B60" s="135" t="inlineStr">
        <is>
          <t>Squadra A</t>
        </is>
      </c>
      <c r="C60" s="10" t="n"/>
      <c r="D60" s="135" t="inlineStr">
        <is>
          <t>Squadra B</t>
        </is>
      </c>
      <c r="E60" s="10" t="n"/>
      <c r="F60" s="135" t="inlineStr">
        <is>
          <t>Giorno</t>
        </is>
      </c>
      <c r="G60" s="135" t="inlineStr">
        <is>
          <t>Data</t>
        </is>
      </c>
      <c r="H60" s="135" t="inlineStr">
        <is>
          <t>Ora</t>
        </is>
      </c>
      <c r="I60" s="10" t="n"/>
      <c r="J60" s="135" t="inlineStr">
        <is>
          <t>Risultato</t>
        </is>
      </c>
      <c r="K60" s="9" t="n"/>
      <c r="L60" s="10" t="n"/>
    </row>
    <row r="61" ht="24" customHeight="1">
      <c r="A61" s="137">
        <f>MAX(A$10:A60)+1</f>
        <v/>
      </c>
      <c r="B61" s="61">
        <f>AA50</f>
        <v/>
      </c>
      <c r="C61" s="62">
        <f>A50</f>
        <v/>
      </c>
      <c r="D61" s="61">
        <f>AA53</f>
        <v/>
      </c>
      <c r="E61" s="62">
        <f>A53</f>
        <v/>
      </c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IF($J61+$L61=0,,IF($J61&lt;$L61,IF($J61&amp;"-"&amp;$L61=MID(constPunteggioForfait,FIND("-",constPunteggioForfait)+1,LEN(constPunteggioForfait))&amp;"-"&amp;LEFT(constPunteggioForfait,FIND("-",constPunteggioForfait)-1),1,0),0))</f>
        <v/>
      </c>
      <c r="P61" s="67">
        <f>IF($J61+$L61=0,,IF($J61&lt;$L61,IF($J61&amp;"-"&amp;$L61&lt;&gt;MID(constPunteggioForfait,FIND("-",constPunteggioForfait)+1,LEN(constPunteggioForfait))&amp;"-"&amp;LEFT(constPunteggioForfait,FIND("-",constPunteggioForfait)-1),1,0),0))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IF($J61+$L61=0,,IF($L61&lt;$J61,IF($J61&amp;"-"&amp;$L61=constPunteggioForfait,1,0),0))</f>
        <v/>
      </c>
      <c r="W61" s="67">
        <f>IF($J61+$L61=0,,IF($L61&lt;$J61,IF($J61&amp;"-"&amp;$L61&lt;&gt;constPunteggioForfait,1,0),0))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IF($B61="","","[Finale "&amp;IF(COUNT($A$57:$A60)=0,"3-4","1-2")&amp;"]")</f>
        <v/>
      </c>
    </row>
    <row r="62" ht="16" customHeight="1">
      <c r="A62" s="141" t="n"/>
      <c r="B62" s="69">
        <f>IF(I62="","",HYPERLINK(VLOOKUP(I62,areaCampiSquadre,3,FALSE),VLOOKUP(I62,areaCampiSquadre,2,FALSE)))</f>
        <v/>
      </c>
      <c r="C62" s="9" t="n"/>
      <c r="D62" s="9" t="n"/>
      <c r="E62" s="9" t="n"/>
      <c r="F62" s="9" t="n"/>
      <c r="G62" s="9" t="n"/>
      <c r="H62" s="10" t="n"/>
      <c r="I62" s="138" t="inlineStr">
        <is>
          <t>TBD</t>
        </is>
      </c>
      <c r="J62" s="141" t="n"/>
      <c r="K62" s="141" t="n"/>
      <c r="L62" s="141" t="n"/>
    </row>
    <row r="64">
      <c r="A64" s="51" t="inlineStr">
        <is>
          <t>Ottavi: 1A-2H, 1B-2G, 1C-2F, 1D-2E, 1E-2D, 1F-2C, 1G-2B, 1H-2A.</t>
        </is>
      </c>
    </row>
    <row r="65">
      <c r="A65" s="51" t="inlineStr">
        <is>
          <t>Quarti: V.O1-V.O8, V.O2-V.O7, V.O3-V.O6, V.O4-V.O5. Semifinali: V.Q1-V.Q4, V.Q2-V.Q3.</t>
        </is>
      </c>
    </row>
    <row r="66">
      <c r="A66" s="51" t="inlineStr">
        <is>
          <t>Finali: perdenti semifinali = finale 3o-4o posto; vincenti = finale 1o-2o posto.</t>
        </is>
      </c>
    </row>
    <row r="67">
      <c r="A67" s="51" t="inlineStr">
        <is>
          <t>Sfondo verde: campo ancora da definire (codice TBD).</t>
        </is>
      </c>
    </row>
  </sheetData>
  <mergeCells count="168">
    <mergeCell ref="H35:I35"/>
    <mergeCell ref="D60:E60"/>
    <mergeCell ref="B40:H40"/>
    <mergeCell ref="J27:L27"/>
    <mergeCell ref="J35:L35"/>
    <mergeCell ref="A16:A17"/>
    <mergeCell ref="B51:H51"/>
    <mergeCell ref="L53:L54"/>
    <mergeCell ref="H9:I9"/>
    <mergeCell ref="B12:C12"/>
    <mergeCell ref="B21:C21"/>
    <mergeCell ref="B32:H32"/>
    <mergeCell ref="B26:H26"/>
    <mergeCell ref="F53:I53"/>
    <mergeCell ref="F16:I16"/>
    <mergeCell ref="J36:J37"/>
    <mergeCell ref="F25:I25"/>
    <mergeCell ref="J45:J46"/>
    <mergeCell ref="L39:L40"/>
    <mergeCell ref="L45:L46"/>
    <mergeCell ref="H52:I52"/>
    <mergeCell ref="K58:K59"/>
    <mergeCell ref="B38:C38"/>
    <mergeCell ref="A22:A23"/>
    <mergeCell ref="K61:K62"/>
    <mergeCell ref="J52:L52"/>
    <mergeCell ref="K42:K43"/>
    <mergeCell ref="J22:J23"/>
    <mergeCell ref="B11:H11"/>
    <mergeCell ref="J31:J32"/>
    <mergeCell ref="L31:L32"/>
    <mergeCell ref="B49:C49"/>
    <mergeCell ref="A53:A54"/>
    <mergeCell ref="B24:C24"/>
    <mergeCell ref="J38:L38"/>
    <mergeCell ref="K53:K54"/>
    <mergeCell ref="D24:E24"/>
    <mergeCell ref="H15:I15"/>
    <mergeCell ref="L16:L17"/>
    <mergeCell ref="B29:H29"/>
    <mergeCell ref="B41:C41"/>
    <mergeCell ref="B35:C35"/>
    <mergeCell ref="B37:H37"/>
    <mergeCell ref="D35:E35"/>
    <mergeCell ref="J15:L15"/>
    <mergeCell ref="J10:J11"/>
    <mergeCell ref="F13:I13"/>
    <mergeCell ref="J24:L24"/>
    <mergeCell ref="A61:A62"/>
    <mergeCell ref="F58:I58"/>
    <mergeCell ref="A45:A46"/>
    <mergeCell ref="H41:I41"/>
    <mergeCell ref="B18:C18"/>
    <mergeCell ref="B27:C27"/>
    <mergeCell ref="L58:L59"/>
    <mergeCell ref="J41:L41"/>
    <mergeCell ref="L42:L43"/>
    <mergeCell ref="H49:I49"/>
    <mergeCell ref="B54:H54"/>
    <mergeCell ref="F19:I19"/>
    <mergeCell ref="L22:L23"/>
    <mergeCell ref="J25:J26"/>
    <mergeCell ref="B43:H43"/>
    <mergeCell ref="A10:A11"/>
    <mergeCell ref="D9:E9"/>
    <mergeCell ref="F45:I45"/>
    <mergeCell ref="A19:A20"/>
    <mergeCell ref="K19:K20"/>
    <mergeCell ref="J44:L44"/>
    <mergeCell ref="F42:I42"/>
    <mergeCell ref="K28:K29"/>
    <mergeCell ref="H12:I12"/>
    <mergeCell ref="B15:C15"/>
    <mergeCell ref="B17:H17"/>
    <mergeCell ref="D15:E15"/>
    <mergeCell ref="A39:A40"/>
    <mergeCell ref="J60:L60"/>
    <mergeCell ref="D38:E38"/>
    <mergeCell ref="J39:J40"/>
    <mergeCell ref="J30:L30"/>
    <mergeCell ref="F28:I28"/>
    <mergeCell ref="H38:I38"/>
    <mergeCell ref="F61:I61"/>
    <mergeCell ref="F39:I39"/>
    <mergeCell ref="A36:A37"/>
    <mergeCell ref="A50:A51"/>
    <mergeCell ref="K45:K46"/>
    <mergeCell ref="B20:H20"/>
    <mergeCell ref="B56:L56"/>
    <mergeCell ref="B52:C52"/>
    <mergeCell ref="H21:I21"/>
    <mergeCell ref="D52:E52"/>
    <mergeCell ref="D49:E49"/>
    <mergeCell ref="D27:E27"/>
    <mergeCell ref="H60:I60"/>
    <mergeCell ref="B60:C60"/>
    <mergeCell ref="B62:H62"/>
    <mergeCell ref="K31:K32"/>
    <mergeCell ref="B57:C57"/>
    <mergeCell ref="B59:H59"/>
    <mergeCell ref="F10:I10"/>
    <mergeCell ref="L25:L26"/>
    <mergeCell ref="B46:H46"/>
    <mergeCell ref="B44:C44"/>
    <mergeCell ref="A13:A14"/>
    <mergeCell ref="J18:L18"/>
    <mergeCell ref="J50:J51"/>
    <mergeCell ref="B34:L34"/>
    <mergeCell ref="L50:L51"/>
    <mergeCell ref="H57:I57"/>
    <mergeCell ref="B9:C9"/>
    <mergeCell ref="D12:E12"/>
    <mergeCell ref="K10:K11"/>
    <mergeCell ref="B23:H23"/>
    <mergeCell ref="F36:I36"/>
    <mergeCell ref="F50:I50"/>
    <mergeCell ref="B30:C30"/>
    <mergeCell ref="J57:L57"/>
    <mergeCell ref="J58:J59"/>
    <mergeCell ref="D30:E30"/>
    <mergeCell ref="J61:J62"/>
    <mergeCell ref="L61:L62"/>
    <mergeCell ref="K16:K17"/>
    <mergeCell ref="J42:J43"/>
    <mergeCell ref="L36:L37"/>
    <mergeCell ref="A31:A32"/>
    <mergeCell ref="A58:A59"/>
    <mergeCell ref="J9:L9"/>
    <mergeCell ref="H30:I30"/>
    <mergeCell ref="F22:I22"/>
    <mergeCell ref="A1:D2"/>
    <mergeCell ref="J13:J14"/>
    <mergeCell ref="F31:I31"/>
    <mergeCell ref="L13:L14"/>
    <mergeCell ref="K36:K37"/>
    <mergeCell ref="J49:L49"/>
    <mergeCell ref="J53:J54"/>
    <mergeCell ref="J28:J29"/>
    <mergeCell ref="L28:L29"/>
    <mergeCell ref="H44:I44"/>
    <mergeCell ref="K50:K51"/>
    <mergeCell ref="D21:E21"/>
    <mergeCell ref="K22:K23"/>
    <mergeCell ref="B48:L48"/>
    <mergeCell ref="A25:A26"/>
    <mergeCell ref="D57:E57"/>
    <mergeCell ref="D41:E41"/>
    <mergeCell ref="J12:L12"/>
    <mergeCell ref="K39:K40"/>
    <mergeCell ref="J16:J17"/>
    <mergeCell ref="J21:L21"/>
    <mergeCell ref="L10:L11"/>
    <mergeCell ref="B8:L8"/>
    <mergeCell ref="A42:A43"/>
    <mergeCell ref="K13:K14"/>
    <mergeCell ref="D18:E18"/>
    <mergeCell ref="H27:I27"/>
    <mergeCell ref="B14:H14"/>
    <mergeCell ref="A28:A29"/>
    <mergeCell ref="H24:I24"/>
    <mergeCell ref="A3:D3"/>
    <mergeCell ref="H18:I18"/>
    <mergeCell ref="K25:K26"/>
    <mergeCell ref="D44:E44"/>
    <mergeCell ref="J19:J20"/>
    <mergeCell ref="L19:L2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tabColor rgb="FF546E7A"/>
    <outlinePr summaryBelow="1" summaryRight="1"/>
    <pageSetUpPr fitToPage="1"/>
  </sheetPr>
  <dimension ref="A1:M14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52">
        <f>""&amp;constNomeCampionato</f>
        <v/>
      </c>
      <c r="J1" t="str">
        <f>IFERROR(IMAGE(constLogo1),"")</f>
        <v/>
      </c>
      <c r="L1" t="str">
        <f>IFERROR(IMAGE(constLogo2),"")</f>
        <v/>
      </c>
    </row>
    <row r="2" ht="22" customHeight="1"/>
    <row r="3" ht="22" customHeight="1">
      <c r="A3" s="52">
        <f>"Classifiche di girone - Stagione "&amp;constStagionaCampionato</f>
        <v/>
      </c>
    </row>
    <row r="6" ht="20" customHeight="1">
      <c r="A6" s="139">
        <f>"CLASSIFICA - GIRONE A"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10" t="n"/>
    </row>
    <row r="7" ht="26" customHeight="1">
      <c r="A7" s="140" t="inlineStr">
        <is>
          <t>P</t>
        </is>
      </c>
      <c r="B7" s="140" t="inlineStr">
        <is>
          <t>Classifica</t>
        </is>
      </c>
      <c r="C7" s="140" t="inlineStr">
        <is>
          <t>Pun</t>
        </is>
      </c>
      <c r="D7" s="140" t="inlineStr">
        <is>
          <t>Partite</t>
        </is>
      </c>
      <c r="E7" s="9" t="n"/>
      <c r="F7" s="9" t="n"/>
      <c r="G7" s="10" t="n"/>
      <c r="H7" s="140" t="inlineStr">
        <is>
          <t>Punti</t>
        </is>
      </c>
      <c r="I7" s="9" t="n"/>
      <c r="J7" s="10" t="n"/>
      <c r="K7" s="140" t="inlineStr">
        <is>
          <t>Record
Sc.Diretti</t>
        </is>
      </c>
      <c r="L7" s="140" t="inlineStr">
        <is>
          <t>Quoziente
Sc.Diretti</t>
        </is>
      </c>
      <c r="M7" s="140" t="inlineStr">
        <is>
          <t>Quoziente
Totale</t>
        </is>
      </c>
    </row>
    <row r="8">
      <c r="A8" s="141" t="n"/>
      <c r="B8" s="141" t="n"/>
      <c r="C8" s="141" t="n"/>
      <c r="D8" s="142" t="inlineStr">
        <is>
          <t>G</t>
        </is>
      </c>
      <c r="E8" s="142" t="inlineStr">
        <is>
          <t>V</t>
        </is>
      </c>
      <c r="F8" s="142" t="inlineStr">
        <is>
          <t>P</t>
        </is>
      </c>
      <c r="G8" s="142" t="inlineStr">
        <is>
          <t>F</t>
        </is>
      </c>
      <c r="H8" s="142" t="inlineStr">
        <is>
          <t>Fat</t>
        </is>
      </c>
      <c r="I8" s="142" t="inlineStr">
        <is>
          <t>Sub</t>
        </is>
      </c>
      <c r="J8" s="142" t="inlineStr">
        <is>
          <t>Dif</t>
        </is>
      </c>
      <c r="K8" s="141" t="n"/>
      <c r="L8" s="141" t="n"/>
      <c r="M8" s="141" t="n"/>
    </row>
    <row r="9">
      <c r="A9" s="143" t="inlineStr">
        <is>
          <t>A1</t>
        </is>
      </c>
      <c r="B9" s="144">
        <f>IFERROR(VLOOKUP($A9,areaCercaDatiPerPosizioneSquadre,2,FALSE),"("&amp;$A9&amp;")")</f>
        <v/>
      </c>
      <c r="C9" s="145">
        <f>IFERROR(VLOOKUP($A9,areaCercaDatiPerPosizioneSquadre,4,FALSE),"-")</f>
        <v/>
      </c>
      <c r="D9" s="12">
        <f>IFERROR(VLOOKUP($A9,areaCercaDatiPerPosizioneSquadre,5,FALSE),"-")</f>
        <v/>
      </c>
      <c r="E9" s="12">
        <f>IFERROR(VLOOKUP($A9,areaCercaDatiPerPosizioneSquadre,6,FALSE),"-")</f>
        <v/>
      </c>
      <c r="F9" s="12">
        <f>IFERROR(VLOOKUP($A9,areaCercaDatiPerPosizioneSquadre,7,FALSE),"-")</f>
        <v/>
      </c>
      <c r="G9" s="12">
        <f>IFERROR(VLOOKUP($A9,areaCercaDatiPerPosizioneSquadre,8,FALSE),"-")</f>
        <v/>
      </c>
      <c r="H9" s="12">
        <f>IFERROR(VLOOKUP($A9,areaCercaDatiPerPosizioneSquadre,9,FALSE),"-")</f>
        <v/>
      </c>
      <c r="I9" s="12">
        <f>IFERROR(VLOOKUP($A9,areaCercaDatiPerPosizioneSquadre,10,FALSE),"-")</f>
        <v/>
      </c>
      <c r="J9" s="12">
        <f>IFERROR(VLOOKUP($A9,areaCercaDatiPerPosizioneSquadre,11,FALSE),"-")</f>
        <v/>
      </c>
      <c r="K9" s="12">
        <f>IFERROR(VLOOKUP($A9,areaCercaDatiPerPosizioneSquadre,15,FALSE),"-")</f>
        <v/>
      </c>
      <c r="L9" s="18">
        <f>IFERROR(VLOOKUP($A9,areaCercaDatiPerPosizioneSquadre,16,FALSE),"-")</f>
        <v/>
      </c>
      <c r="M9" s="18">
        <f>IFERROR(VLOOKUP($A9,areaCercaDatiPerPosizioneSquadre,17,FALSE),"-")</f>
        <v/>
      </c>
    </row>
    <row r="10">
      <c r="A10" s="143" t="inlineStr">
        <is>
          <t>A2</t>
        </is>
      </c>
      <c r="B10" s="144">
        <f>IFERROR(VLOOKUP($A10,areaCercaDatiPerPosizioneSquadre,2,FALSE),"("&amp;$A10&amp;")")</f>
        <v/>
      </c>
      <c r="C10" s="145">
        <f>IFERROR(VLOOKUP($A10,areaCercaDatiPerPosizioneSquadre,4,FALSE),"-")</f>
        <v/>
      </c>
      <c r="D10" s="12">
        <f>IFERROR(VLOOKUP($A10,areaCercaDatiPerPosizioneSquadre,5,FALSE),"-")</f>
        <v/>
      </c>
      <c r="E10" s="12">
        <f>IFERROR(VLOOKUP($A10,areaCercaDatiPerPosizioneSquadre,6,FALSE),"-")</f>
        <v/>
      </c>
      <c r="F10" s="12">
        <f>IFERROR(VLOOKUP($A10,areaCercaDatiPerPosizioneSquadre,7,FALSE),"-")</f>
        <v/>
      </c>
      <c r="G10" s="12">
        <f>IFERROR(VLOOKUP($A10,areaCercaDatiPerPosizioneSquadre,8,FALSE),"-")</f>
        <v/>
      </c>
      <c r="H10" s="12">
        <f>IFERROR(VLOOKUP($A10,areaCercaDatiPerPosizioneSquadre,9,FALSE),"-")</f>
        <v/>
      </c>
      <c r="I10" s="12">
        <f>IFERROR(VLOOKUP($A10,areaCercaDatiPerPosizioneSquadre,10,FALSE),"-")</f>
        <v/>
      </c>
      <c r="J10" s="12">
        <f>IFERROR(VLOOKUP($A10,areaCercaDatiPerPosizioneSquadre,11,FALSE),"-")</f>
        <v/>
      </c>
      <c r="K10" s="12">
        <f>IFERROR(VLOOKUP($A10,areaCercaDatiPerPosizioneSquadre,15,FALSE),"-")</f>
        <v/>
      </c>
      <c r="L10" s="18">
        <f>IFERROR(VLOOKUP($A10,areaCercaDatiPerPosizioneSquadre,16,FALSE),"-")</f>
        <v/>
      </c>
      <c r="M10" s="18">
        <f>IFERROR(VLOOKUP($A10,areaCercaDatiPerPosizioneSquadre,17,FALSE),"-")</f>
        <v/>
      </c>
    </row>
    <row r="11">
      <c r="A11" s="143" t="inlineStr">
        <is>
          <t>A3</t>
        </is>
      </c>
      <c r="B11" s="17">
        <f>IFERROR(VLOOKUP($A11,areaCercaDatiPerPosizioneSquadre,2,FALSE),"("&amp;$A11&amp;")")</f>
        <v/>
      </c>
      <c r="C11" s="145">
        <f>IFERROR(VLOOKUP($A11,areaCercaDatiPerPosizioneSquadre,4,FALSE),"-")</f>
        <v/>
      </c>
      <c r="D11" s="12">
        <f>IFERROR(VLOOKUP($A11,areaCercaDatiPerPosizioneSquadre,5,FALSE),"-")</f>
        <v/>
      </c>
      <c r="E11" s="12">
        <f>IFERROR(VLOOKUP($A11,areaCercaDatiPerPosizioneSquadre,6,FALSE),"-")</f>
        <v/>
      </c>
      <c r="F11" s="12">
        <f>IFERROR(VLOOKUP($A11,areaCercaDatiPerPosizioneSquadre,7,FALSE),"-")</f>
        <v/>
      </c>
      <c r="G11" s="12">
        <f>IFERROR(VLOOKUP($A11,areaCercaDatiPerPosizioneSquadre,8,FALSE),"-")</f>
        <v/>
      </c>
      <c r="H11" s="12">
        <f>IFERROR(VLOOKUP($A11,areaCercaDatiPerPosizioneSquadre,9,FALSE),"-")</f>
        <v/>
      </c>
      <c r="I11" s="12">
        <f>IFERROR(VLOOKUP($A11,areaCercaDatiPerPosizioneSquadre,10,FALSE),"-")</f>
        <v/>
      </c>
      <c r="J11" s="12">
        <f>IFERROR(VLOOKUP($A11,areaCercaDatiPerPosizioneSquadre,11,FALSE),"-")</f>
        <v/>
      </c>
      <c r="K11" s="12">
        <f>IFERROR(VLOOKUP($A11,areaCercaDatiPerPosizioneSquadre,15,FALSE),"-")</f>
        <v/>
      </c>
      <c r="L11" s="18">
        <f>IFERROR(VLOOKUP($A11,areaCercaDatiPerPosizioneSquadre,16,FALSE),"-")</f>
        <v/>
      </c>
      <c r="M11" s="18">
        <f>IFERROR(VLOOKUP($A11,areaCercaDatiPerPosizioneSquadre,17,FALSE),"-")</f>
        <v/>
      </c>
    </row>
    <row r="12">
      <c r="A12" s="143" t="inlineStr">
        <is>
          <t>A4</t>
        </is>
      </c>
      <c r="B12" s="17">
        <f>IFERROR(VLOOKUP($A12,areaCercaDatiPerPosizioneSquadre,2,FALSE),"("&amp;$A12&amp;")")</f>
        <v/>
      </c>
      <c r="C12" s="145">
        <f>IFERROR(VLOOKUP($A12,areaCercaDatiPerPosizioneSquadre,4,FALSE),"-")</f>
        <v/>
      </c>
      <c r="D12" s="12">
        <f>IFERROR(VLOOKUP($A12,areaCercaDatiPerPosizioneSquadre,5,FALSE),"-")</f>
        <v/>
      </c>
      <c r="E12" s="12">
        <f>IFERROR(VLOOKUP($A12,areaCercaDatiPerPosizioneSquadre,6,FALSE),"-")</f>
        <v/>
      </c>
      <c r="F12" s="12">
        <f>IFERROR(VLOOKUP($A12,areaCercaDatiPerPosizioneSquadre,7,FALSE),"-")</f>
        <v/>
      </c>
      <c r="G12" s="12">
        <f>IFERROR(VLOOKUP($A12,areaCercaDatiPerPosizioneSquadre,8,FALSE),"-")</f>
        <v/>
      </c>
      <c r="H12" s="12">
        <f>IFERROR(VLOOKUP($A12,areaCercaDatiPerPosizioneSquadre,9,FALSE),"-")</f>
        <v/>
      </c>
      <c r="I12" s="12">
        <f>IFERROR(VLOOKUP($A12,areaCercaDatiPerPosizioneSquadre,10,FALSE),"-")</f>
        <v/>
      </c>
      <c r="J12" s="12">
        <f>IFERROR(VLOOKUP($A12,areaCercaDatiPerPosizioneSquadre,11,FALSE),"-")</f>
        <v/>
      </c>
      <c r="K12" s="12">
        <f>IFERROR(VLOOKUP($A12,areaCercaDatiPerPosizioneSquadre,15,FALSE),"-")</f>
        <v/>
      </c>
      <c r="L12" s="18">
        <f>IFERROR(VLOOKUP($A12,areaCercaDatiPerPosizioneSquadre,16,FALSE),"-")</f>
        <v/>
      </c>
      <c r="M12" s="18">
        <f>IFERROR(VLOOKUP($A12,areaCercaDatiPerPosizioneSquadre,17,FALSE),"-")</f>
        <v/>
      </c>
    </row>
    <row r="13">
      <c r="A13" s="143" t="inlineStr">
        <is>
          <t>A5</t>
        </is>
      </c>
      <c r="B13" s="17">
        <f>IFERROR(VLOOKUP($A13,areaCercaDatiPerPosizioneSquadre,2,FALSE),"("&amp;$A13&amp;")")</f>
        <v/>
      </c>
      <c r="C13" s="145">
        <f>IFERROR(VLOOKUP($A13,areaCercaDatiPerPosizioneSquadre,4,FALSE),"-")</f>
        <v/>
      </c>
      <c r="D13" s="12">
        <f>IFERROR(VLOOKUP($A13,areaCercaDatiPerPosizioneSquadre,5,FALSE),"-")</f>
        <v/>
      </c>
      <c r="E13" s="12">
        <f>IFERROR(VLOOKUP($A13,areaCercaDatiPerPosizioneSquadre,6,FALSE),"-")</f>
        <v/>
      </c>
      <c r="F13" s="12">
        <f>IFERROR(VLOOKUP($A13,areaCercaDatiPerPosizioneSquadre,7,FALSE),"-")</f>
        <v/>
      </c>
      <c r="G13" s="12">
        <f>IFERROR(VLOOKUP($A13,areaCercaDatiPerPosizioneSquadre,8,FALSE),"-")</f>
        <v/>
      </c>
      <c r="H13" s="12">
        <f>IFERROR(VLOOKUP($A13,areaCercaDatiPerPosizioneSquadre,9,FALSE),"-")</f>
        <v/>
      </c>
      <c r="I13" s="12">
        <f>IFERROR(VLOOKUP($A13,areaCercaDatiPerPosizioneSquadre,10,FALSE),"-")</f>
        <v/>
      </c>
      <c r="J13" s="12">
        <f>IFERROR(VLOOKUP($A13,areaCercaDatiPerPosizioneSquadre,11,FALSE),"-")</f>
        <v/>
      </c>
      <c r="K13" s="12">
        <f>IFERROR(VLOOKUP($A13,areaCercaDatiPerPosizioneSquadre,15,FALSE),"-")</f>
        <v/>
      </c>
      <c r="L13" s="18">
        <f>IFERROR(VLOOKUP($A13,areaCercaDatiPerPosizioneSquadre,16,FALSE),"-")</f>
        <v/>
      </c>
      <c r="M13" s="18">
        <f>IFERROR(VLOOKUP($A13,areaCercaDatiPerPosizioneSquadre,17,FALSE),"-")</f>
        <v/>
      </c>
    </row>
    <row r="14">
      <c r="A14" s="143" t="inlineStr">
        <is>
          <t>A6</t>
        </is>
      </c>
      <c r="B14" s="17">
        <f>IFERROR(VLOOKUP($A14,areaCercaDatiPerPosizioneSquadre,2,FALSE),"("&amp;$A14&amp;")")</f>
        <v/>
      </c>
      <c r="C14" s="145">
        <f>IFERROR(VLOOKUP($A14,areaCercaDatiPerPosizioneSquadre,4,FALSE),"-")</f>
        <v/>
      </c>
      <c r="D14" s="12">
        <f>IFERROR(VLOOKUP($A14,areaCercaDatiPerPosizioneSquadre,5,FALSE),"-")</f>
        <v/>
      </c>
      <c r="E14" s="12">
        <f>IFERROR(VLOOKUP($A14,areaCercaDatiPerPosizioneSquadre,6,FALSE),"-")</f>
        <v/>
      </c>
      <c r="F14" s="12">
        <f>IFERROR(VLOOKUP($A14,areaCercaDatiPerPosizioneSquadre,7,FALSE),"-")</f>
        <v/>
      </c>
      <c r="G14" s="12">
        <f>IFERROR(VLOOKUP($A14,areaCercaDatiPerPosizioneSquadre,8,FALSE),"-")</f>
        <v/>
      </c>
      <c r="H14" s="12">
        <f>IFERROR(VLOOKUP($A14,areaCercaDatiPerPosizioneSquadre,9,FALSE),"-")</f>
        <v/>
      </c>
      <c r="I14" s="12">
        <f>IFERROR(VLOOKUP($A14,areaCercaDatiPerPosizioneSquadre,10,FALSE),"-")</f>
        <v/>
      </c>
      <c r="J14" s="12">
        <f>IFERROR(VLOOKUP($A14,areaCercaDatiPerPosizioneSquadre,11,FALSE),"-")</f>
        <v/>
      </c>
      <c r="K14" s="12">
        <f>IFERROR(VLOOKUP($A14,areaCercaDatiPerPosizioneSquadre,15,FALSE),"-")</f>
        <v/>
      </c>
      <c r="L14" s="18">
        <f>IFERROR(VLOOKUP($A14,areaCercaDatiPerPosizioneSquadre,16,FALSE),"-")</f>
        <v/>
      </c>
      <c r="M14" s="18">
        <f>IFERROR(VLOOKUP($A14,areaCercaDatiPerPosizioneSquadre,17,FALSE),"-")</f>
        <v/>
      </c>
    </row>
    <row r="15">
      <c r="A15" s="143" t="inlineStr">
        <is>
          <t>A7</t>
        </is>
      </c>
      <c r="B15" s="17">
        <f>IFERROR(VLOOKUP($A15,areaCercaDatiPerPosizioneSquadre,2,FALSE),"("&amp;$A15&amp;")")</f>
        <v/>
      </c>
      <c r="C15" s="145">
        <f>IFERROR(VLOOKUP($A15,areaCercaDatiPerPosizioneSquadre,4,FALSE),"-")</f>
        <v/>
      </c>
      <c r="D15" s="12">
        <f>IFERROR(VLOOKUP($A15,areaCercaDatiPerPosizioneSquadre,5,FALSE),"-")</f>
        <v/>
      </c>
      <c r="E15" s="12">
        <f>IFERROR(VLOOKUP($A15,areaCercaDatiPerPosizioneSquadre,6,FALSE),"-")</f>
        <v/>
      </c>
      <c r="F15" s="12">
        <f>IFERROR(VLOOKUP($A15,areaCercaDatiPerPosizioneSquadre,7,FALSE),"-")</f>
        <v/>
      </c>
      <c r="G15" s="12">
        <f>IFERROR(VLOOKUP($A15,areaCercaDatiPerPosizioneSquadre,8,FALSE),"-")</f>
        <v/>
      </c>
      <c r="H15" s="12">
        <f>IFERROR(VLOOKUP($A15,areaCercaDatiPerPosizioneSquadre,9,FALSE),"-")</f>
        <v/>
      </c>
      <c r="I15" s="12">
        <f>IFERROR(VLOOKUP($A15,areaCercaDatiPerPosizioneSquadre,10,FALSE),"-")</f>
        <v/>
      </c>
      <c r="J15" s="12">
        <f>IFERROR(VLOOKUP($A15,areaCercaDatiPerPosizioneSquadre,11,FALSE),"-")</f>
        <v/>
      </c>
      <c r="K15" s="12">
        <f>IFERROR(VLOOKUP($A15,areaCercaDatiPerPosizioneSquadre,15,FALSE),"-")</f>
        <v/>
      </c>
      <c r="L15" s="18">
        <f>IFERROR(VLOOKUP($A15,areaCercaDatiPerPosizioneSquadre,16,FALSE),"-")</f>
        <v/>
      </c>
      <c r="M15" s="18">
        <f>IFERROR(VLOOKUP($A15,areaCercaDatiPerPosizioneSquadre,17,FALSE),"-")</f>
        <v/>
      </c>
    </row>
    <row r="16">
      <c r="A16" s="143" t="inlineStr">
        <is>
          <t>A8</t>
        </is>
      </c>
      <c r="B16" s="17">
        <f>IFERROR(VLOOKUP($A16,areaCercaDatiPerPosizioneSquadre,2,FALSE),"("&amp;$A16&amp;")")</f>
        <v/>
      </c>
      <c r="C16" s="145">
        <f>IFERROR(VLOOKUP($A16,areaCercaDatiPerPosizioneSquadre,4,FALSE),"-")</f>
        <v/>
      </c>
      <c r="D16" s="12">
        <f>IFERROR(VLOOKUP($A16,areaCercaDatiPerPosizioneSquadre,5,FALSE),"-")</f>
        <v/>
      </c>
      <c r="E16" s="12">
        <f>IFERROR(VLOOKUP($A16,areaCercaDatiPerPosizioneSquadre,6,FALSE),"-")</f>
        <v/>
      </c>
      <c r="F16" s="12">
        <f>IFERROR(VLOOKUP($A16,areaCercaDatiPerPosizioneSquadre,7,FALSE),"-")</f>
        <v/>
      </c>
      <c r="G16" s="12">
        <f>IFERROR(VLOOKUP($A16,areaCercaDatiPerPosizioneSquadre,8,FALSE),"-")</f>
        <v/>
      </c>
      <c r="H16" s="12">
        <f>IFERROR(VLOOKUP($A16,areaCercaDatiPerPosizioneSquadre,9,FALSE),"-")</f>
        <v/>
      </c>
      <c r="I16" s="12">
        <f>IFERROR(VLOOKUP($A16,areaCercaDatiPerPosizioneSquadre,10,FALSE),"-")</f>
        <v/>
      </c>
      <c r="J16" s="12">
        <f>IFERROR(VLOOKUP($A16,areaCercaDatiPerPosizioneSquadre,11,FALSE),"-")</f>
        <v/>
      </c>
      <c r="K16" s="12">
        <f>IFERROR(VLOOKUP($A16,areaCercaDatiPerPosizioneSquadre,15,FALSE),"-")</f>
        <v/>
      </c>
      <c r="L16" s="18">
        <f>IFERROR(VLOOKUP($A16,areaCercaDatiPerPosizioneSquadre,16,FALSE),"-")</f>
        <v/>
      </c>
      <c r="M16" s="18">
        <f>IFERROR(VLOOKUP($A16,areaCercaDatiPerPosizioneSquadre,17,FALSE),"-")</f>
        <v/>
      </c>
    </row>
    <row r="17">
      <c r="A17" s="143" t="inlineStr">
        <is>
          <t>A9</t>
        </is>
      </c>
      <c r="B17" s="17">
        <f>IFERROR(VLOOKUP($A17,areaCercaDatiPerPosizioneSquadre,2,FALSE),"("&amp;$A17&amp;")")</f>
        <v/>
      </c>
      <c r="C17" s="145">
        <f>IFERROR(VLOOKUP($A17,areaCercaDatiPerPosizioneSquadre,4,FALSE),"-")</f>
        <v/>
      </c>
      <c r="D17" s="12">
        <f>IFERROR(VLOOKUP($A17,areaCercaDatiPerPosizioneSquadre,5,FALSE),"-")</f>
        <v/>
      </c>
      <c r="E17" s="12">
        <f>IFERROR(VLOOKUP($A17,areaCercaDatiPerPosizioneSquadre,6,FALSE),"-")</f>
        <v/>
      </c>
      <c r="F17" s="12">
        <f>IFERROR(VLOOKUP($A17,areaCercaDatiPerPosizioneSquadre,7,FALSE),"-")</f>
        <v/>
      </c>
      <c r="G17" s="12">
        <f>IFERROR(VLOOKUP($A17,areaCercaDatiPerPosizioneSquadre,8,FALSE),"-")</f>
        <v/>
      </c>
      <c r="H17" s="12">
        <f>IFERROR(VLOOKUP($A17,areaCercaDatiPerPosizioneSquadre,9,FALSE),"-")</f>
        <v/>
      </c>
      <c r="I17" s="12">
        <f>IFERROR(VLOOKUP($A17,areaCercaDatiPerPosizioneSquadre,10,FALSE),"-")</f>
        <v/>
      </c>
      <c r="J17" s="12">
        <f>IFERROR(VLOOKUP($A17,areaCercaDatiPerPosizioneSquadre,11,FALSE),"-")</f>
        <v/>
      </c>
      <c r="K17" s="12">
        <f>IFERROR(VLOOKUP($A17,areaCercaDatiPerPosizioneSquadre,15,FALSE),"-")</f>
        <v/>
      </c>
      <c r="L17" s="18">
        <f>IFERROR(VLOOKUP($A17,areaCercaDatiPerPosizioneSquadre,16,FALSE),"-")</f>
        <v/>
      </c>
      <c r="M17" s="18">
        <f>IFERROR(VLOOKUP($A17,areaCercaDatiPerPosizioneSquadre,17,FALSE),"-")</f>
        <v/>
      </c>
    </row>
    <row r="18">
      <c r="A18" s="143" t="inlineStr">
        <is>
          <t>A10</t>
        </is>
      </c>
      <c r="B18" s="17">
        <f>IFERROR(VLOOKUP($A18,areaCercaDatiPerPosizioneSquadre,2,FALSE),"("&amp;$A18&amp;")")</f>
        <v/>
      </c>
      <c r="C18" s="145">
        <f>IFERROR(VLOOKUP($A18,areaCercaDatiPerPosizioneSquadre,4,FALSE),"-")</f>
        <v/>
      </c>
      <c r="D18" s="12">
        <f>IFERROR(VLOOKUP($A18,areaCercaDatiPerPosizioneSquadre,5,FALSE),"-")</f>
        <v/>
      </c>
      <c r="E18" s="12">
        <f>IFERROR(VLOOKUP($A18,areaCercaDatiPerPosizioneSquadre,6,FALSE),"-")</f>
        <v/>
      </c>
      <c r="F18" s="12">
        <f>IFERROR(VLOOKUP($A18,areaCercaDatiPerPosizioneSquadre,7,FALSE),"-")</f>
        <v/>
      </c>
      <c r="G18" s="12">
        <f>IFERROR(VLOOKUP($A18,areaCercaDatiPerPosizioneSquadre,8,FALSE),"-")</f>
        <v/>
      </c>
      <c r="H18" s="12">
        <f>IFERROR(VLOOKUP($A18,areaCercaDatiPerPosizioneSquadre,9,FALSE),"-")</f>
        <v/>
      </c>
      <c r="I18" s="12">
        <f>IFERROR(VLOOKUP($A18,areaCercaDatiPerPosizioneSquadre,10,FALSE),"-")</f>
        <v/>
      </c>
      <c r="J18" s="12">
        <f>IFERROR(VLOOKUP($A18,areaCercaDatiPerPosizioneSquadre,11,FALSE),"-")</f>
        <v/>
      </c>
      <c r="K18" s="12">
        <f>IFERROR(VLOOKUP($A18,areaCercaDatiPerPosizioneSquadre,15,FALSE),"-")</f>
        <v/>
      </c>
      <c r="L18" s="18">
        <f>IFERROR(VLOOKUP($A18,areaCercaDatiPerPosizioneSquadre,16,FALSE),"-")</f>
        <v/>
      </c>
      <c r="M18" s="18">
        <f>IFERROR(VLOOKUP($A18,areaCercaDatiPerPosizioneSquadre,17,FALSE),"-")</f>
        <v/>
      </c>
    </row>
    <row r="20" ht="20" customHeight="1">
      <c r="A20" s="146">
        <f>"CLASSIFICA - GIRONE B"</f>
        <v/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10" t="n"/>
    </row>
    <row r="21" ht="26" customHeight="1">
      <c r="A21" s="147" t="inlineStr">
        <is>
          <t>P</t>
        </is>
      </c>
      <c r="B21" s="147" t="inlineStr">
        <is>
          <t>Classifica</t>
        </is>
      </c>
      <c r="C21" s="147" t="inlineStr">
        <is>
          <t>Pun</t>
        </is>
      </c>
      <c r="D21" s="147" t="inlineStr">
        <is>
          <t>Partite</t>
        </is>
      </c>
      <c r="E21" s="9" t="n"/>
      <c r="F21" s="9" t="n"/>
      <c r="G21" s="10" t="n"/>
      <c r="H21" s="147" t="inlineStr">
        <is>
          <t>Punti</t>
        </is>
      </c>
      <c r="I21" s="9" t="n"/>
      <c r="J21" s="10" t="n"/>
      <c r="K21" s="147" t="inlineStr">
        <is>
          <t>Record
Sc.Diretti</t>
        </is>
      </c>
      <c r="L21" s="147" t="inlineStr">
        <is>
          <t>Quoziente
Sc.Diretti</t>
        </is>
      </c>
      <c r="M21" s="147" t="inlineStr">
        <is>
          <t>Quoziente
Totale</t>
        </is>
      </c>
    </row>
    <row r="22">
      <c r="A22" s="141" t="n"/>
      <c r="B22" s="141" t="n"/>
      <c r="C22" s="141" t="n"/>
      <c r="D22" s="148" t="inlineStr">
        <is>
          <t>G</t>
        </is>
      </c>
      <c r="E22" s="148" t="inlineStr">
        <is>
          <t>V</t>
        </is>
      </c>
      <c r="F22" s="148" t="inlineStr">
        <is>
          <t>P</t>
        </is>
      </c>
      <c r="G22" s="148" t="inlineStr">
        <is>
          <t>F</t>
        </is>
      </c>
      <c r="H22" s="148" t="inlineStr">
        <is>
          <t>Fat</t>
        </is>
      </c>
      <c r="I22" s="148" t="inlineStr">
        <is>
          <t>Sub</t>
        </is>
      </c>
      <c r="J22" s="148" t="inlineStr">
        <is>
          <t>Dif</t>
        </is>
      </c>
      <c r="K22" s="141" t="n"/>
      <c r="L22" s="141" t="n"/>
      <c r="M22" s="141" t="n"/>
    </row>
    <row r="23">
      <c r="A23" s="149" t="inlineStr">
        <is>
          <t>B1</t>
        </is>
      </c>
      <c r="B23" s="150">
        <f>IFERROR(VLOOKUP($A23,areaCercaDatiPerPosizioneSquadre,2,FALSE),"("&amp;$A23&amp;")")</f>
        <v/>
      </c>
      <c r="C23" s="145">
        <f>IFERROR(VLOOKUP($A23,areaCercaDatiPerPosizioneSquadre,4,FALSE),"-")</f>
        <v/>
      </c>
      <c r="D23" s="12">
        <f>IFERROR(VLOOKUP($A23,areaCercaDatiPerPosizioneSquadre,5,FALSE),"-")</f>
        <v/>
      </c>
      <c r="E23" s="12">
        <f>IFERROR(VLOOKUP($A23,areaCercaDatiPerPosizioneSquadre,6,FALSE),"-")</f>
        <v/>
      </c>
      <c r="F23" s="12">
        <f>IFERROR(VLOOKUP($A23,areaCercaDatiPerPosizioneSquadre,7,FALSE),"-")</f>
        <v/>
      </c>
      <c r="G23" s="12">
        <f>IFERROR(VLOOKUP($A23,areaCercaDatiPerPosizioneSquadre,8,FALSE),"-")</f>
        <v/>
      </c>
      <c r="H23" s="12">
        <f>IFERROR(VLOOKUP($A23,areaCercaDatiPerPosizioneSquadre,9,FALSE),"-")</f>
        <v/>
      </c>
      <c r="I23" s="12">
        <f>IFERROR(VLOOKUP($A23,areaCercaDatiPerPosizioneSquadre,10,FALSE),"-")</f>
        <v/>
      </c>
      <c r="J23" s="12">
        <f>IFERROR(VLOOKUP($A23,areaCercaDatiPerPosizioneSquadre,11,FALSE),"-")</f>
        <v/>
      </c>
      <c r="K23" s="12">
        <f>IFERROR(VLOOKUP($A23,areaCercaDatiPerPosizioneSquadre,15,FALSE),"-")</f>
        <v/>
      </c>
      <c r="L23" s="18">
        <f>IFERROR(VLOOKUP($A23,areaCercaDatiPerPosizioneSquadre,16,FALSE),"-")</f>
        <v/>
      </c>
      <c r="M23" s="18">
        <f>IFERROR(VLOOKUP($A23,areaCercaDatiPerPosizioneSquadre,17,FALSE),"-")</f>
        <v/>
      </c>
    </row>
    <row r="24">
      <c r="A24" s="149" t="inlineStr">
        <is>
          <t>B2</t>
        </is>
      </c>
      <c r="B24" s="150">
        <f>IFERROR(VLOOKUP($A24,areaCercaDatiPerPosizioneSquadre,2,FALSE),"("&amp;$A24&amp;")")</f>
        <v/>
      </c>
      <c r="C24" s="145">
        <f>IFERROR(VLOOKUP($A24,areaCercaDatiPerPosizioneSquadre,4,FALSE),"-")</f>
        <v/>
      </c>
      <c r="D24" s="12">
        <f>IFERROR(VLOOKUP($A24,areaCercaDatiPerPosizioneSquadre,5,FALSE),"-")</f>
        <v/>
      </c>
      <c r="E24" s="12">
        <f>IFERROR(VLOOKUP($A24,areaCercaDatiPerPosizioneSquadre,6,FALSE),"-")</f>
        <v/>
      </c>
      <c r="F24" s="12">
        <f>IFERROR(VLOOKUP($A24,areaCercaDatiPerPosizioneSquadre,7,FALSE),"-")</f>
        <v/>
      </c>
      <c r="G24" s="12">
        <f>IFERROR(VLOOKUP($A24,areaCercaDatiPerPosizioneSquadre,8,FALSE),"-")</f>
        <v/>
      </c>
      <c r="H24" s="12">
        <f>IFERROR(VLOOKUP($A24,areaCercaDatiPerPosizioneSquadre,9,FALSE),"-")</f>
        <v/>
      </c>
      <c r="I24" s="12">
        <f>IFERROR(VLOOKUP($A24,areaCercaDatiPerPosizioneSquadre,10,FALSE),"-")</f>
        <v/>
      </c>
      <c r="J24" s="12">
        <f>IFERROR(VLOOKUP($A24,areaCercaDatiPerPosizioneSquadre,11,FALSE),"-")</f>
        <v/>
      </c>
      <c r="K24" s="12">
        <f>IFERROR(VLOOKUP($A24,areaCercaDatiPerPosizioneSquadre,15,FALSE),"-")</f>
        <v/>
      </c>
      <c r="L24" s="18">
        <f>IFERROR(VLOOKUP($A24,areaCercaDatiPerPosizioneSquadre,16,FALSE),"-")</f>
        <v/>
      </c>
      <c r="M24" s="18">
        <f>IFERROR(VLOOKUP($A24,areaCercaDatiPerPosizioneSquadre,17,FALSE),"-")</f>
        <v/>
      </c>
    </row>
    <row r="25">
      <c r="A25" s="149" t="inlineStr">
        <is>
          <t>B3</t>
        </is>
      </c>
      <c r="B25" s="17">
        <f>IFERROR(VLOOKUP($A25,areaCercaDatiPerPosizioneSquadre,2,FALSE),"("&amp;$A25&amp;")")</f>
        <v/>
      </c>
      <c r="C25" s="145">
        <f>IFERROR(VLOOKUP($A25,areaCercaDatiPerPosizioneSquadre,4,FALSE),"-")</f>
        <v/>
      </c>
      <c r="D25" s="12">
        <f>IFERROR(VLOOKUP($A25,areaCercaDatiPerPosizioneSquadre,5,FALSE),"-")</f>
        <v/>
      </c>
      <c r="E25" s="12">
        <f>IFERROR(VLOOKUP($A25,areaCercaDatiPerPosizioneSquadre,6,FALSE),"-")</f>
        <v/>
      </c>
      <c r="F25" s="12">
        <f>IFERROR(VLOOKUP($A25,areaCercaDatiPerPosizioneSquadre,7,FALSE),"-")</f>
        <v/>
      </c>
      <c r="G25" s="12">
        <f>IFERROR(VLOOKUP($A25,areaCercaDatiPerPosizioneSquadre,8,FALSE),"-")</f>
        <v/>
      </c>
      <c r="H25" s="12">
        <f>IFERROR(VLOOKUP($A25,areaCercaDatiPerPosizioneSquadre,9,FALSE),"-")</f>
        <v/>
      </c>
      <c r="I25" s="12">
        <f>IFERROR(VLOOKUP($A25,areaCercaDatiPerPosizioneSquadre,10,FALSE),"-")</f>
        <v/>
      </c>
      <c r="J25" s="12">
        <f>IFERROR(VLOOKUP($A25,areaCercaDatiPerPosizioneSquadre,11,FALSE),"-")</f>
        <v/>
      </c>
      <c r="K25" s="12">
        <f>IFERROR(VLOOKUP($A25,areaCercaDatiPerPosizioneSquadre,15,FALSE),"-")</f>
        <v/>
      </c>
      <c r="L25" s="18">
        <f>IFERROR(VLOOKUP($A25,areaCercaDatiPerPosizioneSquadre,16,FALSE),"-")</f>
        <v/>
      </c>
      <c r="M25" s="18">
        <f>IFERROR(VLOOKUP($A25,areaCercaDatiPerPosizioneSquadre,17,FALSE),"-")</f>
        <v/>
      </c>
    </row>
    <row r="26">
      <c r="A26" s="149" t="inlineStr">
        <is>
          <t>B4</t>
        </is>
      </c>
      <c r="B26" s="17">
        <f>IFERROR(VLOOKUP($A26,areaCercaDatiPerPosizioneSquadre,2,FALSE),"("&amp;$A26&amp;")")</f>
        <v/>
      </c>
      <c r="C26" s="145">
        <f>IFERROR(VLOOKUP($A26,areaCercaDatiPerPosizioneSquadre,4,FALSE),"-")</f>
        <v/>
      </c>
      <c r="D26" s="12">
        <f>IFERROR(VLOOKUP($A26,areaCercaDatiPerPosizioneSquadre,5,FALSE),"-")</f>
        <v/>
      </c>
      <c r="E26" s="12">
        <f>IFERROR(VLOOKUP($A26,areaCercaDatiPerPosizioneSquadre,6,FALSE),"-")</f>
        <v/>
      </c>
      <c r="F26" s="12">
        <f>IFERROR(VLOOKUP($A26,areaCercaDatiPerPosizioneSquadre,7,FALSE),"-")</f>
        <v/>
      </c>
      <c r="G26" s="12">
        <f>IFERROR(VLOOKUP($A26,areaCercaDatiPerPosizioneSquadre,8,FALSE),"-")</f>
        <v/>
      </c>
      <c r="H26" s="12">
        <f>IFERROR(VLOOKUP($A26,areaCercaDatiPerPosizioneSquadre,9,FALSE),"-")</f>
        <v/>
      </c>
      <c r="I26" s="12">
        <f>IFERROR(VLOOKUP($A26,areaCercaDatiPerPosizioneSquadre,10,FALSE),"-")</f>
        <v/>
      </c>
      <c r="J26" s="12">
        <f>IFERROR(VLOOKUP($A26,areaCercaDatiPerPosizioneSquadre,11,FALSE),"-")</f>
        <v/>
      </c>
      <c r="K26" s="12">
        <f>IFERROR(VLOOKUP($A26,areaCercaDatiPerPosizioneSquadre,15,FALSE),"-")</f>
        <v/>
      </c>
      <c r="L26" s="18">
        <f>IFERROR(VLOOKUP($A26,areaCercaDatiPerPosizioneSquadre,16,FALSE),"-")</f>
        <v/>
      </c>
      <c r="M26" s="18">
        <f>IFERROR(VLOOKUP($A26,areaCercaDatiPerPosizioneSquadre,17,FALSE),"-")</f>
        <v/>
      </c>
    </row>
    <row r="27">
      <c r="A27" s="149" t="inlineStr">
        <is>
          <t>B5</t>
        </is>
      </c>
      <c r="B27" s="17">
        <f>IFERROR(VLOOKUP($A27,areaCercaDatiPerPosizioneSquadre,2,FALSE),"("&amp;$A27&amp;")")</f>
        <v/>
      </c>
      <c r="C27" s="145">
        <f>IFERROR(VLOOKUP($A27,areaCercaDatiPerPosizioneSquadre,4,FALSE),"-")</f>
        <v/>
      </c>
      <c r="D27" s="12">
        <f>IFERROR(VLOOKUP($A27,areaCercaDatiPerPosizioneSquadre,5,FALSE),"-")</f>
        <v/>
      </c>
      <c r="E27" s="12">
        <f>IFERROR(VLOOKUP($A27,areaCercaDatiPerPosizioneSquadre,6,FALSE),"-")</f>
        <v/>
      </c>
      <c r="F27" s="12">
        <f>IFERROR(VLOOKUP($A27,areaCercaDatiPerPosizioneSquadre,7,FALSE),"-")</f>
        <v/>
      </c>
      <c r="G27" s="12">
        <f>IFERROR(VLOOKUP($A27,areaCercaDatiPerPosizioneSquadre,8,FALSE),"-")</f>
        <v/>
      </c>
      <c r="H27" s="12">
        <f>IFERROR(VLOOKUP($A27,areaCercaDatiPerPosizioneSquadre,9,FALSE),"-")</f>
        <v/>
      </c>
      <c r="I27" s="12">
        <f>IFERROR(VLOOKUP($A27,areaCercaDatiPerPosizioneSquadre,10,FALSE),"-")</f>
        <v/>
      </c>
      <c r="J27" s="12">
        <f>IFERROR(VLOOKUP($A27,areaCercaDatiPerPosizioneSquadre,11,FALSE),"-")</f>
        <v/>
      </c>
      <c r="K27" s="12">
        <f>IFERROR(VLOOKUP($A27,areaCercaDatiPerPosizioneSquadre,15,FALSE),"-")</f>
        <v/>
      </c>
      <c r="L27" s="18">
        <f>IFERROR(VLOOKUP($A27,areaCercaDatiPerPosizioneSquadre,16,FALSE),"-")</f>
        <v/>
      </c>
      <c r="M27" s="18">
        <f>IFERROR(VLOOKUP($A27,areaCercaDatiPerPosizioneSquadre,17,FALSE),"-")</f>
        <v/>
      </c>
    </row>
    <row r="28">
      <c r="A28" s="149" t="inlineStr">
        <is>
          <t>B6</t>
        </is>
      </c>
      <c r="B28" s="17">
        <f>IFERROR(VLOOKUP($A28,areaCercaDatiPerPosizioneSquadre,2,FALSE),"("&amp;$A28&amp;")")</f>
        <v/>
      </c>
      <c r="C28" s="145">
        <f>IFERROR(VLOOKUP($A28,areaCercaDatiPerPosizioneSquadre,4,FALSE),"-")</f>
        <v/>
      </c>
      <c r="D28" s="12">
        <f>IFERROR(VLOOKUP($A28,areaCercaDatiPerPosizioneSquadre,5,FALSE),"-")</f>
        <v/>
      </c>
      <c r="E28" s="12">
        <f>IFERROR(VLOOKUP($A28,areaCercaDatiPerPosizioneSquadre,6,FALSE),"-")</f>
        <v/>
      </c>
      <c r="F28" s="12">
        <f>IFERROR(VLOOKUP($A28,areaCercaDatiPerPosizioneSquadre,7,FALSE),"-")</f>
        <v/>
      </c>
      <c r="G28" s="12">
        <f>IFERROR(VLOOKUP($A28,areaCercaDatiPerPosizioneSquadre,8,FALSE),"-")</f>
        <v/>
      </c>
      <c r="H28" s="12">
        <f>IFERROR(VLOOKUP($A28,areaCercaDatiPerPosizioneSquadre,9,FALSE),"-")</f>
        <v/>
      </c>
      <c r="I28" s="12">
        <f>IFERROR(VLOOKUP($A28,areaCercaDatiPerPosizioneSquadre,10,FALSE),"-")</f>
        <v/>
      </c>
      <c r="J28" s="12">
        <f>IFERROR(VLOOKUP($A28,areaCercaDatiPerPosizioneSquadre,11,FALSE),"-")</f>
        <v/>
      </c>
      <c r="K28" s="12">
        <f>IFERROR(VLOOKUP($A28,areaCercaDatiPerPosizioneSquadre,15,FALSE),"-")</f>
        <v/>
      </c>
      <c r="L28" s="18">
        <f>IFERROR(VLOOKUP($A28,areaCercaDatiPerPosizioneSquadre,16,FALSE),"-")</f>
        <v/>
      </c>
      <c r="M28" s="18">
        <f>IFERROR(VLOOKUP($A28,areaCercaDatiPerPosizioneSquadre,17,FALSE),"-")</f>
        <v/>
      </c>
    </row>
    <row r="29">
      <c r="A29" s="149" t="inlineStr">
        <is>
          <t>B7</t>
        </is>
      </c>
      <c r="B29" s="17">
        <f>IFERROR(VLOOKUP($A29,areaCercaDatiPerPosizioneSquadre,2,FALSE),"("&amp;$A29&amp;")")</f>
        <v/>
      </c>
      <c r="C29" s="145">
        <f>IFERROR(VLOOKUP($A29,areaCercaDatiPerPosizioneSquadre,4,FALSE),"-")</f>
        <v/>
      </c>
      <c r="D29" s="12">
        <f>IFERROR(VLOOKUP($A29,areaCercaDatiPerPosizioneSquadre,5,FALSE),"-")</f>
        <v/>
      </c>
      <c r="E29" s="12">
        <f>IFERROR(VLOOKUP($A29,areaCercaDatiPerPosizioneSquadre,6,FALSE),"-")</f>
        <v/>
      </c>
      <c r="F29" s="12">
        <f>IFERROR(VLOOKUP($A29,areaCercaDatiPerPosizioneSquadre,7,FALSE),"-")</f>
        <v/>
      </c>
      <c r="G29" s="12">
        <f>IFERROR(VLOOKUP($A29,areaCercaDatiPerPosizioneSquadre,8,FALSE),"-")</f>
        <v/>
      </c>
      <c r="H29" s="12">
        <f>IFERROR(VLOOKUP($A29,areaCercaDatiPerPosizioneSquadre,9,FALSE),"-")</f>
        <v/>
      </c>
      <c r="I29" s="12">
        <f>IFERROR(VLOOKUP($A29,areaCercaDatiPerPosizioneSquadre,10,FALSE),"-")</f>
        <v/>
      </c>
      <c r="J29" s="12">
        <f>IFERROR(VLOOKUP($A29,areaCercaDatiPerPosizioneSquadre,11,FALSE),"-")</f>
        <v/>
      </c>
      <c r="K29" s="12">
        <f>IFERROR(VLOOKUP($A29,areaCercaDatiPerPosizioneSquadre,15,FALSE),"-")</f>
        <v/>
      </c>
      <c r="L29" s="18">
        <f>IFERROR(VLOOKUP($A29,areaCercaDatiPerPosizioneSquadre,16,FALSE),"-")</f>
        <v/>
      </c>
      <c r="M29" s="18">
        <f>IFERROR(VLOOKUP($A29,areaCercaDatiPerPosizioneSquadre,17,FALSE),"-")</f>
        <v/>
      </c>
    </row>
    <row r="30">
      <c r="A30" s="149" t="inlineStr">
        <is>
          <t>B8</t>
        </is>
      </c>
      <c r="B30" s="17">
        <f>IFERROR(VLOOKUP($A30,areaCercaDatiPerPosizioneSquadre,2,FALSE),"("&amp;$A30&amp;")")</f>
        <v/>
      </c>
      <c r="C30" s="145">
        <f>IFERROR(VLOOKUP($A30,areaCercaDatiPerPosizioneSquadre,4,FALSE),"-")</f>
        <v/>
      </c>
      <c r="D30" s="12">
        <f>IFERROR(VLOOKUP($A30,areaCercaDatiPerPosizioneSquadre,5,FALSE),"-")</f>
        <v/>
      </c>
      <c r="E30" s="12">
        <f>IFERROR(VLOOKUP($A30,areaCercaDatiPerPosizioneSquadre,6,FALSE),"-")</f>
        <v/>
      </c>
      <c r="F30" s="12">
        <f>IFERROR(VLOOKUP($A30,areaCercaDatiPerPosizioneSquadre,7,FALSE),"-")</f>
        <v/>
      </c>
      <c r="G30" s="12">
        <f>IFERROR(VLOOKUP($A30,areaCercaDatiPerPosizioneSquadre,8,FALSE),"-")</f>
        <v/>
      </c>
      <c r="H30" s="12">
        <f>IFERROR(VLOOKUP($A30,areaCercaDatiPerPosizioneSquadre,9,FALSE),"-")</f>
        <v/>
      </c>
      <c r="I30" s="12">
        <f>IFERROR(VLOOKUP($A30,areaCercaDatiPerPosizioneSquadre,10,FALSE),"-")</f>
        <v/>
      </c>
      <c r="J30" s="12">
        <f>IFERROR(VLOOKUP($A30,areaCercaDatiPerPosizioneSquadre,11,FALSE),"-")</f>
        <v/>
      </c>
      <c r="K30" s="12">
        <f>IFERROR(VLOOKUP($A30,areaCercaDatiPerPosizioneSquadre,15,FALSE),"-")</f>
        <v/>
      </c>
      <c r="L30" s="18">
        <f>IFERROR(VLOOKUP($A30,areaCercaDatiPerPosizioneSquadre,16,FALSE),"-")</f>
        <v/>
      </c>
      <c r="M30" s="18">
        <f>IFERROR(VLOOKUP($A30,areaCercaDatiPerPosizioneSquadre,17,FALSE),"-")</f>
        <v/>
      </c>
    </row>
    <row r="31">
      <c r="A31" s="149" t="inlineStr">
        <is>
          <t>B9</t>
        </is>
      </c>
      <c r="B31" s="17">
        <f>IFERROR(VLOOKUP($A31,areaCercaDatiPerPosizioneSquadre,2,FALSE),"("&amp;$A31&amp;")")</f>
        <v/>
      </c>
      <c r="C31" s="145">
        <f>IFERROR(VLOOKUP($A31,areaCercaDatiPerPosizioneSquadre,4,FALSE),"-")</f>
        <v/>
      </c>
      <c r="D31" s="12">
        <f>IFERROR(VLOOKUP($A31,areaCercaDatiPerPosizioneSquadre,5,FALSE),"-")</f>
        <v/>
      </c>
      <c r="E31" s="12">
        <f>IFERROR(VLOOKUP($A31,areaCercaDatiPerPosizioneSquadre,6,FALSE),"-")</f>
        <v/>
      </c>
      <c r="F31" s="12">
        <f>IFERROR(VLOOKUP($A31,areaCercaDatiPerPosizioneSquadre,7,FALSE),"-")</f>
        <v/>
      </c>
      <c r="G31" s="12">
        <f>IFERROR(VLOOKUP($A31,areaCercaDatiPerPosizioneSquadre,8,FALSE),"-")</f>
        <v/>
      </c>
      <c r="H31" s="12">
        <f>IFERROR(VLOOKUP($A31,areaCercaDatiPerPosizioneSquadre,9,FALSE),"-")</f>
        <v/>
      </c>
      <c r="I31" s="12">
        <f>IFERROR(VLOOKUP($A31,areaCercaDatiPerPosizioneSquadre,10,FALSE),"-")</f>
        <v/>
      </c>
      <c r="J31" s="12">
        <f>IFERROR(VLOOKUP($A31,areaCercaDatiPerPosizioneSquadre,11,FALSE),"-")</f>
        <v/>
      </c>
      <c r="K31" s="12">
        <f>IFERROR(VLOOKUP($A31,areaCercaDatiPerPosizioneSquadre,15,FALSE),"-")</f>
        <v/>
      </c>
      <c r="L31" s="18">
        <f>IFERROR(VLOOKUP($A31,areaCercaDatiPerPosizioneSquadre,16,FALSE),"-")</f>
        <v/>
      </c>
      <c r="M31" s="18">
        <f>IFERROR(VLOOKUP($A31,areaCercaDatiPerPosizioneSquadre,17,FALSE),"-")</f>
        <v/>
      </c>
    </row>
    <row r="32">
      <c r="A32" s="149" t="inlineStr">
        <is>
          <t>B10</t>
        </is>
      </c>
      <c r="B32" s="17">
        <f>IFERROR(VLOOKUP($A32,areaCercaDatiPerPosizioneSquadre,2,FALSE),"("&amp;$A32&amp;")")</f>
        <v/>
      </c>
      <c r="C32" s="145">
        <f>IFERROR(VLOOKUP($A32,areaCercaDatiPerPosizioneSquadre,4,FALSE),"-")</f>
        <v/>
      </c>
      <c r="D32" s="12">
        <f>IFERROR(VLOOKUP($A32,areaCercaDatiPerPosizioneSquadre,5,FALSE),"-")</f>
        <v/>
      </c>
      <c r="E32" s="12">
        <f>IFERROR(VLOOKUP($A32,areaCercaDatiPerPosizioneSquadre,6,FALSE),"-")</f>
        <v/>
      </c>
      <c r="F32" s="12">
        <f>IFERROR(VLOOKUP($A32,areaCercaDatiPerPosizioneSquadre,7,FALSE),"-")</f>
        <v/>
      </c>
      <c r="G32" s="12">
        <f>IFERROR(VLOOKUP($A32,areaCercaDatiPerPosizioneSquadre,8,FALSE),"-")</f>
        <v/>
      </c>
      <c r="H32" s="12">
        <f>IFERROR(VLOOKUP($A32,areaCercaDatiPerPosizioneSquadre,9,FALSE),"-")</f>
        <v/>
      </c>
      <c r="I32" s="12">
        <f>IFERROR(VLOOKUP($A32,areaCercaDatiPerPosizioneSquadre,10,FALSE),"-")</f>
        <v/>
      </c>
      <c r="J32" s="12">
        <f>IFERROR(VLOOKUP($A32,areaCercaDatiPerPosizioneSquadre,11,FALSE),"-")</f>
        <v/>
      </c>
      <c r="K32" s="12">
        <f>IFERROR(VLOOKUP($A32,areaCercaDatiPerPosizioneSquadre,15,FALSE),"-")</f>
        <v/>
      </c>
      <c r="L32" s="18">
        <f>IFERROR(VLOOKUP($A32,areaCercaDatiPerPosizioneSquadre,16,FALSE),"-")</f>
        <v/>
      </c>
      <c r="M32" s="18">
        <f>IFERROR(VLOOKUP($A32,areaCercaDatiPerPosizioneSquadre,17,FALSE),"-")</f>
        <v/>
      </c>
    </row>
    <row r="34" ht="20" customHeight="1">
      <c r="A34" s="151">
        <f>"CLASSIFICA - GIRONE C"</f>
        <v/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10" t="n"/>
    </row>
    <row r="35" ht="26" customHeight="1">
      <c r="A35" s="152" t="inlineStr">
        <is>
          <t>P</t>
        </is>
      </c>
      <c r="B35" s="152" t="inlineStr">
        <is>
          <t>Classifica</t>
        </is>
      </c>
      <c r="C35" s="152" t="inlineStr">
        <is>
          <t>Pun</t>
        </is>
      </c>
      <c r="D35" s="152" t="inlineStr">
        <is>
          <t>Partite</t>
        </is>
      </c>
      <c r="E35" s="9" t="n"/>
      <c r="F35" s="9" t="n"/>
      <c r="G35" s="10" t="n"/>
      <c r="H35" s="152" t="inlineStr">
        <is>
          <t>Punti</t>
        </is>
      </c>
      <c r="I35" s="9" t="n"/>
      <c r="J35" s="10" t="n"/>
      <c r="K35" s="152" t="inlineStr">
        <is>
          <t>Record
Sc.Diretti</t>
        </is>
      </c>
      <c r="L35" s="152" t="inlineStr">
        <is>
          <t>Quoziente
Sc.Diretti</t>
        </is>
      </c>
      <c r="M35" s="152" t="inlineStr">
        <is>
          <t>Quoziente
Totale</t>
        </is>
      </c>
    </row>
    <row r="36">
      <c r="A36" s="141" t="n"/>
      <c r="B36" s="141" t="n"/>
      <c r="C36" s="141" t="n"/>
      <c r="D36" s="153" t="inlineStr">
        <is>
          <t>G</t>
        </is>
      </c>
      <c r="E36" s="153" t="inlineStr">
        <is>
          <t>V</t>
        </is>
      </c>
      <c r="F36" s="153" t="inlineStr">
        <is>
          <t>P</t>
        </is>
      </c>
      <c r="G36" s="153" t="inlineStr">
        <is>
          <t>F</t>
        </is>
      </c>
      <c r="H36" s="153" t="inlineStr">
        <is>
          <t>Fat</t>
        </is>
      </c>
      <c r="I36" s="153" t="inlineStr">
        <is>
          <t>Sub</t>
        </is>
      </c>
      <c r="J36" s="153" t="inlineStr">
        <is>
          <t>Dif</t>
        </is>
      </c>
      <c r="K36" s="141" t="n"/>
      <c r="L36" s="141" t="n"/>
      <c r="M36" s="141" t="n"/>
    </row>
    <row r="37">
      <c r="A37" s="154" t="inlineStr">
        <is>
          <t>C1</t>
        </is>
      </c>
      <c r="B37" s="155">
        <f>IFERROR(VLOOKUP($A37,areaCercaDatiPerPosizioneSquadre,2,FALSE),"("&amp;$A37&amp;")")</f>
        <v/>
      </c>
      <c r="C37" s="145">
        <f>IFERROR(VLOOKUP($A37,areaCercaDatiPerPosizioneSquadre,4,FALSE),"-")</f>
        <v/>
      </c>
      <c r="D37" s="12">
        <f>IFERROR(VLOOKUP($A37,areaCercaDatiPerPosizioneSquadre,5,FALSE),"-")</f>
        <v/>
      </c>
      <c r="E37" s="12">
        <f>IFERROR(VLOOKUP($A37,areaCercaDatiPerPosizioneSquadre,6,FALSE),"-")</f>
        <v/>
      </c>
      <c r="F37" s="12">
        <f>IFERROR(VLOOKUP($A37,areaCercaDatiPerPosizioneSquadre,7,FALSE),"-")</f>
        <v/>
      </c>
      <c r="G37" s="12">
        <f>IFERROR(VLOOKUP($A37,areaCercaDatiPerPosizioneSquadre,8,FALSE),"-")</f>
        <v/>
      </c>
      <c r="H37" s="12">
        <f>IFERROR(VLOOKUP($A37,areaCercaDatiPerPosizioneSquadre,9,FALSE),"-")</f>
        <v/>
      </c>
      <c r="I37" s="12">
        <f>IFERROR(VLOOKUP($A37,areaCercaDatiPerPosizioneSquadre,10,FALSE),"-")</f>
        <v/>
      </c>
      <c r="J37" s="12">
        <f>IFERROR(VLOOKUP($A37,areaCercaDatiPerPosizioneSquadre,11,FALSE),"-")</f>
        <v/>
      </c>
      <c r="K37" s="12">
        <f>IFERROR(VLOOKUP($A37,areaCercaDatiPerPosizioneSquadre,15,FALSE),"-")</f>
        <v/>
      </c>
      <c r="L37" s="18">
        <f>IFERROR(VLOOKUP($A37,areaCercaDatiPerPosizioneSquadre,16,FALSE),"-")</f>
        <v/>
      </c>
      <c r="M37" s="18">
        <f>IFERROR(VLOOKUP($A37,areaCercaDatiPerPosizioneSquadre,17,FALSE),"-")</f>
        <v/>
      </c>
    </row>
    <row r="38">
      <c r="A38" s="154" t="inlineStr">
        <is>
          <t>C2</t>
        </is>
      </c>
      <c r="B38" s="155">
        <f>IFERROR(VLOOKUP($A38,areaCercaDatiPerPosizioneSquadre,2,FALSE),"("&amp;$A38&amp;")")</f>
        <v/>
      </c>
      <c r="C38" s="145">
        <f>IFERROR(VLOOKUP($A38,areaCercaDatiPerPosizioneSquadre,4,FALSE),"-")</f>
        <v/>
      </c>
      <c r="D38" s="12">
        <f>IFERROR(VLOOKUP($A38,areaCercaDatiPerPosizioneSquadre,5,FALSE),"-")</f>
        <v/>
      </c>
      <c r="E38" s="12">
        <f>IFERROR(VLOOKUP($A38,areaCercaDatiPerPosizioneSquadre,6,FALSE),"-")</f>
        <v/>
      </c>
      <c r="F38" s="12">
        <f>IFERROR(VLOOKUP($A38,areaCercaDatiPerPosizioneSquadre,7,FALSE),"-")</f>
        <v/>
      </c>
      <c r="G38" s="12">
        <f>IFERROR(VLOOKUP($A38,areaCercaDatiPerPosizioneSquadre,8,FALSE),"-")</f>
        <v/>
      </c>
      <c r="H38" s="12">
        <f>IFERROR(VLOOKUP($A38,areaCercaDatiPerPosizioneSquadre,9,FALSE),"-")</f>
        <v/>
      </c>
      <c r="I38" s="12">
        <f>IFERROR(VLOOKUP($A38,areaCercaDatiPerPosizioneSquadre,10,FALSE),"-")</f>
        <v/>
      </c>
      <c r="J38" s="12">
        <f>IFERROR(VLOOKUP($A38,areaCercaDatiPerPosizioneSquadre,11,FALSE),"-")</f>
        <v/>
      </c>
      <c r="K38" s="12">
        <f>IFERROR(VLOOKUP($A38,areaCercaDatiPerPosizioneSquadre,15,FALSE),"-")</f>
        <v/>
      </c>
      <c r="L38" s="18">
        <f>IFERROR(VLOOKUP($A38,areaCercaDatiPerPosizioneSquadre,16,FALSE),"-")</f>
        <v/>
      </c>
      <c r="M38" s="18">
        <f>IFERROR(VLOOKUP($A38,areaCercaDatiPerPosizioneSquadre,17,FALSE),"-")</f>
        <v/>
      </c>
    </row>
    <row r="39">
      <c r="A39" s="154" t="inlineStr">
        <is>
          <t>C3</t>
        </is>
      </c>
      <c r="B39" s="17">
        <f>IFERROR(VLOOKUP($A39,areaCercaDatiPerPosizioneSquadre,2,FALSE),"("&amp;$A39&amp;")")</f>
        <v/>
      </c>
      <c r="C39" s="145">
        <f>IFERROR(VLOOKUP($A39,areaCercaDatiPerPosizioneSquadre,4,FALSE),"-")</f>
        <v/>
      </c>
      <c r="D39" s="12">
        <f>IFERROR(VLOOKUP($A39,areaCercaDatiPerPosizioneSquadre,5,FALSE),"-")</f>
        <v/>
      </c>
      <c r="E39" s="12">
        <f>IFERROR(VLOOKUP($A39,areaCercaDatiPerPosizioneSquadre,6,FALSE),"-")</f>
        <v/>
      </c>
      <c r="F39" s="12">
        <f>IFERROR(VLOOKUP($A39,areaCercaDatiPerPosizioneSquadre,7,FALSE),"-")</f>
        <v/>
      </c>
      <c r="G39" s="12">
        <f>IFERROR(VLOOKUP($A39,areaCercaDatiPerPosizioneSquadre,8,FALSE),"-")</f>
        <v/>
      </c>
      <c r="H39" s="12">
        <f>IFERROR(VLOOKUP($A39,areaCercaDatiPerPosizioneSquadre,9,FALSE),"-")</f>
        <v/>
      </c>
      <c r="I39" s="12">
        <f>IFERROR(VLOOKUP($A39,areaCercaDatiPerPosizioneSquadre,10,FALSE),"-")</f>
        <v/>
      </c>
      <c r="J39" s="12">
        <f>IFERROR(VLOOKUP($A39,areaCercaDatiPerPosizioneSquadre,11,FALSE),"-")</f>
        <v/>
      </c>
      <c r="K39" s="12">
        <f>IFERROR(VLOOKUP($A39,areaCercaDatiPerPosizioneSquadre,15,FALSE),"-")</f>
        <v/>
      </c>
      <c r="L39" s="18">
        <f>IFERROR(VLOOKUP($A39,areaCercaDatiPerPosizioneSquadre,16,FALSE),"-")</f>
        <v/>
      </c>
      <c r="M39" s="18">
        <f>IFERROR(VLOOKUP($A39,areaCercaDatiPerPosizioneSquadre,17,FALSE),"-")</f>
        <v/>
      </c>
    </row>
    <row r="40">
      <c r="A40" s="154" t="inlineStr">
        <is>
          <t>C4</t>
        </is>
      </c>
      <c r="B40" s="17">
        <f>IFERROR(VLOOKUP($A40,areaCercaDatiPerPosizioneSquadre,2,FALSE),"("&amp;$A40&amp;")")</f>
        <v/>
      </c>
      <c r="C40" s="145">
        <f>IFERROR(VLOOKUP($A40,areaCercaDatiPerPosizioneSquadre,4,FALSE),"-")</f>
        <v/>
      </c>
      <c r="D40" s="12">
        <f>IFERROR(VLOOKUP($A40,areaCercaDatiPerPosizioneSquadre,5,FALSE),"-")</f>
        <v/>
      </c>
      <c r="E40" s="12">
        <f>IFERROR(VLOOKUP($A40,areaCercaDatiPerPosizioneSquadre,6,FALSE),"-")</f>
        <v/>
      </c>
      <c r="F40" s="12">
        <f>IFERROR(VLOOKUP($A40,areaCercaDatiPerPosizioneSquadre,7,FALSE),"-")</f>
        <v/>
      </c>
      <c r="G40" s="12">
        <f>IFERROR(VLOOKUP($A40,areaCercaDatiPerPosizioneSquadre,8,FALSE),"-")</f>
        <v/>
      </c>
      <c r="H40" s="12">
        <f>IFERROR(VLOOKUP($A40,areaCercaDatiPerPosizioneSquadre,9,FALSE),"-")</f>
        <v/>
      </c>
      <c r="I40" s="12">
        <f>IFERROR(VLOOKUP($A40,areaCercaDatiPerPosizioneSquadre,10,FALSE),"-")</f>
        <v/>
      </c>
      <c r="J40" s="12">
        <f>IFERROR(VLOOKUP($A40,areaCercaDatiPerPosizioneSquadre,11,FALSE),"-")</f>
        <v/>
      </c>
      <c r="K40" s="12">
        <f>IFERROR(VLOOKUP($A40,areaCercaDatiPerPosizioneSquadre,15,FALSE),"-")</f>
        <v/>
      </c>
      <c r="L40" s="18">
        <f>IFERROR(VLOOKUP($A40,areaCercaDatiPerPosizioneSquadre,16,FALSE),"-")</f>
        <v/>
      </c>
      <c r="M40" s="18">
        <f>IFERROR(VLOOKUP($A40,areaCercaDatiPerPosizioneSquadre,17,FALSE),"-")</f>
        <v/>
      </c>
    </row>
    <row r="41">
      <c r="A41" s="154" t="inlineStr">
        <is>
          <t>C5</t>
        </is>
      </c>
      <c r="B41" s="17">
        <f>IFERROR(VLOOKUP($A41,areaCercaDatiPerPosizioneSquadre,2,FALSE),"("&amp;$A41&amp;")")</f>
        <v/>
      </c>
      <c r="C41" s="145">
        <f>IFERROR(VLOOKUP($A41,areaCercaDatiPerPosizioneSquadre,4,FALSE),"-")</f>
        <v/>
      </c>
      <c r="D41" s="12">
        <f>IFERROR(VLOOKUP($A41,areaCercaDatiPerPosizioneSquadre,5,FALSE),"-")</f>
        <v/>
      </c>
      <c r="E41" s="12">
        <f>IFERROR(VLOOKUP($A41,areaCercaDatiPerPosizioneSquadre,6,FALSE),"-")</f>
        <v/>
      </c>
      <c r="F41" s="12">
        <f>IFERROR(VLOOKUP($A41,areaCercaDatiPerPosizioneSquadre,7,FALSE),"-")</f>
        <v/>
      </c>
      <c r="G41" s="12">
        <f>IFERROR(VLOOKUP($A41,areaCercaDatiPerPosizioneSquadre,8,FALSE),"-")</f>
        <v/>
      </c>
      <c r="H41" s="12">
        <f>IFERROR(VLOOKUP($A41,areaCercaDatiPerPosizioneSquadre,9,FALSE),"-")</f>
        <v/>
      </c>
      <c r="I41" s="12">
        <f>IFERROR(VLOOKUP($A41,areaCercaDatiPerPosizioneSquadre,10,FALSE),"-")</f>
        <v/>
      </c>
      <c r="J41" s="12">
        <f>IFERROR(VLOOKUP($A41,areaCercaDatiPerPosizioneSquadre,11,FALSE),"-")</f>
        <v/>
      </c>
      <c r="K41" s="12">
        <f>IFERROR(VLOOKUP($A41,areaCercaDatiPerPosizioneSquadre,15,FALSE),"-")</f>
        <v/>
      </c>
      <c r="L41" s="18">
        <f>IFERROR(VLOOKUP($A41,areaCercaDatiPerPosizioneSquadre,16,FALSE),"-")</f>
        <v/>
      </c>
      <c r="M41" s="18">
        <f>IFERROR(VLOOKUP($A41,areaCercaDatiPerPosizioneSquadre,17,FALSE),"-")</f>
        <v/>
      </c>
    </row>
    <row r="42">
      <c r="A42" s="154" t="inlineStr">
        <is>
          <t>C6</t>
        </is>
      </c>
      <c r="B42" s="17">
        <f>IFERROR(VLOOKUP($A42,areaCercaDatiPerPosizioneSquadre,2,FALSE),"("&amp;$A42&amp;")")</f>
        <v/>
      </c>
      <c r="C42" s="145">
        <f>IFERROR(VLOOKUP($A42,areaCercaDatiPerPosizioneSquadre,4,FALSE),"-")</f>
        <v/>
      </c>
      <c r="D42" s="12">
        <f>IFERROR(VLOOKUP($A42,areaCercaDatiPerPosizioneSquadre,5,FALSE),"-")</f>
        <v/>
      </c>
      <c r="E42" s="12">
        <f>IFERROR(VLOOKUP($A42,areaCercaDatiPerPosizioneSquadre,6,FALSE),"-")</f>
        <v/>
      </c>
      <c r="F42" s="12">
        <f>IFERROR(VLOOKUP($A42,areaCercaDatiPerPosizioneSquadre,7,FALSE),"-")</f>
        <v/>
      </c>
      <c r="G42" s="12">
        <f>IFERROR(VLOOKUP($A42,areaCercaDatiPerPosizioneSquadre,8,FALSE),"-")</f>
        <v/>
      </c>
      <c r="H42" s="12">
        <f>IFERROR(VLOOKUP($A42,areaCercaDatiPerPosizioneSquadre,9,FALSE),"-")</f>
        <v/>
      </c>
      <c r="I42" s="12">
        <f>IFERROR(VLOOKUP($A42,areaCercaDatiPerPosizioneSquadre,10,FALSE),"-")</f>
        <v/>
      </c>
      <c r="J42" s="12">
        <f>IFERROR(VLOOKUP($A42,areaCercaDatiPerPosizioneSquadre,11,FALSE),"-")</f>
        <v/>
      </c>
      <c r="K42" s="12">
        <f>IFERROR(VLOOKUP($A42,areaCercaDatiPerPosizioneSquadre,15,FALSE),"-")</f>
        <v/>
      </c>
      <c r="L42" s="18">
        <f>IFERROR(VLOOKUP($A42,areaCercaDatiPerPosizioneSquadre,16,FALSE),"-")</f>
        <v/>
      </c>
      <c r="M42" s="18">
        <f>IFERROR(VLOOKUP($A42,areaCercaDatiPerPosizioneSquadre,17,FALSE),"-")</f>
        <v/>
      </c>
    </row>
    <row r="43">
      <c r="A43" s="154" t="inlineStr">
        <is>
          <t>C7</t>
        </is>
      </c>
      <c r="B43" s="17">
        <f>IFERROR(VLOOKUP($A43,areaCercaDatiPerPosizioneSquadre,2,FALSE),"("&amp;$A43&amp;")")</f>
        <v/>
      </c>
      <c r="C43" s="145">
        <f>IFERROR(VLOOKUP($A43,areaCercaDatiPerPosizioneSquadre,4,FALSE),"-")</f>
        <v/>
      </c>
      <c r="D43" s="12">
        <f>IFERROR(VLOOKUP($A43,areaCercaDatiPerPosizioneSquadre,5,FALSE),"-")</f>
        <v/>
      </c>
      <c r="E43" s="12">
        <f>IFERROR(VLOOKUP($A43,areaCercaDatiPerPosizioneSquadre,6,FALSE),"-")</f>
        <v/>
      </c>
      <c r="F43" s="12">
        <f>IFERROR(VLOOKUP($A43,areaCercaDatiPerPosizioneSquadre,7,FALSE),"-")</f>
        <v/>
      </c>
      <c r="G43" s="12">
        <f>IFERROR(VLOOKUP($A43,areaCercaDatiPerPosizioneSquadre,8,FALSE),"-")</f>
        <v/>
      </c>
      <c r="H43" s="12">
        <f>IFERROR(VLOOKUP($A43,areaCercaDatiPerPosizioneSquadre,9,FALSE),"-")</f>
        <v/>
      </c>
      <c r="I43" s="12">
        <f>IFERROR(VLOOKUP($A43,areaCercaDatiPerPosizioneSquadre,10,FALSE),"-")</f>
        <v/>
      </c>
      <c r="J43" s="12">
        <f>IFERROR(VLOOKUP($A43,areaCercaDatiPerPosizioneSquadre,11,FALSE),"-")</f>
        <v/>
      </c>
      <c r="K43" s="12">
        <f>IFERROR(VLOOKUP($A43,areaCercaDatiPerPosizioneSquadre,15,FALSE),"-")</f>
        <v/>
      </c>
      <c r="L43" s="18">
        <f>IFERROR(VLOOKUP($A43,areaCercaDatiPerPosizioneSquadre,16,FALSE),"-")</f>
        <v/>
      </c>
      <c r="M43" s="18">
        <f>IFERROR(VLOOKUP($A43,areaCercaDatiPerPosizioneSquadre,17,FALSE),"-")</f>
        <v/>
      </c>
    </row>
    <row r="44">
      <c r="A44" s="154" t="inlineStr">
        <is>
          <t>C8</t>
        </is>
      </c>
      <c r="B44" s="17">
        <f>IFERROR(VLOOKUP($A44,areaCercaDatiPerPosizioneSquadre,2,FALSE),"("&amp;$A44&amp;")")</f>
        <v/>
      </c>
      <c r="C44" s="145">
        <f>IFERROR(VLOOKUP($A44,areaCercaDatiPerPosizioneSquadre,4,FALSE),"-")</f>
        <v/>
      </c>
      <c r="D44" s="12">
        <f>IFERROR(VLOOKUP($A44,areaCercaDatiPerPosizioneSquadre,5,FALSE),"-")</f>
        <v/>
      </c>
      <c r="E44" s="12">
        <f>IFERROR(VLOOKUP($A44,areaCercaDatiPerPosizioneSquadre,6,FALSE),"-")</f>
        <v/>
      </c>
      <c r="F44" s="12">
        <f>IFERROR(VLOOKUP($A44,areaCercaDatiPerPosizioneSquadre,7,FALSE),"-")</f>
        <v/>
      </c>
      <c r="G44" s="12">
        <f>IFERROR(VLOOKUP($A44,areaCercaDatiPerPosizioneSquadre,8,FALSE),"-")</f>
        <v/>
      </c>
      <c r="H44" s="12">
        <f>IFERROR(VLOOKUP($A44,areaCercaDatiPerPosizioneSquadre,9,FALSE),"-")</f>
        <v/>
      </c>
      <c r="I44" s="12">
        <f>IFERROR(VLOOKUP($A44,areaCercaDatiPerPosizioneSquadre,10,FALSE),"-")</f>
        <v/>
      </c>
      <c r="J44" s="12">
        <f>IFERROR(VLOOKUP($A44,areaCercaDatiPerPosizioneSquadre,11,FALSE),"-")</f>
        <v/>
      </c>
      <c r="K44" s="12">
        <f>IFERROR(VLOOKUP($A44,areaCercaDatiPerPosizioneSquadre,15,FALSE),"-")</f>
        <v/>
      </c>
      <c r="L44" s="18">
        <f>IFERROR(VLOOKUP($A44,areaCercaDatiPerPosizioneSquadre,16,FALSE),"-")</f>
        <v/>
      </c>
      <c r="M44" s="18">
        <f>IFERROR(VLOOKUP($A44,areaCercaDatiPerPosizioneSquadre,17,FALSE),"-")</f>
        <v/>
      </c>
    </row>
    <row r="45">
      <c r="A45" s="154" t="inlineStr">
        <is>
          <t>C9</t>
        </is>
      </c>
      <c r="B45" s="17">
        <f>IFERROR(VLOOKUP($A45,areaCercaDatiPerPosizioneSquadre,2,FALSE),"("&amp;$A45&amp;")")</f>
        <v/>
      </c>
      <c r="C45" s="145">
        <f>IFERROR(VLOOKUP($A45,areaCercaDatiPerPosizioneSquadre,4,FALSE),"-")</f>
        <v/>
      </c>
      <c r="D45" s="12">
        <f>IFERROR(VLOOKUP($A45,areaCercaDatiPerPosizioneSquadre,5,FALSE),"-")</f>
        <v/>
      </c>
      <c r="E45" s="12">
        <f>IFERROR(VLOOKUP($A45,areaCercaDatiPerPosizioneSquadre,6,FALSE),"-")</f>
        <v/>
      </c>
      <c r="F45" s="12">
        <f>IFERROR(VLOOKUP($A45,areaCercaDatiPerPosizioneSquadre,7,FALSE),"-")</f>
        <v/>
      </c>
      <c r="G45" s="12">
        <f>IFERROR(VLOOKUP($A45,areaCercaDatiPerPosizioneSquadre,8,FALSE),"-")</f>
        <v/>
      </c>
      <c r="H45" s="12">
        <f>IFERROR(VLOOKUP($A45,areaCercaDatiPerPosizioneSquadre,9,FALSE),"-")</f>
        <v/>
      </c>
      <c r="I45" s="12">
        <f>IFERROR(VLOOKUP($A45,areaCercaDatiPerPosizioneSquadre,10,FALSE),"-")</f>
        <v/>
      </c>
      <c r="J45" s="12">
        <f>IFERROR(VLOOKUP($A45,areaCercaDatiPerPosizioneSquadre,11,FALSE),"-")</f>
        <v/>
      </c>
      <c r="K45" s="12">
        <f>IFERROR(VLOOKUP($A45,areaCercaDatiPerPosizioneSquadre,15,FALSE),"-")</f>
        <v/>
      </c>
      <c r="L45" s="18">
        <f>IFERROR(VLOOKUP($A45,areaCercaDatiPerPosizioneSquadre,16,FALSE),"-")</f>
        <v/>
      </c>
      <c r="M45" s="18">
        <f>IFERROR(VLOOKUP($A45,areaCercaDatiPerPosizioneSquadre,17,FALSE),"-")</f>
        <v/>
      </c>
    </row>
    <row r="46">
      <c r="A46" s="154" t="inlineStr">
        <is>
          <t>C10</t>
        </is>
      </c>
      <c r="B46" s="17">
        <f>IFERROR(VLOOKUP($A46,areaCercaDatiPerPosizioneSquadre,2,FALSE),"("&amp;$A46&amp;")")</f>
        <v/>
      </c>
      <c r="C46" s="145">
        <f>IFERROR(VLOOKUP($A46,areaCercaDatiPerPosizioneSquadre,4,FALSE),"-")</f>
        <v/>
      </c>
      <c r="D46" s="12">
        <f>IFERROR(VLOOKUP($A46,areaCercaDatiPerPosizioneSquadre,5,FALSE),"-")</f>
        <v/>
      </c>
      <c r="E46" s="12">
        <f>IFERROR(VLOOKUP($A46,areaCercaDatiPerPosizioneSquadre,6,FALSE),"-")</f>
        <v/>
      </c>
      <c r="F46" s="12">
        <f>IFERROR(VLOOKUP($A46,areaCercaDatiPerPosizioneSquadre,7,FALSE),"-")</f>
        <v/>
      </c>
      <c r="G46" s="12">
        <f>IFERROR(VLOOKUP($A46,areaCercaDatiPerPosizioneSquadre,8,FALSE),"-")</f>
        <v/>
      </c>
      <c r="H46" s="12">
        <f>IFERROR(VLOOKUP($A46,areaCercaDatiPerPosizioneSquadre,9,FALSE),"-")</f>
        <v/>
      </c>
      <c r="I46" s="12">
        <f>IFERROR(VLOOKUP($A46,areaCercaDatiPerPosizioneSquadre,10,FALSE),"-")</f>
        <v/>
      </c>
      <c r="J46" s="12">
        <f>IFERROR(VLOOKUP($A46,areaCercaDatiPerPosizioneSquadre,11,FALSE),"-")</f>
        <v/>
      </c>
      <c r="K46" s="12">
        <f>IFERROR(VLOOKUP($A46,areaCercaDatiPerPosizioneSquadre,15,FALSE),"-")</f>
        <v/>
      </c>
      <c r="L46" s="18">
        <f>IFERROR(VLOOKUP($A46,areaCercaDatiPerPosizioneSquadre,16,FALSE),"-")</f>
        <v/>
      </c>
      <c r="M46" s="18">
        <f>IFERROR(VLOOKUP($A46,areaCercaDatiPerPosizioneSquadre,17,FALSE),"-")</f>
        <v/>
      </c>
    </row>
    <row r="48" ht="20" customHeight="1">
      <c r="A48" s="156">
        <f>"CLASSIFICA - GIRONE D"</f>
        <v/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10" t="n"/>
    </row>
    <row r="49" ht="26" customHeight="1">
      <c r="A49" s="157" t="inlineStr">
        <is>
          <t>P</t>
        </is>
      </c>
      <c r="B49" s="157" t="inlineStr">
        <is>
          <t>Classifica</t>
        </is>
      </c>
      <c r="C49" s="157" t="inlineStr">
        <is>
          <t>Pun</t>
        </is>
      </c>
      <c r="D49" s="157" t="inlineStr">
        <is>
          <t>Partite</t>
        </is>
      </c>
      <c r="E49" s="9" t="n"/>
      <c r="F49" s="9" t="n"/>
      <c r="G49" s="10" t="n"/>
      <c r="H49" s="157" t="inlineStr">
        <is>
          <t>Punti</t>
        </is>
      </c>
      <c r="I49" s="9" t="n"/>
      <c r="J49" s="10" t="n"/>
      <c r="K49" s="157" t="inlineStr">
        <is>
          <t>Record
Sc.Diretti</t>
        </is>
      </c>
      <c r="L49" s="157" t="inlineStr">
        <is>
          <t>Quoziente
Sc.Diretti</t>
        </is>
      </c>
      <c r="M49" s="157" t="inlineStr">
        <is>
          <t>Quoziente
Totale</t>
        </is>
      </c>
    </row>
    <row r="50">
      <c r="A50" s="141" t="n"/>
      <c r="B50" s="141" t="n"/>
      <c r="C50" s="141" t="n"/>
      <c r="D50" s="158" t="inlineStr">
        <is>
          <t>G</t>
        </is>
      </c>
      <c r="E50" s="158" t="inlineStr">
        <is>
          <t>V</t>
        </is>
      </c>
      <c r="F50" s="158" t="inlineStr">
        <is>
          <t>P</t>
        </is>
      </c>
      <c r="G50" s="158" t="inlineStr">
        <is>
          <t>F</t>
        </is>
      </c>
      <c r="H50" s="158" t="inlineStr">
        <is>
          <t>Fat</t>
        </is>
      </c>
      <c r="I50" s="158" t="inlineStr">
        <is>
          <t>Sub</t>
        </is>
      </c>
      <c r="J50" s="158" t="inlineStr">
        <is>
          <t>Dif</t>
        </is>
      </c>
      <c r="K50" s="141" t="n"/>
      <c r="L50" s="141" t="n"/>
      <c r="M50" s="141" t="n"/>
    </row>
    <row r="51">
      <c r="A51" s="159" t="inlineStr">
        <is>
          <t>D1</t>
        </is>
      </c>
      <c r="B51" s="160">
        <f>IFERROR(VLOOKUP($A51,areaCercaDatiPerPosizioneSquadre,2,FALSE),"("&amp;$A51&amp;")")</f>
        <v/>
      </c>
      <c r="C51" s="145">
        <f>IFERROR(VLOOKUP($A51,areaCercaDatiPerPosizioneSquadre,4,FALSE),"-")</f>
        <v/>
      </c>
      <c r="D51" s="12">
        <f>IFERROR(VLOOKUP($A51,areaCercaDatiPerPosizioneSquadre,5,FALSE),"-")</f>
        <v/>
      </c>
      <c r="E51" s="12">
        <f>IFERROR(VLOOKUP($A51,areaCercaDatiPerPosizioneSquadre,6,FALSE),"-")</f>
        <v/>
      </c>
      <c r="F51" s="12">
        <f>IFERROR(VLOOKUP($A51,areaCercaDatiPerPosizioneSquadre,7,FALSE),"-")</f>
        <v/>
      </c>
      <c r="G51" s="12">
        <f>IFERROR(VLOOKUP($A51,areaCercaDatiPerPosizioneSquadre,8,FALSE),"-")</f>
        <v/>
      </c>
      <c r="H51" s="12">
        <f>IFERROR(VLOOKUP($A51,areaCercaDatiPerPosizioneSquadre,9,FALSE),"-")</f>
        <v/>
      </c>
      <c r="I51" s="12">
        <f>IFERROR(VLOOKUP($A51,areaCercaDatiPerPosizioneSquadre,10,FALSE),"-")</f>
        <v/>
      </c>
      <c r="J51" s="12">
        <f>IFERROR(VLOOKUP($A51,areaCercaDatiPerPosizioneSquadre,11,FALSE),"-")</f>
        <v/>
      </c>
      <c r="K51" s="12">
        <f>IFERROR(VLOOKUP($A51,areaCercaDatiPerPosizioneSquadre,15,FALSE),"-")</f>
        <v/>
      </c>
      <c r="L51" s="18">
        <f>IFERROR(VLOOKUP($A51,areaCercaDatiPerPosizioneSquadre,16,FALSE),"-")</f>
        <v/>
      </c>
      <c r="M51" s="18">
        <f>IFERROR(VLOOKUP($A51,areaCercaDatiPerPosizioneSquadre,17,FALSE),"-")</f>
        <v/>
      </c>
    </row>
    <row r="52">
      <c r="A52" s="159" t="inlineStr">
        <is>
          <t>D2</t>
        </is>
      </c>
      <c r="B52" s="160">
        <f>IFERROR(VLOOKUP($A52,areaCercaDatiPerPosizioneSquadre,2,FALSE),"("&amp;$A52&amp;")")</f>
        <v/>
      </c>
      <c r="C52" s="145">
        <f>IFERROR(VLOOKUP($A52,areaCercaDatiPerPosizioneSquadre,4,FALSE),"-")</f>
        <v/>
      </c>
      <c r="D52" s="12">
        <f>IFERROR(VLOOKUP($A52,areaCercaDatiPerPosizioneSquadre,5,FALSE),"-")</f>
        <v/>
      </c>
      <c r="E52" s="12">
        <f>IFERROR(VLOOKUP($A52,areaCercaDatiPerPosizioneSquadre,6,FALSE),"-")</f>
        <v/>
      </c>
      <c r="F52" s="12">
        <f>IFERROR(VLOOKUP($A52,areaCercaDatiPerPosizioneSquadre,7,FALSE),"-")</f>
        <v/>
      </c>
      <c r="G52" s="12">
        <f>IFERROR(VLOOKUP($A52,areaCercaDatiPerPosizioneSquadre,8,FALSE),"-")</f>
        <v/>
      </c>
      <c r="H52" s="12">
        <f>IFERROR(VLOOKUP($A52,areaCercaDatiPerPosizioneSquadre,9,FALSE),"-")</f>
        <v/>
      </c>
      <c r="I52" s="12">
        <f>IFERROR(VLOOKUP($A52,areaCercaDatiPerPosizioneSquadre,10,FALSE),"-")</f>
        <v/>
      </c>
      <c r="J52" s="12">
        <f>IFERROR(VLOOKUP($A52,areaCercaDatiPerPosizioneSquadre,11,FALSE),"-")</f>
        <v/>
      </c>
      <c r="K52" s="12">
        <f>IFERROR(VLOOKUP($A52,areaCercaDatiPerPosizioneSquadre,15,FALSE),"-")</f>
        <v/>
      </c>
      <c r="L52" s="18">
        <f>IFERROR(VLOOKUP($A52,areaCercaDatiPerPosizioneSquadre,16,FALSE),"-")</f>
        <v/>
      </c>
      <c r="M52" s="18">
        <f>IFERROR(VLOOKUP($A52,areaCercaDatiPerPosizioneSquadre,17,FALSE),"-")</f>
        <v/>
      </c>
    </row>
    <row r="53">
      <c r="A53" s="159" t="inlineStr">
        <is>
          <t>D3</t>
        </is>
      </c>
      <c r="B53" s="17">
        <f>IFERROR(VLOOKUP($A53,areaCercaDatiPerPosizioneSquadre,2,FALSE),"("&amp;$A53&amp;")")</f>
        <v/>
      </c>
      <c r="C53" s="145">
        <f>IFERROR(VLOOKUP($A53,areaCercaDatiPerPosizioneSquadre,4,FALSE),"-")</f>
        <v/>
      </c>
      <c r="D53" s="12">
        <f>IFERROR(VLOOKUP($A53,areaCercaDatiPerPosizioneSquadre,5,FALSE),"-")</f>
        <v/>
      </c>
      <c r="E53" s="12">
        <f>IFERROR(VLOOKUP($A53,areaCercaDatiPerPosizioneSquadre,6,FALSE),"-")</f>
        <v/>
      </c>
      <c r="F53" s="12">
        <f>IFERROR(VLOOKUP($A53,areaCercaDatiPerPosizioneSquadre,7,FALSE),"-")</f>
        <v/>
      </c>
      <c r="G53" s="12">
        <f>IFERROR(VLOOKUP($A53,areaCercaDatiPerPosizioneSquadre,8,FALSE),"-")</f>
        <v/>
      </c>
      <c r="H53" s="12">
        <f>IFERROR(VLOOKUP($A53,areaCercaDatiPerPosizioneSquadre,9,FALSE),"-")</f>
        <v/>
      </c>
      <c r="I53" s="12">
        <f>IFERROR(VLOOKUP($A53,areaCercaDatiPerPosizioneSquadre,10,FALSE),"-")</f>
        <v/>
      </c>
      <c r="J53" s="12">
        <f>IFERROR(VLOOKUP($A53,areaCercaDatiPerPosizioneSquadre,11,FALSE),"-")</f>
        <v/>
      </c>
      <c r="K53" s="12">
        <f>IFERROR(VLOOKUP($A53,areaCercaDatiPerPosizioneSquadre,15,FALSE),"-")</f>
        <v/>
      </c>
      <c r="L53" s="18">
        <f>IFERROR(VLOOKUP($A53,areaCercaDatiPerPosizioneSquadre,16,FALSE),"-")</f>
        <v/>
      </c>
      <c r="M53" s="18">
        <f>IFERROR(VLOOKUP($A53,areaCercaDatiPerPosizioneSquadre,17,FALSE),"-")</f>
        <v/>
      </c>
    </row>
    <row r="54">
      <c r="A54" s="159" t="inlineStr">
        <is>
          <t>D4</t>
        </is>
      </c>
      <c r="B54" s="17">
        <f>IFERROR(VLOOKUP($A54,areaCercaDatiPerPosizioneSquadre,2,FALSE),"("&amp;$A54&amp;")")</f>
        <v/>
      </c>
      <c r="C54" s="145">
        <f>IFERROR(VLOOKUP($A54,areaCercaDatiPerPosizioneSquadre,4,FALSE),"-")</f>
        <v/>
      </c>
      <c r="D54" s="12">
        <f>IFERROR(VLOOKUP($A54,areaCercaDatiPerPosizioneSquadre,5,FALSE),"-")</f>
        <v/>
      </c>
      <c r="E54" s="12">
        <f>IFERROR(VLOOKUP($A54,areaCercaDatiPerPosizioneSquadre,6,FALSE),"-")</f>
        <v/>
      </c>
      <c r="F54" s="12">
        <f>IFERROR(VLOOKUP($A54,areaCercaDatiPerPosizioneSquadre,7,FALSE),"-")</f>
        <v/>
      </c>
      <c r="G54" s="12">
        <f>IFERROR(VLOOKUP($A54,areaCercaDatiPerPosizioneSquadre,8,FALSE),"-")</f>
        <v/>
      </c>
      <c r="H54" s="12">
        <f>IFERROR(VLOOKUP($A54,areaCercaDatiPerPosizioneSquadre,9,FALSE),"-")</f>
        <v/>
      </c>
      <c r="I54" s="12">
        <f>IFERROR(VLOOKUP($A54,areaCercaDatiPerPosizioneSquadre,10,FALSE),"-")</f>
        <v/>
      </c>
      <c r="J54" s="12">
        <f>IFERROR(VLOOKUP($A54,areaCercaDatiPerPosizioneSquadre,11,FALSE),"-")</f>
        <v/>
      </c>
      <c r="K54" s="12">
        <f>IFERROR(VLOOKUP($A54,areaCercaDatiPerPosizioneSquadre,15,FALSE),"-")</f>
        <v/>
      </c>
      <c r="L54" s="18">
        <f>IFERROR(VLOOKUP($A54,areaCercaDatiPerPosizioneSquadre,16,FALSE),"-")</f>
        <v/>
      </c>
      <c r="M54" s="18">
        <f>IFERROR(VLOOKUP($A54,areaCercaDatiPerPosizioneSquadre,17,FALSE),"-")</f>
        <v/>
      </c>
    </row>
    <row r="55">
      <c r="A55" s="159" t="inlineStr">
        <is>
          <t>D5</t>
        </is>
      </c>
      <c r="B55" s="17">
        <f>IFERROR(VLOOKUP($A55,areaCercaDatiPerPosizioneSquadre,2,FALSE),"("&amp;$A55&amp;")")</f>
        <v/>
      </c>
      <c r="C55" s="145">
        <f>IFERROR(VLOOKUP($A55,areaCercaDatiPerPosizioneSquadre,4,FALSE),"-")</f>
        <v/>
      </c>
      <c r="D55" s="12">
        <f>IFERROR(VLOOKUP($A55,areaCercaDatiPerPosizioneSquadre,5,FALSE),"-")</f>
        <v/>
      </c>
      <c r="E55" s="12">
        <f>IFERROR(VLOOKUP($A55,areaCercaDatiPerPosizioneSquadre,6,FALSE),"-")</f>
        <v/>
      </c>
      <c r="F55" s="12">
        <f>IFERROR(VLOOKUP($A55,areaCercaDatiPerPosizioneSquadre,7,FALSE),"-")</f>
        <v/>
      </c>
      <c r="G55" s="12">
        <f>IFERROR(VLOOKUP($A55,areaCercaDatiPerPosizioneSquadre,8,FALSE),"-")</f>
        <v/>
      </c>
      <c r="H55" s="12">
        <f>IFERROR(VLOOKUP($A55,areaCercaDatiPerPosizioneSquadre,9,FALSE),"-")</f>
        <v/>
      </c>
      <c r="I55" s="12">
        <f>IFERROR(VLOOKUP($A55,areaCercaDatiPerPosizioneSquadre,10,FALSE),"-")</f>
        <v/>
      </c>
      <c r="J55" s="12">
        <f>IFERROR(VLOOKUP($A55,areaCercaDatiPerPosizioneSquadre,11,FALSE),"-")</f>
        <v/>
      </c>
      <c r="K55" s="12">
        <f>IFERROR(VLOOKUP($A55,areaCercaDatiPerPosizioneSquadre,15,FALSE),"-")</f>
        <v/>
      </c>
      <c r="L55" s="18">
        <f>IFERROR(VLOOKUP($A55,areaCercaDatiPerPosizioneSquadre,16,FALSE),"-")</f>
        <v/>
      </c>
      <c r="M55" s="18">
        <f>IFERROR(VLOOKUP($A55,areaCercaDatiPerPosizioneSquadre,17,FALSE),"-")</f>
        <v/>
      </c>
    </row>
    <row r="56">
      <c r="A56" s="159" t="inlineStr">
        <is>
          <t>D6</t>
        </is>
      </c>
      <c r="B56" s="17">
        <f>IFERROR(VLOOKUP($A56,areaCercaDatiPerPosizioneSquadre,2,FALSE),"("&amp;$A56&amp;")")</f>
        <v/>
      </c>
      <c r="C56" s="145">
        <f>IFERROR(VLOOKUP($A56,areaCercaDatiPerPosizioneSquadre,4,FALSE),"-")</f>
        <v/>
      </c>
      <c r="D56" s="12">
        <f>IFERROR(VLOOKUP($A56,areaCercaDatiPerPosizioneSquadre,5,FALSE),"-")</f>
        <v/>
      </c>
      <c r="E56" s="12">
        <f>IFERROR(VLOOKUP($A56,areaCercaDatiPerPosizioneSquadre,6,FALSE),"-")</f>
        <v/>
      </c>
      <c r="F56" s="12">
        <f>IFERROR(VLOOKUP($A56,areaCercaDatiPerPosizioneSquadre,7,FALSE),"-")</f>
        <v/>
      </c>
      <c r="G56" s="12">
        <f>IFERROR(VLOOKUP($A56,areaCercaDatiPerPosizioneSquadre,8,FALSE),"-")</f>
        <v/>
      </c>
      <c r="H56" s="12">
        <f>IFERROR(VLOOKUP($A56,areaCercaDatiPerPosizioneSquadre,9,FALSE),"-")</f>
        <v/>
      </c>
      <c r="I56" s="12">
        <f>IFERROR(VLOOKUP($A56,areaCercaDatiPerPosizioneSquadre,10,FALSE),"-")</f>
        <v/>
      </c>
      <c r="J56" s="12">
        <f>IFERROR(VLOOKUP($A56,areaCercaDatiPerPosizioneSquadre,11,FALSE),"-")</f>
        <v/>
      </c>
      <c r="K56" s="12">
        <f>IFERROR(VLOOKUP($A56,areaCercaDatiPerPosizioneSquadre,15,FALSE),"-")</f>
        <v/>
      </c>
      <c r="L56" s="18">
        <f>IFERROR(VLOOKUP($A56,areaCercaDatiPerPosizioneSquadre,16,FALSE),"-")</f>
        <v/>
      </c>
      <c r="M56" s="18">
        <f>IFERROR(VLOOKUP($A56,areaCercaDatiPerPosizioneSquadre,17,FALSE),"-")</f>
        <v/>
      </c>
    </row>
    <row r="57">
      <c r="A57" s="159" t="inlineStr">
        <is>
          <t>D7</t>
        </is>
      </c>
      <c r="B57" s="17">
        <f>IFERROR(VLOOKUP($A57,areaCercaDatiPerPosizioneSquadre,2,FALSE),"("&amp;$A57&amp;")")</f>
        <v/>
      </c>
      <c r="C57" s="145">
        <f>IFERROR(VLOOKUP($A57,areaCercaDatiPerPosizioneSquadre,4,FALSE),"-")</f>
        <v/>
      </c>
      <c r="D57" s="12">
        <f>IFERROR(VLOOKUP($A57,areaCercaDatiPerPosizioneSquadre,5,FALSE),"-")</f>
        <v/>
      </c>
      <c r="E57" s="12">
        <f>IFERROR(VLOOKUP($A57,areaCercaDatiPerPosizioneSquadre,6,FALSE),"-")</f>
        <v/>
      </c>
      <c r="F57" s="12">
        <f>IFERROR(VLOOKUP($A57,areaCercaDatiPerPosizioneSquadre,7,FALSE),"-")</f>
        <v/>
      </c>
      <c r="G57" s="12">
        <f>IFERROR(VLOOKUP($A57,areaCercaDatiPerPosizioneSquadre,8,FALSE),"-")</f>
        <v/>
      </c>
      <c r="H57" s="12">
        <f>IFERROR(VLOOKUP($A57,areaCercaDatiPerPosizioneSquadre,9,FALSE),"-")</f>
        <v/>
      </c>
      <c r="I57" s="12">
        <f>IFERROR(VLOOKUP($A57,areaCercaDatiPerPosizioneSquadre,10,FALSE),"-")</f>
        <v/>
      </c>
      <c r="J57" s="12">
        <f>IFERROR(VLOOKUP($A57,areaCercaDatiPerPosizioneSquadre,11,FALSE),"-")</f>
        <v/>
      </c>
      <c r="K57" s="12">
        <f>IFERROR(VLOOKUP($A57,areaCercaDatiPerPosizioneSquadre,15,FALSE),"-")</f>
        <v/>
      </c>
      <c r="L57" s="18">
        <f>IFERROR(VLOOKUP($A57,areaCercaDatiPerPosizioneSquadre,16,FALSE),"-")</f>
        <v/>
      </c>
      <c r="M57" s="18">
        <f>IFERROR(VLOOKUP($A57,areaCercaDatiPerPosizioneSquadre,17,FALSE),"-")</f>
        <v/>
      </c>
    </row>
    <row r="58">
      <c r="A58" s="159" t="inlineStr">
        <is>
          <t>D8</t>
        </is>
      </c>
      <c r="B58" s="17">
        <f>IFERROR(VLOOKUP($A58,areaCercaDatiPerPosizioneSquadre,2,FALSE),"("&amp;$A58&amp;")")</f>
        <v/>
      </c>
      <c r="C58" s="145">
        <f>IFERROR(VLOOKUP($A58,areaCercaDatiPerPosizioneSquadre,4,FALSE),"-")</f>
        <v/>
      </c>
      <c r="D58" s="12">
        <f>IFERROR(VLOOKUP($A58,areaCercaDatiPerPosizioneSquadre,5,FALSE),"-")</f>
        <v/>
      </c>
      <c r="E58" s="12">
        <f>IFERROR(VLOOKUP($A58,areaCercaDatiPerPosizioneSquadre,6,FALSE),"-")</f>
        <v/>
      </c>
      <c r="F58" s="12">
        <f>IFERROR(VLOOKUP($A58,areaCercaDatiPerPosizioneSquadre,7,FALSE),"-")</f>
        <v/>
      </c>
      <c r="G58" s="12">
        <f>IFERROR(VLOOKUP($A58,areaCercaDatiPerPosizioneSquadre,8,FALSE),"-")</f>
        <v/>
      </c>
      <c r="H58" s="12">
        <f>IFERROR(VLOOKUP($A58,areaCercaDatiPerPosizioneSquadre,9,FALSE),"-")</f>
        <v/>
      </c>
      <c r="I58" s="12">
        <f>IFERROR(VLOOKUP($A58,areaCercaDatiPerPosizioneSquadre,10,FALSE),"-")</f>
        <v/>
      </c>
      <c r="J58" s="12">
        <f>IFERROR(VLOOKUP($A58,areaCercaDatiPerPosizioneSquadre,11,FALSE),"-")</f>
        <v/>
      </c>
      <c r="K58" s="12">
        <f>IFERROR(VLOOKUP($A58,areaCercaDatiPerPosizioneSquadre,15,FALSE),"-")</f>
        <v/>
      </c>
      <c r="L58" s="18">
        <f>IFERROR(VLOOKUP($A58,areaCercaDatiPerPosizioneSquadre,16,FALSE),"-")</f>
        <v/>
      </c>
      <c r="M58" s="18">
        <f>IFERROR(VLOOKUP($A58,areaCercaDatiPerPosizioneSquadre,17,FALSE),"-")</f>
        <v/>
      </c>
    </row>
    <row r="59">
      <c r="A59" s="159" t="inlineStr">
        <is>
          <t>D9</t>
        </is>
      </c>
      <c r="B59" s="17">
        <f>IFERROR(VLOOKUP($A59,areaCercaDatiPerPosizioneSquadre,2,FALSE),"("&amp;$A59&amp;")")</f>
        <v/>
      </c>
      <c r="C59" s="145">
        <f>IFERROR(VLOOKUP($A59,areaCercaDatiPerPosizioneSquadre,4,FALSE),"-")</f>
        <v/>
      </c>
      <c r="D59" s="12">
        <f>IFERROR(VLOOKUP($A59,areaCercaDatiPerPosizioneSquadre,5,FALSE),"-")</f>
        <v/>
      </c>
      <c r="E59" s="12">
        <f>IFERROR(VLOOKUP($A59,areaCercaDatiPerPosizioneSquadre,6,FALSE),"-")</f>
        <v/>
      </c>
      <c r="F59" s="12">
        <f>IFERROR(VLOOKUP($A59,areaCercaDatiPerPosizioneSquadre,7,FALSE),"-")</f>
        <v/>
      </c>
      <c r="G59" s="12">
        <f>IFERROR(VLOOKUP($A59,areaCercaDatiPerPosizioneSquadre,8,FALSE),"-")</f>
        <v/>
      </c>
      <c r="H59" s="12">
        <f>IFERROR(VLOOKUP($A59,areaCercaDatiPerPosizioneSquadre,9,FALSE),"-")</f>
        <v/>
      </c>
      <c r="I59" s="12">
        <f>IFERROR(VLOOKUP($A59,areaCercaDatiPerPosizioneSquadre,10,FALSE),"-")</f>
        <v/>
      </c>
      <c r="J59" s="12">
        <f>IFERROR(VLOOKUP($A59,areaCercaDatiPerPosizioneSquadre,11,FALSE),"-")</f>
        <v/>
      </c>
      <c r="K59" s="12">
        <f>IFERROR(VLOOKUP($A59,areaCercaDatiPerPosizioneSquadre,15,FALSE),"-")</f>
        <v/>
      </c>
      <c r="L59" s="18">
        <f>IFERROR(VLOOKUP($A59,areaCercaDatiPerPosizioneSquadre,16,FALSE),"-")</f>
        <v/>
      </c>
      <c r="M59" s="18">
        <f>IFERROR(VLOOKUP($A59,areaCercaDatiPerPosizioneSquadre,17,FALSE),"-")</f>
        <v/>
      </c>
    </row>
    <row r="60">
      <c r="A60" s="159" t="inlineStr">
        <is>
          <t>D10</t>
        </is>
      </c>
      <c r="B60" s="17">
        <f>IFERROR(VLOOKUP($A60,areaCercaDatiPerPosizioneSquadre,2,FALSE),"("&amp;$A60&amp;")")</f>
        <v/>
      </c>
      <c r="C60" s="145">
        <f>IFERROR(VLOOKUP($A60,areaCercaDatiPerPosizioneSquadre,4,FALSE),"-")</f>
        <v/>
      </c>
      <c r="D60" s="12">
        <f>IFERROR(VLOOKUP($A60,areaCercaDatiPerPosizioneSquadre,5,FALSE),"-")</f>
        <v/>
      </c>
      <c r="E60" s="12">
        <f>IFERROR(VLOOKUP($A60,areaCercaDatiPerPosizioneSquadre,6,FALSE),"-")</f>
        <v/>
      </c>
      <c r="F60" s="12">
        <f>IFERROR(VLOOKUP($A60,areaCercaDatiPerPosizioneSquadre,7,FALSE),"-")</f>
        <v/>
      </c>
      <c r="G60" s="12">
        <f>IFERROR(VLOOKUP($A60,areaCercaDatiPerPosizioneSquadre,8,FALSE),"-")</f>
        <v/>
      </c>
      <c r="H60" s="12">
        <f>IFERROR(VLOOKUP($A60,areaCercaDatiPerPosizioneSquadre,9,FALSE),"-")</f>
        <v/>
      </c>
      <c r="I60" s="12">
        <f>IFERROR(VLOOKUP($A60,areaCercaDatiPerPosizioneSquadre,10,FALSE),"-")</f>
        <v/>
      </c>
      <c r="J60" s="12">
        <f>IFERROR(VLOOKUP($A60,areaCercaDatiPerPosizioneSquadre,11,FALSE),"-")</f>
        <v/>
      </c>
      <c r="K60" s="12">
        <f>IFERROR(VLOOKUP($A60,areaCercaDatiPerPosizioneSquadre,15,FALSE),"-")</f>
        <v/>
      </c>
      <c r="L60" s="18">
        <f>IFERROR(VLOOKUP($A60,areaCercaDatiPerPosizioneSquadre,16,FALSE),"-")</f>
        <v/>
      </c>
      <c r="M60" s="18">
        <f>IFERROR(VLOOKUP($A60,areaCercaDatiPerPosizioneSquadre,17,FALSE),"-")</f>
        <v/>
      </c>
    </row>
    <row r="62" ht="20" customHeight="1">
      <c r="A62" s="161">
        <f>"CLASSIFICA - GIRONE E"</f>
        <v/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10" t="n"/>
    </row>
    <row r="63" ht="26" customHeight="1">
      <c r="A63" s="162" t="inlineStr">
        <is>
          <t>P</t>
        </is>
      </c>
      <c r="B63" s="162" t="inlineStr">
        <is>
          <t>Classifica</t>
        </is>
      </c>
      <c r="C63" s="162" t="inlineStr">
        <is>
          <t>Pun</t>
        </is>
      </c>
      <c r="D63" s="162" t="inlineStr">
        <is>
          <t>Partite</t>
        </is>
      </c>
      <c r="E63" s="9" t="n"/>
      <c r="F63" s="9" t="n"/>
      <c r="G63" s="10" t="n"/>
      <c r="H63" s="162" t="inlineStr">
        <is>
          <t>Punti</t>
        </is>
      </c>
      <c r="I63" s="9" t="n"/>
      <c r="J63" s="10" t="n"/>
      <c r="K63" s="162" t="inlineStr">
        <is>
          <t>Record
Sc.Diretti</t>
        </is>
      </c>
      <c r="L63" s="162" t="inlineStr">
        <is>
          <t>Quoziente
Sc.Diretti</t>
        </is>
      </c>
      <c r="M63" s="162" t="inlineStr">
        <is>
          <t>Quoziente
Totale</t>
        </is>
      </c>
    </row>
    <row r="64">
      <c r="A64" s="141" t="n"/>
      <c r="B64" s="141" t="n"/>
      <c r="C64" s="141" t="n"/>
      <c r="D64" s="163" t="inlineStr">
        <is>
          <t>G</t>
        </is>
      </c>
      <c r="E64" s="163" t="inlineStr">
        <is>
          <t>V</t>
        </is>
      </c>
      <c r="F64" s="163" t="inlineStr">
        <is>
          <t>P</t>
        </is>
      </c>
      <c r="G64" s="163" t="inlineStr">
        <is>
          <t>F</t>
        </is>
      </c>
      <c r="H64" s="163" t="inlineStr">
        <is>
          <t>Fat</t>
        </is>
      </c>
      <c r="I64" s="163" t="inlineStr">
        <is>
          <t>Sub</t>
        </is>
      </c>
      <c r="J64" s="163" t="inlineStr">
        <is>
          <t>Dif</t>
        </is>
      </c>
      <c r="K64" s="141" t="n"/>
      <c r="L64" s="141" t="n"/>
      <c r="M64" s="141" t="n"/>
    </row>
    <row r="65">
      <c r="A65" s="164" t="inlineStr">
        <is>
          <t>E1</t>
        </is>
      </c>
      <c r="B65" s="165">
        <f>IFERROR(VLOOKUP($A65,areaCercaDatiPerPosizioneSquadre,2,FALSE),"("&amp;$A65&amp;")")</f>
        <v/>
      </c>
      <c r="C65" s="145">
        <f>IFERROR(VLOOKUP($A65,areaCercaDatiPerPosizioneSquadre,4,FALSE),"-")</f>
        <v/>
      </c>
      <c r="D65" s="12">
        <f>IFERROR(VLOOKUP($A65,areaCercaDatiPerPosizioneSquadre,5,FALSE),"-")</f>
        <v/>
      </c>
      <c r="E65" s="12">
        <f>IFERROR(VLOOKUP($A65,areaCercaDatiPerPosizioneSquadre,6,FALSE),"-")</f>
        <v/>
      </c>
      <c r="F65" s="12">
        <f>IFERROR(VLOOKUP($A65,areaCercaDatiPerPosizioneSquadre,7,FALSE),"-")</f>
        <v/>
      </c>
      <c r="G65" s="12">
        <f>IFERROR(VLOOKUP($A65,areaCercaDatiPerPosizioneSquadre,8,FALSE),"-")</f>
        <v/>
      </c>
      <c r="H65" s="12">
        <f>IFERROR(VLOOKUP($A65,areaCercaDatiPerPosizioneSquadre,9,FALSE),"-")</f>
        <v/>
      </c>
      <c r="I65" s="12">
        <f>IFERROR(VLOOKUP($A65,areaCercaDatiPerPosizioneSquadre,10,FALSE),"-")</f>
        <v/>
      </c>
      <c r="J65" s="12">
        <f>IFERROR(VLOOKUP($A65,areaCercaDatiPerPosizioneSquadre,11,FALSE),"-")</f>
        <v/>
      </c>
      <c r="K65" s="12">
        <f>IFERROR(VLOOKUP($A65,areaCercaDatiPerPosizioneSquadre,15,FALSE),"-")</f>
        <v/>
      </c>
      <c r="L65" s="18">
        <f>IFERROR(VLOOKUP($A65,areaCercaDatiPerPosizioneSquadre,16,FALSE),"-")</f>
        <v/>
      </c>
      <c r="M65" s="18">
        <f>IFERROR(VLOOKUP($A65,areaCercaDatiPerPosizioneSquadre,17,FALSE),"-")</f>
        <v/>
      </c>
    </row>
    <row r="66">
      <c r="A66" s="164" t="inlineStr">
        <is>
          <t>E2</t>
        </is>
      </c>
      <c r="B66" s="165">
        <f>IFERROR(VLOOKUP($A66,areaCercaDatiPerPosizioneSquadre,2,FALSE),"("&amp;$A66&amp;")")</f>
        <v/>
      </c>
      <c r="C66" s="145">
        <f>IFERROR(VLOOKUP($A66,areaCercaDatiPerPosizioneSquadre,4,FALSE),"-")</f>
        <v/>
      </c>
      <c r="D66" s="12">
        <f>IFERROR(VLOOKUP($A66,areaCercaDatiPerPosizioneSquadre,5,FALSE),"-")</f>
        <v/>
      </c>
      <c r="E66" s="12">
        <f>IFERROR(VLOOKUP($A66,areaCercaDatiPerPosizioneSquadre,6,FALSE),"-")</f>
        <v/>
      </c>
      <c r="F66" s="12">
        <f>IFERROR(VLOOKUP($A66,areaCercaDatiPerPosizioneSquadre,7,FALSE),"-")</f>
        <v/>
      </c>
      <c r="G66" s="12">
        <f>IFERROR(VLOOKUP($A66,areaCercaDatiPerPosizioneSquadre,8,FALSE),"-")</f>
        <v/>
      </c>
      <c r="H66" s="12">
        <f>IFERROR(VLOOKUP($A66,areaCercaDatiPerPosizioneSquadre,9,FALSE),"-")</f>
        <v/>
      </c>
      <c r="I66" s="12">
        <f>IFERROR(VLOOKUP($A66,areaCercaDatiPerPosizioneSquadre,10,FALSE),"-")</f>
        <v/>
      </c>
      <c r="J66" s="12">
        <f>IFERROR(VLOOKUP($A66,areaCercaDatiPerPosizioneSquadre,11,FALSE),"-")</f>
        <v/>
      </c>
      <c r="K66" s="12">
        <f>IFERROR(VLOOKUP($A66,areaCercaDatiPerPosizioneSquadre,15,FALSE),"-")</f>
        <v/>
      </c>
      <c r="L66" s="18">
        <f>IFERROR(VLOOKUP($A66,areaCercaDatiPerPosizioneSquadre,16,FALSE),"-")</f>
        <v/>
      </c>
      <c r="M66" s="18">
        <f>IFERROR(VLOOKUP($A66,areaCercaDatiPerPosizioneSquadre,17,FALSE),"-")</f>
        <v/>
      </c>
    </row>
    <row r="67">
      <c r="A67" s="164" t="inlineStr">
        <is>
          <t>E3</t>
        </is>
      </c>
      <c r="B67" s="17">
        <f>IFERROR(VLOOKUP($A67,areaCercaDatiPerPosizioneSquadre,2,FALSE),"("&amp;$A67&amp;")")</f>
        <v/>
      </c>
      <c r="C67" s="145">
        <f>IFERROR(VLOOKUP($A67,areaCercaDatiPerPosizioneSquadre,4,FALSE),"-")</f>
        <v/>
      </c>
      <c r="D67" s="12">
        <f>IFERROR(VLOOKUP($A67,areaCercaDatiPerPosizioneSquadre,5,FALSE),"-")</f>
        <v/>
      </c>
      <c r="E67" s="12">
        <f>IFERROR(VLOOKUP($A67,areaCercaDatiPerPosizioneSquadre,6,FALSE),"-")</f>
        <v/>
      </c>
      <c r="F67" s="12">
        <f>IFERROR(VLOOKUP($A67,areaCercaDatiPerPosizioneSquadre,7,FALSE),"-")</f>
        <v/>
      </c>
      <c r="G67" s="12">
        <f>IFERROR(VLOOKUP($A67,areaCercaDatiPerPosizioneSquadre,8,FALSE),"-")</f>
        <v/>
      </c>
      <c r="H67" s="12">
        <f>IFERROR(VLOOKUP($A67,areaCercaDatiPerPosizioneSquadre,9,FALSE),"-")</f>
        <v/>
      </c>
      <c r="I67" s="12">
        <f>IFERROR(VLOOKUP($A67,areaCercaDatiPerPosizioneSquadre,10,FALSE),"-")</f>
        <v/>
      </c>
      <c r="J67" s="12">
        <f>IFERROR(VLOOKUP($A67,areaCercaDatiPerPosizioneSquadre,11,FALSE),"-")</f>
        <v/>
      </c>
      <c r="K67" s="12">
        <f>IFERROR(VLOOKUP($A67,areaCercaDatiPerPosizioneSquadre,15,FALSE),"-")</f>
        <v/>
      </c>
      <c r="L67" s="18">
        <f>IFERROR(VLOOKUP($A67,areaCercaDatiPerPosizioneSquadre,16,FALSE),"-")</f>
        <v/>
      </c>
      <c r="M67" s="18">
        <f>IFERROR(VLOOKUP($A67,areaCercaDatiPerPosizioneSquadre,17,FALSE),"-")</f>
        <v/>
      </c>
    </row>
    <row r="68">
      <c r="A68" s="164" t="inlineStr">
        <is>
          <t>E4</t>
        </is>
      </c>
      <c r="B68" s="17">
        <f>IFERROR(VLOOKUP($A68,areaCercaDatiPerPosizioneSquadre,2,FALSE),"("&amp;$A68&amp;")")</f>
        <v/>
      </c>
      <c r="C68" s="145">
        <f>IFERROR(VLOOKUP($A68,areaCercaDatiPerPosizioneSquadre,4,FALSE),"-")</f>
        <v/>
      </c>
      <c r="D68" s="12">
        <f>IFERROR(VLOOKUP($A68,areaCercaDatiPerPosizioneSquadre,5,FALSE),"-")</f>
        <v/>
      </c>
      <c r="E68" s="12">
        <f>IFERROR(VLOOKUP($A68,areaCercaDatiPerPosizioneSquadre,6,FALSE),"-")</f>
        <v/>
      </c>
      <c r="F68" s="12">
        <f>IFERROR(VLOOKUP($A68,areaCercaDatiPerPosizioneSquadre,7,FALSE),"-")</f>
        <v/>
      </c>
      <c r="G68" s="12">
        <f>IFERROR(VLOOKUP($A68,areaCercaDatiPerPosizioneSquadre,8,FALSE),"-")</f>
        <v/>
      </c>
      <c r="H68" s="12">
        <f>IFERROR(VLOOKUP($A68,areaCercaDatiPerPosizioneSquadre,9,FALSE),"-")</f>
        <v/>
      </c>
      <c r="I68" s="12">
        <f>IFERROR(VLOOKUP($A68,areaCercaDatiPerPosizioneSquadre,10,FALSE),"-")</f>
        <v/>
      </c>
      <c r="J68" s="12">
        <f>IFERROR(VLOOKUP($A68,areaCercaDatiPerPosizioneSquadre,11,FALSE),"-")</f>
        <v/>
      </c>
      <c r="K68" s="12">
        <f>IFERROR(VLOOKUP($A68,areaCercaDatiPerPosizioneSquadre,15,FALSE),"-")</f>
        <v/>
      </c>
      <c r="L68" s="18">
        <f>IFERROR(VLOOKUP($A68,areaCercaDatiPerPosizioneSquadre,16,FALSE),"-")</f>
        <v/>
      </c>
      <c r="M68" s="18">
        <f>IFERROR(VLOOKUP($A68,areaCercaDatiPerPosizioneSquadre,17,FALSE),"-")</f>
        <v/>
      </c>
    </row>
    <row r="69">
      <c r="A69" s="164" t="inlineStr">
        <is>
          <t>E5</t>
        </is>
      </c>
      <c r="B69" s="17">
        <f>IFERROR(VLOOKUP($A69,areaCercaDatiPerPosizioneSquadre,2,FALSE),"("&amp;$A69&amp;")")</f>
        <v/>
      </c>
      <c r="C69" s="145">
        <f>IFERROR(VLOOKUP($A69,areaCercaDatiPerPosizioneSquadre,4,FALSE),"-")</f>
        <v/>
      </c>
      <c r="D69" s="12">
        <f>IFERROR(VLOOKUP($A69,areaCercaDatiPerPosizioneSquadre,5,FALSE),"-")</f>
        <v/>
      </c>
      <c r="E69" s="12">
        <f>IFERROR(VLOOKUP($A69,areaCercaDatiPerPosizioneSquadre,6,FALSE),"-")</f>
        <v/>
      </c>
      <c r="F69" s="12">
        <f>IFERROR(VLOOKUP($A69,areaCercaDatiPerPosizioneSquadre,7,FALSE),"-")</f>
        <v/>
      </c>
      <c r="G69" s="12">
        <f>IFERROR(VLOOKUP($A69,areaCercaDatiPerPosizioneSquadre,8,FALSE),"-")</f>
        <v/>
      </c>
      <c r="H69" s="12">
        <f>IFERROR(VLOOKUP($A69,areaCercaDatiPerPosizioneSquadre,9,FALSE),"-")</f>
        <v/>
      </c>
      <c r="I69" s="12">
        <f>IFERROR(VLOOKUP($A69,areaCercaDatiPerPosizioneSquadre,10,FALSE),"-")</f>
        <v/>
      </c>
      <c r="J69" s="12">
        <f>IFERROR(VLOOKUP($A69,areaCercaDatiPerPosizioneSquadre,11,FALSE),"-")</f>
        <v/>
      </c>
      <c r="K69" s="12">
        <f>IFERROR(VLOOKUP($A69,areaCercaDatiPerPosizioneSquadre,15,FALSE),"-")</f>
        <v/>
      </c>
      <c r="L69" s="18">
        <f>IFERROR(VLOOKUP($A69,areaCercaDatiPerPosizioneSquadre,16,FALSE),"-")</f>
        <v/>
      </c>
      <c r="M69" s="18">
        <f>IFERROR(VLOOKUP($A69,areaCercaDatiPerPosizioneSquadre,17,FALSE),"-")</f>
        <v/>
      </c>
    </row>
    <row r="70">
      <c r="A70" s="164" t="inlineStr">
        <is>
          <t>E6</t>
        </is>
      </c>
      <c r="B70" s="17">
        <f>IFERROR(VLOOKUP($A70,areaCercaDatiPerPosizioneSquadre,2,FALSE),"("&amp;$A70&amp;")")</f>
        <v/>
      </c>
      <c r="C70" s="145">
        <f>IFERROR(VLOOKUP($A70,areaCercaDatiPerPosizioneSquadre,4,FALSE),"-")</f>
        <v/>
      </c>
      <c r="D70" s="12">
        <f>IFERROR(VLOOKUP($A70,areaCercaDatiPerPosizioneSquadre,5,FALSE),"-")</f>
        <v/>
      </c>
      <c r="E70" s="12">
        <f>IFERROR(VLOOKUP($A70,areaCercaDatiPerPosizioneSquadre,6,FALSE),"-")</f>
        <v/>
      </c>
      <c r="F70" s="12">
        <f>IFERROR(VLOOKUP($A70,areaCercaDatiPerPosizioneSquadre,7,FALSE),"-")</f>
        <v/>
      </c>
      <c r="G70" s="12">
        <f>IFERROR(VLOOKUP($A70,areaCercaDatiPerPosizioneSquadre,8,FALSE),"-")</f>
        <v/>
      </c>
      <c r="H70" s="12">
        <f>IFERROR(VLOOKUP($A70,areaCercaDatiPerPosizioneSquadre,9,FALSE),"-")</f>
        <v/>
      </c>
      <c r="I70" s="12">
        <f>IFERROR(VLOOKUP($A70,areaCercaDatiPerPosizioneSquadre,10,FALSE),"-")</f>
        <v/>
      </c>
      <c r="J70" s="12">
        <f>IFERROR(VLOOKUP($A70,areaCercaDatiPerPosizioneSquadre,11,FALSE),"-")</f>
        <v/>
      </c>
      <c r="K70" s="12">
        <f>IFERROR(VLOOKUP($A70,areaCercaDatiPerPosizioneSquadre,15,FALSE),"-")</f>
        <v/>
      </c>
      <c r="L70" s="18">
        <f>IFERROR(VLOOKUP($A70,areaCercaDatiPerPosizioneSquadre,16,FALSE),"-")</f>
        <v/>
      </c>
      <c r="M70" s="18">
        <f>IFERROR(VLOOKUP($A70,areaCercaDatiPerPosizioneSquadre,17,FALSE),"-")</f>
        <v/>
      </c>
    </row>
    <row r="71">
      <c r="A71" s="164" t="inlineStr">
        <is>
          <t>E7</t>
        </is>
      </c>
      <c r="B71" s="17">
        <f>IFERROR(VLOOKUP($A71,areaCercaDatiPerPosizioneSquadre,2,FALSE),"("&amp;$A71&amp;")")</f>
        <v/>
      </c>
      <c r="C71" s="145">
        <f>IFERROR(VLOOKUP($A71,areaCercaDatiPerPosizioneSquadre,4,FALSE),"-")</f>
        <v/>
      </c>
      <c r="D71" s="12">
        <f>IFERROR(VLOOKUP($A71,areaCercaDatiPerPosizioneSquadre,5,FALSE),"-")</f>
        <v/>
      </c>
      <c r="E71" s="12">
        <f>IFERROR(VLOOKUP($A71,areaCercaDatiPerPosizioneSquadre,6,FALSE),"-")</f>
        <v/>
      </c>
      <c r="F71" s="12">
        <f>IFERROR(VLOOKUP($A71,areaCercaDatiPerPosizioneSquadre,7,FALSE),"-")</f>
        <v/>
      </c>
      <c r="G71" s="12">
        <f>IFERROR(VLOOKUP($A71,areaCercaDatiPerPosizioneSquadre,8,FALSE),"-")</f>
        <v/>
      </c>
      <c r="H71" s="12">
        <f>IFERROR(VLOOKUP($A71,areaCercaDatiPerPosizioneSquadre,9,FALSE),"-")</f>
        <v/>
      </c>
      <c r="I71" s="12">
        <f>IFERROR(VLOOKUP($A71,areaCercaDatiPerPosizioneSquadre,10,FALSE),"-")</f>
        <v/>
      </c>
      <c r="J71" s="12">
        <f>IFERROR(VLOOKUP($A71,areaCercaDatiPerPosizioneSquadre,11,FALSE),"-")</f>
        <v/>
      </c>
      <c r="K71" s="12">
        <f>IFERROR(VLOOKUP($A71,areaCercaDatiPerPosizioneSquadre,15,FALSE),"-")</f>
        <v/>
      </c>
      <c r="L71" s="18">
        <f>IFERROR(VLOOKUP($A71,areaCercaDatiPerPosizioneSquadre,16,FALSE),"-")</f>
        <v/>
      </c>
      <c r="M71" s="18">
        <f>IFERROR(VLOOKUP($A71,areaCercaDatiPerPosizioneSquadre,17,FALSE),"-")</f>
        <v/>
      </c>
    </row>
    <row r="72">
      <c r="A72" s="164" t="inlineStr">
        <is>
          <t>E8</t>
        </is>
      </c>
      <c r="B72" s="17">
        <f>IFERROR(VLOOKUP($A72,areaCercaDatiPerPosizioneSquadre,2,FALSE),"("&amp;$A72&amp;")")</f>
        <v/>
      </c>
      <c r="C72" s="145">
        <f>IFERROR(VLOOKUP($A72,areaCercaDatiPerPosizioneSquadre,4,FALSE),"-")</f>
        <v/>
      </c>
      <c r="D72" s="12">
        <f>IFERROR(VLOOKUP($A72,areaCercaDatiPerPosizioneSquadre,5,FALSE),"-")</f>
        <v/>
      </c>
      <c r="E72" s="12">
        <f>IFERROR(VLOOKUP($A72,areaCercaDatiPerPosizioneSquadre,6,FALSE),"-")</f>
        <v/>
      </c>
      <c r="F72" s="12">
        <f>IFERROR(VLOOKUP($A72,areaCercaDatiPerPosizioneSquadre,7,FALSE),"-")</f>
        <v/>
      </c>
      <c r="G72" s="12">
        <f>IFERROR(VLOOKUP($A72,areaCercaDatiPerPosizioneSquadre,8,FALSE),"-")</f>
        <v/>
      </c>
      <c r="H72" s="12">
        <f>IFERROR(VLOOKUP($A72,areaCercaDatiPerPosizioneSquadre,9,FALSE),"-")</f>
        <v/>
      </c>
      <c r="I72" s="12">
        <f>IFERROR(VLOOKUP($A72,areaCercaDatiPerPosizioneSquadre,10,FALSE),"-")</f>
        <v/>
      </c>
      <c r="J72" s="12">
        <f>IFERROR(VLOOKUP($A72,areaCercaDatiPerPosizioneSquadre,11,FALSE),"-")</f>
        <v/>
      </c>
      <c r="K72" s="12">
        <f>IFERROR(VLOOKUP($A72,areaCercaDatiPerPosizioneSquadre,15,FALSE),"-")</f>
        <v/>
      </c>
      <c r="L72" s="18">
        <f>IFERROR(VLOOKUP($A72,areaCercaDatiPerPosizioneSquadre,16,FALSE),"-")</f>
        <v/>
      </c>
      <c r="M72" s="18">
        <f>IFERROR(VLOOKUP($A72,areaCercaDatiPerPosizioneSquadre,17,FALSE),"-")</f>
        <v/>
      </c>
    </row>
    <row r="73">
      <c r="A73" s="164" t="inlineStr">
        <is>
          <t>E9</t>
        </is>
      </c>
      <c r="B73" s="17">
        <f>IFERROR(VLOOKUP($A73,areaCercaDatiPerPosizioneSquadre,2,FALSE),"("&amp;$A73&amp;")")</f>
        <v/>
      </c>
      <c r="C73" s="145">
        <f>IFERROR(VLOOKUP($A73,areaCercaDatiPerPosizioneSquadre,4,FALSE),"-")</f>
        <v/>
      </c>
      <c r="D73" s="12">
        <f>IFERROR(VLOOKUP($A73,areaCercaDatiPerPosizioneSquadre,5,FALSE),"-")</f>
        <v/>
      </c>
      <c r="E73" s="12">
        <f>IFERROR(VLOOKUP($A73,areaCercaDatiPerPosizioneSquadre,6,FALSE),"-")</f>
        <v/>
      </c>
      <c r="F73" s="12">
        <f>IFERROR(VLOOKUP($A73,areaCercaDatiPerPosizioneSquadre,7,FALSE),"-")</f>
        <v/>
      </c>
      <c r="G73" s="12">
        <f>IFERROR(VLOOKUP($A73,areaCercaDatiPerPosizioneSquadre,8,FALSE),"-")</f>
        <v/>
      </c>
      <c r="H73" s="12">
        <f>IFERROR(VLOOKUP($A73,areaCercaDatiPerPosizioneSquadre,9,FALSE),"-")</f>
        <v/>
      </c>
      <c r="I73" s="12">
        <f>IFERROR(VLOOKUP($A73,areaCercaDatiPerPosizioneSquadre,10,FALSE),"-")</f>
        <v/>
      </c>
      <c r="J73" s="12">
        <f>IFERROR(VLOOKUP($A73,areaCercaDatiPerPosizioneSquadre,11,FALSE),"-")</f>
        <v/>
      </c>
      <c r="K73" s="12">
        <f>IFERROR(VLOOKUP($A73,areaCercaDatiPerPosizioneSquadre,15,FALSE),"-")</f>
        <v/>
      </c>
      <c r="L73" s="18">
        <f>IFERROR(VLOOKUP($A73,areaCercaDatiPerPosizioneSquadre,16,FALSE),"-")</f>
        <v/>
      </c>
      <c r="M73" s="18">
        <f>IFERROR(VLOOKUP($A73,areaCercaDatiPerPosizioneSquadre,17,FALSE),"-")</f>
        <v/>
      </c>
    </row>
    <row r="74">
      <c r="A74" s="164" t="inlineStr">
        <is>
          <t>E10</t>
        </is>
      </c>
      <c r="B74" s="17">
        <f>IFERROR(VLOOKUP($A74,areaCercaDatiPerPosizioneSquadre,2,FALSE),"("&amp;$A74&amp;")")</f>
        <v/>
      </c>
      <c r="C74" s="145">
        <f>IFERROR(VLOOKUP($A74,areaCercaDatiPerPosizioneSquadre,4,FALSE),"-")</f>
        <v/>
      </c>
      <c r="D74" s="12">
        <f>IFERROR(VLOOKUP($A74,areaCercaDatiPerPosizioneSquadre,5,FALSE),"-")</f>
        <v/>
      </c>
      <c r="E74" s="12">
        <f>IFERROR(VLOOKUP($A74,areaCercaDatiPerPosizioneSquadre,6,FALSE),"-")</f>
        <v/>
      </c>
      <c r="F74" s="12">
        <f>IFERROR(VLOOKUP($A74,areaCercaDatiPerPosizioneSquadre,7,FALSE),"-")</f>
        <v/>
      </c>
      <c r="G74" s="12">
        <f>IFERROR(VLOOKUP($A74,areaCercaDatiPerPosizioneSquadre,8,FALSE),"-")</f>
        <v/>
      </c>
      <c r="H74" s="12">
        <f>IFERROR(VLOOKUP($A74,areaCercaDatiPerPosizioneSquadre,9,FALSE),"-")</f>
        <v/>
      </c>
      <c r="I74" s="12">
        <f>IFERROR(VLOOKUP($A74,areaCercaDatiPerPosizioneSquadre,10,FALSE),"-")</f>
        <v/>
      </c>
      <c r="J74" s="12">
        <f>IFERROR(VLOOKUP($A74,areaCercaDatiPerPosizioneSquadre,11,FALSE),"-")</f>
        <v/>
      </c>
      <c r="K74" s="12">
        <f>IFERROR(VLOOKUP($A74,areaCercaDatiPerPosizioneSquadre,15,FALSE),"-")</f>
        <v/>
      </c>
      <c r="L74" s="18">
        <f>IFERROR(VLOOKUP($A74,areaCercaDatiPerPosizioneSquadre,16,FALSE),"-")</f>
        <v/>
      </c>
      <c r="M74" s="18">
        <f>IFERROR(VLOOKUP($A74,areaCercaDatiPerPosizioneSquadre,17,FALSE),"-")</f>
        <v/>
      </c>
    </row>
    <row r="76" ht="20" customHeight="1">
      <c r="A76" s="166">
        <f>"CLASSIFICA - GIRONE F"</f>
        <v/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10" t="n"/>
    </row>
    <row r="77" ht="26" customHeight="1">
      <c r="A77" s="167" t="inlineStr">
        <is>
          <t>P</t>
        </is>
      </c>
      <c r="B77" s="167" t="inlineStr">
        <is>
          <t>Classifica</t>
        </is>
      </c>
      <c r="C77" s="167" t="inlineStr">
        <is>
          <t>Pun</t>
        </is>
      </c>
      <c r="D77" s="167" t="inlineStr">
        <is>
          <t>Partite</t>
        </is>
      </c>
      <c r="E77" s="9" t="n"/>
      <c r="F77" s="9" t="n"/>
      <c r="G77" s="10" t="n"/>
      <c r="H77" s="167" t="inlineStr">
        <is>
          <t>Punti</t>
        </is>
      </c>
      <c r="I77" s="9" t="n"/>
      <c r="J77" s="10" t="n"/>
      <c r="K77" s="167" t="inlineStr">
        <is>
          <t>Record
Sc.Diretti</t>
        </is>
      </c>
      <c r="L77" s="167" t="inlineStr">
        <is>
          <t>Quoziente
Sc.Diretti</t>
        </is>
      </c>
      <c r="M77" s="167" t="inlineStr">
        <is>
          <t>Quoziente
Totale</t>
        </is>
      </c>
    </row>
    <row r="78">
      <c r="A78" s="141" t="n"/>
      <c r="B78" s="141" t="n"/>
      <c r="C78" s="141" t="n"/>
      <c r="D78" s="168" t="inlineStr">
        <is>
          <t>G</t>
        </is>
      </c>
      <c r="E78" s="168" t="inlineStr">
        <is>
          <t>V</t>
        </is>
      </c>
      <c r="F78" s="168" t="inlineStr">
        <is>
          <t>P</t>
        </is>
      </c>
      <c r="G78" s="168" t="inlineStr">
        <is>
          <t>F</t>
        </is>
      </c>
      <c r="H78" s="168" t="inlineStr">
        <is>
          <t>Fat</t>
        </is>
      </c>
      <c r="I78" s="168" t="inlineStr">
        <is>
          <t>Sub</t>
        </is>
      </c>
      <c r="J78" s="168" t="inlineStr">
        <is>
          <t>Dif</t>
        </is>
      </c>
      <c r="K78" s="141" t="n"/>
      <c r="L78" s="141" t="n"/>
      <c r="M78" s="141" t="n"/>
    </row>
    <row r="79">
      <c r="A79" s="169" t="inlineStr">
        <is>
          <t>F1</t>
        </is>
      </c>
      <c r="B79" s="170">
        <f>IFERROR(VLOOKUP($A79,areaCercaDatiPerPosizioneSquadre,2,FALSE),"("&amp;$A79&amp;")")</f>
        <v/>
      </c>
      <c r="C79" s="145">
        <f>IFERROR(VLOOKUP($A79,areaCercaDatiPerPosizioneSquadre,4,FALSE),"-")</f>
        <v/>
      </c>
      <c r="D79" s="12">
        <f>IFERROR(VLOOKUP($A79,areaCercaDatiPerPosizioneSquadre,5,FALSE),"-")</f>
        <v/>
      </c>
      <c r="E79" s="12">
        <f>IFERROR(VLOOKUP($A79,areaCercaDatiPerPosizioneSquadre,6,FALSE),"-")</f>
        <v/>
      </c>
      <c r="F79" s="12">
        <f>IFERROR(VLOOKUP($A79,areaCercaDatiPerPosizioneSquadre,7,FALSE),"-")</f>
        <v/>
      </c>
      <c r="G79" s="12">
        <f>IFERROR(VLOOKUP($A79,areaCercaDatiPerPosizioneSquadre,8,FALSE),"-")</f>
        <v/>
      </c>
      <c r="H79" s="12">
        <f>IFERROR(VLOOKUP($A79,areaCercaDatiPerPosizioneSquadre,9,FALSE),"-")</f>
        <v/>
      </c>
      <c r="I79" s="12">
        <f>IFERROR(VLOOKUP($A79,areaCercaDatiPerPosizioneSquadre,10,FALSE),"-")</f>
        <v/>
      </c>
      <c r="J79" s="12">
        <f>IFERROR(VLOOKUP($A79,areaCercaDatiPerPosizioneSquadre,11,FALSE),"-")</f>
        <v/>
      </c>
      <c r="K79" s="12">
        <f>IFERROR(VLOOKUP($A79,areaCercaDatiPerPosizioneSquadre,15,FALSE),"-")</f>
        <v/>
      </c>
      <c r="L79" s="18">
        <f>IFERROR(VLOOKUP($A79,areaCercaDatiPerPosizioneSquadre,16,FALSE),"-")</f>
        <v/>
      </c>
      <c r="M79" s="18">
        <f>IFERROR(VLOOKUP($A79,areaCercaDatiPerPosizioneSquadre,17,FALSE),"-")</f>
        <v/>
      </c>
    </row>
    <row r="80">
      <c r="A80" s="169" t="inlineStr">
        <is>
          <t>F2</t>
        </is>
      </c>
      <c r="B80" s="170">
        <f>IFERROR(VLOOKUP($A80,areaCercaDatiPerPosizioneSquadre,2,FALSE),"("&amp;$A80&amp;")")</f>
        <v/>
      </c>
      <c r="C80" s="145">
        <f>IFERROR(VLOOKUP($A80,areaCercaDatiPerPosizioneSquadre,4,FALSE),"-")</f>
        <v/>
      </c>
      <c r="D80" s="12">
        <f>IFERROR(VLOOKUP($A80,areaCercaDatiPerPosizioneSquadre,5,FALSE),"-")</f>
        <v/>
      </c>
      <c r="E80" s="12">
        <f>IFERROR(VLOOKUP($A80,areaCercaDatiPerPosizioneSquadre,6,FALSE),"-")</f>
        <v/>
      </c>
      <c r="F80" s="12">
        <f>IFERROR(VLOOKUP($A80,areaCercaDatiPerPosizioneSquadre,7,FALSE),"-")</f>
        <v/>
      </c>
      <c r="G80" s="12">
        <f>IFERROR(VLOOKUP($A80,areaCercaDatiPerPosizioneSquadre,8,FALSE),"-")</f>
        <v/>
      </c>
      <c r="H80" s="12">
        <f>IFERROR(VLOOKUP($A80,areaCercaDatiPerPosizioneSquadre,9,FALSE),"-")</f>
        <v/>
      </c>
      <c r="I80" s="12">
        <f>IFERROR(VLOOKUP($A80,areaCercaDatiPerPosizioneSquadre,10,FALSE),"-")</f>
        <v/>
      </c>
      <c r="J80" s="12">
        <f>IFERROR(VLOOKUP($A80,areaCercaDatiPerPosizioneSquadre,11,FALSE),"-")</f>
        <v/>
      </c>
      <c r="K80" s="12">
        <f>IFERROR(VLOOKUP($A80,areaCercaDatiPerPosizioneSquadre,15,FALSE),"-")</f>
        <v/>
      </c>
      <c r="L80" s="18">
        <f>IFERROR(VLOOKUP($A80,areaCercaDatiPerPosizioneSquadre,16,FALSE),"-")</f>
        <v/>
      </c>
      <c r="M80" s="18">
        <f>IFERROR(VLOOKUP($A80,areaCercaDatiPerPosizioneSquadre,17,FALSE),"-")</f>
        <v/>
      </c>
    </row>
    <row r="81">
      <c r="A81" s="169" t="inlineStr">
        <is>
          <t>F3</t>
        </is>
      </c>
      <c r="B81" s="17">
        <f>IFERROR(VLOOKUP($A81,areaCercaDatiPerPosizioneSquadre,2,FALSE),"("&amp;$A81&amp;")")</f>
        <v/>
      </c>
      <c r="C81" s="145">
        <f>IFERROR(VLOOKUP($A81,areaCercaDatiPerPosizioneSquadre,4,FALSE),"-")</f>
        <v/>
      </c>
      <c r="D81" s="12">
        <f>IFERROR(VLOOKUP($A81,areaCercaDatiPerPosizioneSquadre,5,FALSE),"-")</f>
        <v/>
      </c>
      <c r="E81" s="12">
        <f>IFERROR(VLOOKUP($A81,areaCercaDatiPerPosizioneSquadre,6,FALSE),"-")</f>
        <v/>
      </c>
      <c r="F81" s="12">
        <f>IFERROR(VLOOKUP($A81,areaCercaDatiPerPosizioneSquadre,7,FALSE),"-")</f>
        <v/>
      </c>
      <c r="G81" s="12">
        <f>IFERROR(VLOOKUP($A81,areaCercaDatiPerPosizioneSquadre,8,FALSE),"-")</f>
        <v/>
      </c>
      <c r="H81" s="12">
        <f>IFERROR(VLOOKUP($A81,areaCercaDatiPerPosizioneSquadre,9,FALSE),"-")</f>
        <v/>
      </c>
      <c r="I81" s="12">
        <f>IFERROR(VLOOKUP($A81,areaCercaDatiPerPosizioneSquadre,10,FALSE),"-")</f>
        <v/>
      </c>
      <c r="J81" s="12">
        <f>IFERROR(VLOOKUP($A81,areaCercaDatiPerPosizioneSquadre,11,FALSE),"-")</f>
        <v/>
      </c>
      <c r="K81" s="12">
        <f>IFERROR(VLOOKUP($A81,areaCercaDatiPerPosizioneSquadre,15,FALSE),"-")</f>
        <v/>
      </c>
      <c r="L81" s="18">
        <f>IFERROR(VLOOKUP($A81,areaCercaDatiPerPosizioneSquadre,16,FALSE),"-")</f>
        <v/>
      </c>
      <c r="M81" s="18">
        <f>IFERROR(VLOOKUP($A81,areaCercaDatiPerPosizioneSquadre,17,FALSE),"-")</f>
        <v/>
      </c>
    </row>
    <row r="82">
      <c r="A82" s="169" t="inlineStr">
        <is>
          <t>F4</t>
        </is>
      </c>
      <c r="B82" s="17">
        <f>IFERROR(VLOOKUP($A82,areaCercaDatiPerPosizioneSquadre,2,FALSE),"("&amp;$A82&amp;")")</f>
        <v/>
      </c>
      <c r="C82" s="145">
        <f>IFERROR(VLOOKUP($A82,areaCercaDatiPerPosizioneSquadre,4,FALSE),"-")</f>
        <v/>
      </c>
      <c r="D82" s="12">
        <f>IFERROR(VLOOKUP($A82,areaCercaDatiPerPosizioneSquadre,5,FALSE),"-")</f>
        <v/>
      </c>
      <c r="E82" s="12">
        <f>IFERROR(VLOOKUP($A82,areaCercaDatiPerPosizioneSquadre,6,FALSE),"-")</f>
        <v/>
      </c>
      <c r="F82" s="12">
        <f>IFERROR(VLOOKUP($A82,areaCercaDatiPerPosizioneSquadre,7,FALSE),"-")</f>
        <v/>
      </c>
      <c r="G82" s="12">
        <f>IFERROR(VLOOKUP($A82,areaCercaDatiPerPosizioneSquadre,8,FALSE),"-")</f>
        <v/>
      </c>
      <c r="H82" s="12">
        <f>IFERROR(VLOOKUP($A82,areaCercaDatiPerPosizioneSquadre,9,FALSE),"-")</f>
        <v/>
      </c>
      <c r="I82" s="12">
        <f>IFERROR(VLOOKUP($A82,areaCercaDatiPerPosizioneSquadre,10,FALSE),"-")</f>
        <v/>
      </c>
      <c r="J82" s="12">
        <f>IFERROR(VLOOKUP($A82,areaCercaDatiPerPosizioneSquadre,11,FALSE),"-")</f>
        <v/>
      </c>
      <c r="K82" s="12">
        <f>IFERROR(VLOOKUP($A82,areaCercaDatiPerPosizioneSquadre,15,FALSE),"-")</f>
        <v/>
      </c>
      <c r="L82" s="18">
        <f>IFERROR(VLOOKUP($A82,areaCercaDatiPerPosizioneSquadre,16,FALSE),"-")</f>
        <v/>
      </c>
      <c r="M82" s="18">
        <f>IFERROR(VLOOKUP($A82,areaCercaDatiPerPosizioneSquadre,17,FALSE),"-")</f>
        <v/>
      </c>
    </row>
    <row r="83">
      <c r="A83" s="169" t="inlineStr">
        <is>
          <t>F5</t>
        </is>
      </c>
      <c r="B83" s="17">
        <f>IFERROR(VLOOKUP($A83,areaCercaDatiPerPosizioneSquadre,2,FALSE),"("&amp;$A83&amp;")")</f>
        <v/>
      </c>
      <c r="C83" s="145">
        <f>IFERROR(VLOOKUP($A83,areaCercaDatiPerPosizioneSquadre,4,FALSE),"-")</f>
        <v/>
      </c>
      <c r="D83" s="12">
        <f>IFERROR(VLOOKUP($A83,areaCercaDatiPerPosizioneSquadre,5,FALSE),"-")</f>
        <v/>
      </c>
      <c r="E83" s="12">
        <f>IFERROR(VLOOKUP($A83,areaCercaDatiPerPosizioneSquadre,6,FALSE),"-")</f>
        <v/>
      </c>
      <c r="F83" s="12">
        <f>IFERROR(VLOOKUP($A83,areaCercaDatiPerPosizioneSquadre,7,FALSE),"-")</f>
        <v/>
      </c>
      <c r="G83" s="12">
        <f>IFERROR(VLOOKUP($A83,areaCercaDatiPerPosizioneSquadre,8,FALSE),"-")</f>
        <v/>
      </c>
      <c r="H83" s="12">
        <f>IFERROR(VLOOKUP($A83,areaCercaDatiPerPosizioneSquadre,9,FALSE),"-")</f>
        <v/>
      </c>
      <c r="I83" s="12">
        <f>IFERROR(VLOOKUP($A83,areaCercaDatiPerPosizioneSquadre,10,FALSE),"-")</f>
        <v/>
      </c>
      <c r="J83" s="12">
        <f>IFERROR(VLOOKUP($A83,areaCercaDatiPerPosizioneSquadre,11,FALSE),"-")</f>
        <v/>
      </c>
      <c r="K83" s="12">
        <f>IFERROR(VLOOKUP($A83,areaCercaDatiPerPosizioneSquadre,15,FALSE),"-")</f>
        <v/>
      </c>
      <c r="L83" s="18">
        <f>IFERROR(VLOOKUP($A83,areaCercaDatiPerPosizioneSquadre,16,FALSE),"-")</f>
        <v/>
      </c>
      <c r="M83" s="18">
        <f>IFERROR(VLOOKUP($A83,areaCercaDatiPerPosizioneSquadre,17,FALSE),"-")</f>
        <v/>
      </c>
    </row>
    <row r="84">
      <c r="A84" s="169" t="inlineStr">
        <is>
          <t>F6</t>
        </is>
      </c>
      <c r="B84" s="17">
        <f>IFERROR(VLOOKUP($A84,areaCercaDatiPerPosizioneSquadre,2,FALSE),"("&amp;$A84&amp;")")</f>
        <v/>
      </c>
      <c r="C84" s="145">
        <f>IFERROR(VLOOKUP($A84,areaCercaDatiPerPosizioneSquadre,4,FALSE),"-")</f>
        <v/>
      </c>
      <c r="D84" s="12">
        <f>IFERROR(VLOOKUP($A84,areaCercaDatiPerPosizioneSquadre,5,FALSE),"-")</f>
        <v/>
      </c>
      <c r="E84" s="12">
        <f>IFERROR(VLOOKUP($A84,areaCercaDatiPerPosizioneSquadre,6,FALSE),"-")</f>
        <v/>
      </c>
      <c r="F84" s="12">
        <f>IFERROR(VLOOKUP($A84,areaCercaDatiPerPosizioneSquadre,7,FALSE),"-")</f>
        <v/>
      </c>
      <c r="G84" s="12">
        <f>IFERROR(VLOOKUP($A84,areaCercaDatiPerPosizioneSquadre,8,FALSE),"-")</f>
        <v/>
      </c>
      <c r="H84" s="12">
        <f>IFERROR(VLOOKUP($A84,areaCercaDatiPerPosizioneSquadre,9,FALSE),"-")</f>
        <v/>
      </c>
      <c r="I84" s="12">
        <f>IFERROR(VLOOKUP($A84,areaCercaDatiPerPosizioneSquadre,10,FALSE),"-")</f>
        <v/>
      </c>
      <c r="J84" s="12">
        <f>IFERROR(VLOOKUP($A84,areaCercaDatiPerPosizioneSquadre,11,FALSE),"-")</f>
        <v/>
      </c>
      <c r="K84" s="12">
        <f>IFERROR(VLOOKUP($A84,areaCercaDatiPerPosizioneSquadre,15,FALSE),"-")</f>
        <v/>
      </c>
      <c r="L84" s="18">
        <f>IFERROR(VLOOKUP($A84,areaCercaDatiPerPosizioneSquadre,16,FALSE),"-")</f>
        <v/>
      </c>
      <c r="M84" s="18">
        <f>IFERROR(VLOOKUP($A84,areaCercaDatiPerPosizioneSquadre,17,FALSE),"-")</f>
        <v/>
      </c>
    </row>
    <row r="85">
      <c r="A85" s="169" t="inlineStr">
        <is>
          <t>F7</t>
        </is>
      </c>
      <c r="B85" s="17">
        <f>IFERROR(VLOOKUP($A85,areaCercaDatiPerPosizioneSquadre,2,FALSE),"("&amp;$A85&amp;")")</f>
        <v/>
      </c>
      <c r="C85" s="145">
        <f>IFERROR(VLOOKUP($A85,areaCercaDatiPerPosizioneSquadre,4,FALSE),"-")</f>
        <v/>
      </c>
      <c r="D85" s="12">
        <f>IFERROR(VLOOKUP($A85,areaCercaDatiPerPosizioneSquadre,5,FALSE),"-")</f>
        <v/>
      </c>
      <c r="E85" s="12">
        <f>IFERROR(VLOOKUP($A85,areaCercaDatiPerPosizioneSquadre,6,FALSE),"-")</f>
        <v/>
      </c>
      <c r="F85" s="12">
        <f>IFERROR(VLOOKUP($A85,areaCercaDatiPerPosizioneSquadre,7,FALSE),"-")</f>
        <v/>
      </c>
      <c r="G85" s="12">
        <f>IFERROR(VLOOKUP($A85,areaCercaDatiPerPosizioneSquadre,8,FALSE),"-")</f>
        <v/>
      </c>
      <c r="H85" s="12">
        <f>IFERROR(VLOOKUP($A85,areaCercaDatiPerPosizioneSquadre,9,FALSE),"-")</f>
        <v/>
      </c>
      <c r="I85" s="12">
        <f>IFERROR(VLOOKUP($A85,areaCercaDatiPerPosizioneSquadre,10,FALSE),"-")</f>
        <v/>
      </c>
      <c r="J85" s="12">
        <f>IFERROR(VLOOKUP($A85,areaCercaDatiPerPosizioneSquadre,11,FALSE),"-")</f>
        <v/>
      </c>
      <c r="K85" s="12">
        <f>IFERROR(VLOOKUP($A85,areaCercaDatiPerPosizioneSquadre,15,FALSE),"-")</f>
        <v/>
      </c>
      <c r="L85" s="18">
        <f>IFERROR(VLOOKUP($A85,areaCercaDatiPerPosizioneSquadre,16,FALSE),"-")</f>
        <v/>
      </c>
      <c r="M85" s="18">
        <f>IFERROR(VLOOKUP($A85,areaCercaDatiPerPosizioneSquadre,17,FALSE),"-")</f>
        <v/>
      </c>
    </row>
    <row r="86">
      <c r="A86" s="169" t="inlineStr">
        <is>
          <t>F8</t>
        </is>
      </c>
      <c r="B86" s="17">
        <f>IFERROR(VLOOKUP($A86,areaCercaDatiPerPosizioneSquadre,2,FALSE),"("&amp;$A86&amp;")")</f>
        <v/>
      </c>
      <c r="C86" s="145">
        <f>IFERROR(VLOOKUP($A86,areaCercaDatiPerPosizioneSquadre,4,FALSE),"-")</f>
        <v/>
      </c>
      <c r="D86" s="12">
        <f>IFERROR(VLOOKUP($A86,areaCercaDatiPerPosizioneSquadre,5,FALSE),"-")</f>
        <v/>
      </c>
      <c r="E86" s="12">
        <f>IFERROR(VLOOKUP($A86,areaCercaDatiPerPosizioneSquadre,6,FALSE),"-")</f>
        <v/>
      </c>
      <c r="F86" s="12">
        <f>IFERROR(VLOOKUP($A86,areaCercaDatiPerPosizioneSquadre,7,FALSE),"-")</f>
        <v/>
      </c>
      <c r="G86" s="12">
        <f>IFERROR(VLOOKUP($A86,areaCercaDatiPerPosizioneSquadre,8,FALSE),"-")</f>
        <v/>
      </c>
      <c r="H86" s="12">
        <f>IFERROR(VLOOKUP($A86,areaCercaDatiPerPosizioneSquadre,9,FALSE),"-")</f>
        <v/>
      </c>
      <c r="I86" s="12">
        <f>IFERROR(VLOOKUP($A86,areaCercaDatiPerPosizioneSquadre,10,FALSE),"-")</f>
        <v/>
      </c>
      <c r="J86" s="12">
        <f>IFERROR(VLOOKUP($A86,areaCercaDatiPerPosizioneSquadre,11,FALSE),"-")</f>
        <v/>
      </c>
      <c r="K86" s="12">
        <f>IFERROR(VLOOKUP($A86,areaCercaDatiPerPosizioneSquadre,15,FALSE),"-")</f>
        <v/>
      </c>
      <c r="L86" s="18">
        <f>IFERROR(VLOOKUP($A86,areaCercaDatiPerPosizioneSquadre,16,FALSE),"-")</f>
        <v/>
      </c>
      <c r="M86" s="18">
        <f>IFERROR(VLOOKUP($A86,areaCercaDatiPerPosizioneSquadre,17,FALSE),"-")</f>
        <v/>
      </c>
    </row>
    <row r="87">
      <c r="A87" s="169" t="inlineStr">
        <is>
          <t>F9</t>
        </is>
      </c>
      <c r="B87" s="17">
        <f>IFERROR(VLOOKUP($A87,areaCercaDatiPerPosizioneSquadre,2,FALSE),"("&amp;$A87&amp;")")</f>
        <v/>
      </c>
      <c r="C87" s="145">
        <f>IFERROR(VLOOKUP($A87,areaCercaDatiPerPosizioneSquadre,4,FALSE),"-")</f>
        <v/>
      </c>
      <c r="D87" s="12">
        <f>IFERROR(VLOOKUP($A87,areaCercaDatiPerPosizioneSquadre,5,FALSE),"-")</f>
        <v/>
      </c>
      <c r="E87" s="12">
        <f>IFERROR(VLOOKUP($A87,areaCercaDatiPerPosizioneSquadre,6,FALSE),"-")</f>
        <v/>
      </c>
      <c r="F87" s="12">
        <f>IFERROR(VLOOKUP($A87,areaCercaDatiPerPosizioneSquadre,7,FALSE),"-")</f>
        <v/>
      </c>
      <c r="G87" s="12">
        <f>IFERROR(VLOOKUP($A87,areaCercaDatiPerPosizioneSquadre,8,FALSE),"-")</f>
        <v/>
      </c>
      <c r="H87" s="12">
        <f>IFERROR(VLOOKUP($A87,areaCercaDatiPerPosizioneSquadre,9,FALSE),"-")</f>
        <v/>
      </c>
      <c r="I87" s="12">
        <f>IFERROR(VLOOKUP($A87,areaCercaDatiPerPosizioneSquadre,10,FALSE),"-")</f>
        <v/>
      </c>
      <c r="J87" s="12">
        <f>IFERROR(VLOOKUP($A87,areaCercaDatiPerPosizioneSquadre,11,FALSE),"-")</f>
        <v/>
      </c>
      <c r="K87" s="12">
        <f>IFERROR(VLOOKUP($A87,areaCercaDatiPerPosizioneSquadre,15,FALSE),"-")</f>
        <v/>
      </c>
      <c r="L87" s="18">
        <f>IFERROR(VLOOKUP($A87,areaCercaDatiPerPosizioneSquadre,16,FALSE),"-")</f>
        <v/>
      </c>
      <c r="M87" s="18">
        <f>IFERROR(VLOOKUP($A87,areaCercaDatiPerPosizioneSquadre,17,FALSE),"-")</f>
        <v/>
      </c>
    </row>
    <row r="88">
      <c r="A88" s="169" t="inlineStr">
        <is>
          <t>F10</t>
        </is>
      </c>
      <c r="B88" s="17">
        <f>IFERROR(VLOOKUP($A88,areaCercaDatiPerPosizioneSquadre,2,FALSE),"("&amp;$A88&amp;")")</f>
        <v/>
      </c>
      <c r="C88" s="145">
        <f>IFERROR(VLOOKUP($A88,areaCercaDatiPerPosizioneSquadre,4,FALSE),"-")</f>
        <v/>
      </c>
      <c r="D88" s="12">
        <f>IFERROR(VLOOKUP($A88,areaCercaDatiPerPosizioneSquadre,5,FALSE),"-")</f>
        <v/>
      </c>
      <c r="E88" s="12">
        <f>IFERROR(VLOOKUP($A88,areaCercaDatiPerPosizioneSquadre,6,FALSE),"-")</f>
        <v/>
      </c>
      <c r="F88" s="12">
        <f>IFERROR(VLOOKUP($A88,areaCercaDatiPerPosizioneSquadre,7,FALSE),"-")</f>
        <v/>
      </c>
      <c r="G88" s="12">
        <f>IFERROR(VLOOKUP($A88,areaCercaDatiPerPosizioneSquadre,8,FALSE),"-")</f>
        <v/>
      </c>
      <c r="H88" s="12">
        <f>IFERROR(VLOOKUP($A88,areaCercaDatiPerPosizioneSquadre,9,FALSE),"-")</f>
        <v/>
      </c>
      <c r="I88" s="12">
        <f>IFERROR(VLOOKUP($A88,areaCercaDatiPerPosizioneSquadre,10,FALSE),"-")</f>
        <v/>
      </c>
      <c r="J88" s="12">
        <f>IFERROR(VLOOKUP($A88,areaCercaDatiPerPosizioneSquadre,11,FALSE),"-")</f>
        <v/>
      </c>
      <c r="K88" s="12">
        <f>IFERROR(VLOOKUP($A88,areaCercaDatiPerPosizioneSquadre,15,FALSE),"-")</f>
        <v/>
      </c>
      <c r="L88" s="18">
        <f>IFERROR(VLOOKUP($A88,areaCercaDatiPerPosizioneSquadre,16,FALSE),"-")</f>
        <v/>
      </c>
      <c r="M88" s="18">
        <f>IFERROR(VLOOKUP($A88,areaCercaDatiPerPosizioneSquadre,17,FALSE),"-")</f>
        <v/>
      </c>
    </row>
    <row r="90" ht="20" customHeight="1">
      <c r="A90" s="171">
        <f>"CLASSIFICA - GIRONE G"</f>
        <v/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10" t="n"/>
    </row>
    <row r="91" ht="26" customHeight="1">
      <c r="A91" s="172" t="inlineStr">
        <is>
          <t>P</t>
        </is>
      </c>
      <c r="B91" s="172" t="inlineStr">
        <is>
          <t>Classifica</t>
        </is>
      </c>
      <c r="C91" s="172" t="inlineStr">
        <is>
          <t>Pun</t>
        </is>
      </c>
      <c r="D91" s="172" t="inlineStr">
        <is>
          <t>Partite</t>
        </is>
      </c>
      <c r="E91" s="9" t="n"/>
      <c r="F91" s="9" t="n"/>
      <c r="G91" s="10" t="n"/>
      <c r="H91" s="172" t="inlineStr">
        <is>
          <t>Punti</t>
        </is>
      </c>
      <c r="I91" s="9" t="n"/>
      <c r="J91" s="10" t="n"/>
      <c r="K91" s="172" t="inlineStr">
        <is>
          <t>Record
Sc.Diretti</t>
        </is>
      </c>
      <c r="L91" s="172" t="inlineStr">
        <is>
          <t>Quoziente
Sc.Diretti</t>
        </is>
      </c>
      <c r="M91" s="172" t="inlineStr">
        <is>
          <t>Quoziente
Totale</t>
        </is>
      </c>
    </row>
    <row r="92">
      <c r="A92" s="141" t="n"/>
      <c r="B92" s="141" t="n"/>
      <c r="C92" s="141" t="n"/>
      <c r="D92" s="173" t="inlineStr">
        <is>
          <t>G</t>
        </is>
      </c>
      <c r="E92" s="173" t="inlineStr">
        <is>
          <t>V</t>
        </is>
      </c>
      <c r="F92" s="173" t="inlineStr">
        <is>
          <t>P</t>
        </is>
      </c>
      <c r="G92" s="173" t="inlineStr">
        <is>
          <t>F</t>
        </is>
      </c>
      <c r="H92" s="173" t="inlineStr">
        <is>
          <t>Fat</t>
        </is>
      </c>
      <c r="I92" s="173" t="inlineStr">
        <is>
          <t>Sub</t>
        </is>
      </c>
      <c r="J92" s="173" t="inlineStr">
        <is>
          <t>Dif</t>
        </is>
      </c>
      <c r="K92" s="141" t="n"/>
      <c r="L92" s="141" t="n"/>
      <c r="M92" s="141" t="n"/>
    </row>
    <row r="93">
      <c r="A93" s="174" t="inlineStr">
        <is>
          <t>G1</t>
        </is>
      </c>
      <c r="B93" s="175">
        <f>IFERROR(VLOOKUP($A93,areaCercaDatiPerPosizioneSquadre,2,FALSE),"("&amp;$A93&amp;")")</f>
        <v/>
      </c>
      <c r="C93" s="145">
        <f>IFERROR(VLOOKUP($A93,areaCercaDatiPerPosizioneSquadre,4,FALSE),"-")</f>
        <v/>
      </c>
      <c r="D93" s="12">
        <f>IFERROR(VLOOKUP($A93,areaCercaDatiPerPosizioneSquadre,5,FALSE),"-")</f>
        <v/>
      </c>
      <c r="E93" s="12">
        <f>IFERROR(VLOOKUP($A93,areaCercaDatiPerPosizioneSquadre,6,FALSE),"-")</f>
        <v/>
      </c>
      <c r="F93" s="12">
        <f>IFERROR(VLOOKUP($A93,areaCercaDatiPerPosizioneSquadre,7,FALSE),"-")</f>
        <v/>
      </c>
      <c r="G93" s="12">
        <f>IFERROR(VLOOKUP($A93,areaCercaDatiPerPosizioneSquadre,8,FALSE),"-")</f>
        <v/>
      </c>
      <c r="H93" s="12">
        <f>IFERROR(VLOOKUP($A93,areaCercaDatiPerPosizioneSquadre,9,FALSE),"-")</f>
        <v/>
      </c>
      <c r="I93" s="12">
        <f>IFERROR(VLOOKUP($A93,areaCercaDatiPerPosizioneSquadre,10,FALSE),"-")</f>
        <v/>
      </c>
      <c r="J93" s="12">
        <f>IFERROR(VLOOKUP($A93,areaCercaDatiPerPosizioneSquadre,11,FALSE),"-")</f>
        <v/>
      </c>
      <c r="K93" s="12">
        <f>IFERROR(VLOOKUP($A93,areaCercaDatiPerPosizioneSquadre,15,FALSE),"-")</f>
        <v/>
      </c>
      <c r="L93" s="18">
        <f>IFERROR(VLOOKUP($A93,areaCercaDatiPerPosizioneSquadre,16,FALSE),"-")</f>
        <v/>
      </c>
      <c r="M93" s="18">
        <f>IFERROR(VLOOKUP($A93,areaCercaDatiPerPosizioneSquadre,17,FALSE),"-")</f>
        <v/>
      </c>
    </row>
    <row r="94">
      <c r="A94" s="174" t="inlineStr">
        <is>
          <t>G2</t>
        </is>
      </c>
      <c r="B94" s="175">
        <f>IFERROR(VLOOKUP($A94,areaCercaDatiPerPosizioneSquadre,2,FALSE),"("&amp;$A94&amp;")")</f>
        <v/>
      </c>
      <c r="C94" s="145">
        <f>IFERROR(VLOOKUP($A94,areaCercaDatiPerPosizioneSquadre,4,FALSE),"-")</f>
        <v/>
      </c>
      <c r="D94" s="12">
        <f>IFERROR(VLOOKUP($A94,areaCercaDatiPerPosizioneSquadre,5,FALSE),"-")</f>
        <v/>
      </c>
      <c r="E94" s="12">
        <f>IFERROR(VLOOKUP($A94,areaCercaDatiPerPosizioneSquadre,6,FALSE),"-")</f>
        <v/>
      </c>
      <c r="F94" s="12">
        <f>IFERROR(VLOOKUP($A94,areaCercaDatiPerPosizioneSquadre,7,FALSE),"-")</f>
        <v/>
      </c>
      <c r="G94" s="12">
        <f>IFERROR(VLOOKUP($A94,areaCercaDatiPerPosizioneSquadre,8,FALSE),"-")</f>
        <v/>
      </c>
      <c r="H94" s="12">
        <f>IFERROR(VLOOKUP($A94,areaCercaDatiPerPosizioneSquadre,9,FALSE),"-")</f>
        <v/>
      </c>
      <c r="I94" s="12">
        <f>IFERROR(VLOOKUP($A94,areaCercaDatiPerPosizioneSquadre,10,FALSE),"-")</f>
        <v/>
      </c>
      <c r="J94" s="12">
        <f>IFERROR(VLOOKUP($A94,areaCercaDatiPerPosizioneSquadre,11,FALSE),"-")</f>
        <v/>
      </c>
      <c r="K94" s="12">
        <f>IFERROR(VLOOKUP($A94,areaCercaDatiPerPosizioneSquadre,15,FALSE),"-")</f>
        <v/>
      </c>
      <c r="L94" s="18">
        <f>IFERROR(VLOOKUP($A94,areaCercaDatiPerPosizioneSquadre,16,FALSE),"-")</f>
        <v/>
      </c>
      <c r="M94" s="18">
        <f>IFERROR(VLOOKUP($A94,areaCercaDatiPerPosizioneSquadre,17,FALSE),"-")</f>
        <v/>
      </c>
    </row>
    <row r="95">
      <c r="A95" s="174" t="inlineStr">
        <is>
          <t>G3</t>
        </is>
      </c>
      <c r="B95" s="17">
        <f>IFERROR(VLOOKUP($A95,areaCercaDatiPerPosizioneSquadre,2,FALSE),"("&amp;$A95&amp;")")</f>
        <v/>
      </c>
      <c r="C95" s="145">
        <f>IFERROR(VLOOKUP($A95,areaCercaDatiPerPosizioneSquadre,4,FALSE),"-")</f>
        <v/>
      </c>
      <c r="D95" s="12">
        <f>IFERROR(VLOOKUP($A95,areaCercaDatiPerPosizioneSquadre,5,FALSE),"-")</f>
        <v/>
      </c>
      <c r="E95" s="12">
        <f>IFERROR(VLOOKUP($A95,areaCercaDatiPerPosizioneSquadre,6,FALSE),"-")</f>
        <v/>
      </c>
      <c r="F95" s="12">
        <f>IFERROR(VLOOKUP($A95,areaCercaDatiPerPosizioneSquadre,7,FALSE),"-")</f>
        <v/>
      </c>
      <c r="G95" s="12">
        <f>IFERROR(VLOOKUP($A95,areaCercaDatiPerPosizioneSquadre,8,FALSE),"-")</f>
        <v/>
      </c>
      <c r="H95" s="12">
        <f>IFERROR(VLOOKUP($A95,areaCercaDatiPerPosizioneSquadre,9,FALSE),"-")</f>
        <v/>
      </c>
      <c r="I95" s="12">
        <f>IFERROR(VLOOKUP($A95,areaCercaDatiPerPosizioneSquadre,10,FALSE),"-")</f>
        <v/>
      </c>
      <c r="J95" s="12">
        <f>IFERROR(VLOOKUP($A95,areaCercaDatiPerPosizioneSquadre,11,FALSE),"-")</f>
        <v/>
      </c>
      <c r="K95" s="12">
        <f>IFERROR(VLOOKUP($A95,areaCercaDatiPerPosizioneSquadre,15,FALSE),"-")</f>
        <v/>
      </c>
      <c r="L95" s="18">
        <f>IFERROR(VLOOKUP($A95,areaCercaDatiPerPosizioneSquadre,16,FALSE),"-")</f>
        <v/>
      </c>
      <c r="M95" s="18">
        <f>IFERROR(VLOOKUP($A95,areaCercaDatiPerPosizioneSquadre,17,FALSE),"-")</f>
        <v/>
      </c>
    </row>
    <row r="96">
      <c r="A96" s="174" t="inlineStr">
        <is>
          <t>G4</t>
        </is>
      </c>
      <c r="B96" s="17">
        <f>IFERROR(VLOOKUP($A96,areaCercaDatiPerPosizioneSquadre,2,FALSE),"("&amp;$A96&amp;")")</f>
        <v/>
      </c>
      <c r="C96" s="145">
        <f>IFERROR(VLOOKUP($A96,areaCercaDatiPerPosizioneSquadre,4,FALSE),"-")</f>
        <v/>
      </c>
      <c r="D96" s="12">
        <f>IFERROR(VLOOKUP($A96,areaCercaDatiPerPosizioneSquadre,5,FALSE),"-")</f>
        <v/>
      </c>
      <c r="E96" s="12">
        <f>IFERROR(VLOOKUP($A96,areaCercaDatiPerPosizioneSquadre,6,FALSE),"-")</f>
        <v/>
      </c>
      <c r="F96" s="12">
        <f>IFERROR(VLOOKUP($A96,areaCercaDatiPerPosizioneSquadre,7,FALSE),"-")</f>
        <v/>
      </c>
      <c r="G96" s="12">
        <f>IFERROR(VLOOKUP($A96,areaCercaDatiPerPosizioneSquadre,8,FALSE),"-")</f>
        <v/>
      </c>
      <c r="H96" s="12">
        <f>IFERROR(VLOOKUP($A96,areaCercaDatiPerPosizioneSquadre,9,FALSE),"-")</f>
        <v/>
      </c>
      <c r="I96" s="12">
        <f>IFERROR(VLOOKUP($A96,areaCercaDatiPerPosizioneSquadre,10,FALSE),"-")</f>
        <v/>
      </c>
      <c r="J96" s="12">
        <f>IFERROR(VLOOKUP($A96,areaCercaDatiPerPosizioneSquadre,11,FALSE),"-")</f>
        <v/>
      </c>
      <c r="K96" s="12">
        <f>IFERROR(VLOOKUP($A96,areaCercaDatiPerPosizioneSquadre,15,FALSE),"-")</f>
        <v/>
      </c>
      <c r="L96" s="18">
        <f>IFERROR(VLOOKUP($A96,areaCercaDatiPerPosizioneSquadre,16,FALSE),"-")</f>
        <v/>
      </c>
      <c r="M96" s="18">
        <f>IFERROR(VLOOKUP($A96,areaCercaDatiPerPosizioneSquadre,17,FALSE),"-")</f>
        <v/>
      </c>
    </row>
    <row r="97">
      <c r="A97" s="174" t="inlineStr">
        <is>
          <t>G5</t>
        </is>
      </c>
      <c r="B97" s="17">
        <f>IFERROR(VLOOKUP($A97,areaCercaDatiPerPosizioneSquadre,2,FALSE),"("&amp;$A97&amp;")")</f>
        <v/>
      </c>
      <c r="C97" s="145">
        <f>IFERROR(VLOOKUP($A97,areaCercaDatiPerPosizioneSquadre,4,FALSE),"-")</f>
        <v/>
      </c>
      <c r="D97" s="12">
        <f>IFERROR(VLOOKUP($A97,areaCercaDatiPerPosizioneSquadre,5,FALSE),"-")</f>
        <v/>
      </c>
      <c r="E97" s="12">
        <f>IFERROR(VLOOKUP($A97,areaCercaDatiPerPosizioneSquadre,6,FALSE),"-")</f>
        <v/>
      </c>
      <c r="F97" s="12">
        <f>IFERROR(VLOOKUP($A97,areaCercaDatiPerPosizioneSquadre,7,FALSE),"-")</f>
        <v/>
      </c>
      <c r="G97" s="12">
        <f>IFERROR(VLOOKUP($A97,areaCercaDatiPerPosizioneSquadre,8,FALSE),"-")</f>
        <v/>
      </c>
      <c r="H97" s="12">
        <f>IFERROR(VLOOKUP($A97,areaCercaDatiPerPosizioneSquadre,9,FALSE),"-")</f>
        <v/>
      </c>
      <c r="I97" s="12">
        <f>IFERROR(VLOOKUP($A97,areaCercaDatiPerPosizioneSquadre,10,FALSE),"-")</f>
        <v/>
      </c>
      <c r="J97" s="12">
        <f>IFERROR(VLOOKUP($A97,areaCercaDatiPerPosizioneSquadre,11,FALSE),"-")</f>
        <v/>
      </c>
      <c r="K97" s="12">
        <f>IFERROR(VLOOKUP($A97,areaCercaDatiPerPosizioneSquadre,15,FALSE),"-")</f>
        <v/>
      </c>
      <c r="L97" s="18">
        <f>IFERROR(VLOOKUP($A97,areaCercaDatiPerPosizioneSquadre,16,FALSE),"-")</f>
        <v/>
      </c>
      <c r="M97" s="18">
        <f>IFERROR(VLOOKUP($A97,areaCercaDatiPerPosizioneSquadre,17,FALSE),"-")</f>
        <v/>
      </c>
    </row>
    <row r="98">
      <c r="A98" s="174" t="inlineStr">
        <is>
          <t>G6</t>
        </is>
      </c>
      <c r="B98" s="17">
        <f>IFERROR(VLOOKUP($A98,areaCercaDatiPerPosizioneSquadre,2,FALSE),"("&amp;$A98&amp;")")</f>
        <v/>
      </c>
      <c r="C98" s="145">
        <f>IFERROR(VLOOKUP($A98,areaCercaDatiPerPosizioneSquadre,4,FALSE),"-")</f>
        <v/>
      </c>
      <c r="D98" s="12">
        <f>IFERROR(VLOOKUP($A98,areaCercaDatiPerPosizioneSquadre,5,FALSE),"-")</f>
        <v/>
      </c>
      <c r="E98" s="12">
        <f>IFERROR(VLOOKUP($A98,areaCercaDatiPerPosizioneSquadre,6,FALSE),"-")</f>
        <v/>
      </c>
      <c r="F98" s="12">
        <f>IFERROR(VLOOKUP($A98,areaCercaDatiPerPosizioneSquadre,7,FALSE),"-")</f>
        <v/>
      </c>
      <c r="G98" s="12">
        <f>IFERROR(VLOOKUP($A98,areaCercaDatiPerPosizioneSquadre,8,FALSE),"-")</f>
        <v/>
      </c>
      <c r="H98" s="12">
        <f>IFERROR(VLOOKUP($A98,areaCercaDatiPerPosizioneSquadre,9,FALSE),"-")</f>
        <v/>
      </c>
      <c r="I98" s="12">
        <f>IFERROR(VLOOKUP($A98,areaCercaDatiPerPosizioneSquadre,10,FALSE),"-")</f>
        <v/>
      </c>
      <c r="J98" s="12">
        <f>IFERROR(VLOOKUP($A98,areaCercaDatiPerPosizioneSquadre,11,FALSE),"-")</f>
        <v/>
      </c>
      <c r="K98" s="12">
        <f>IFERROR(VLOOKUP($A98,areaCercaDatiPerPosizioneSquadre,15,FALSE),"-")</f>
        <v/>
      </c>
      <c r="L98" s="18">
        <f>IFERROR(VLOOKUP($A98,areaCercaDatiPerPosizioneSquadre,16,FALSE),"-")</f>
        <v/>
      </c>
      <c r="M98" s="18">
        <f>IFERROR(VLOOKUP($A98,areaCercaDatiPerPosizioneSquadre,17,FALSE),"-")</f>
        <v/>
      </c>
    </row>
    <row r="99">
      <c r="A99" s="174" t="inlineStr">
        <is>
          <t>G7</t>
        </is>
      </c>
      <c r="B99" s="17">
        <f>IFERROR(VLOOKUP($A99,areaCercaDatiPerPosizioneSquadre,2,FALSE),"("&amp;$A99&amp;")")</f>
        <v/>
      </c>
      <c r="C99" s="145">
        <f>IFERROR(VLOOKUP($A99,areaCercaDatiPerPosizioneSquadre,4,FALSE),"-")</f>
        <v/>
      </c>
      <c r="D99" s="12">
        <f>IFERROR(VLOOKUP($A99,areaCercaDatiPerPosizioneSquadre,5,FALSE),"-")</f>
        <v/>
      </c>
      <c r="E99" s="12">
        <f>IFERROR(VLOOKUP($A99,areaCercaDatiPerPosizioneSquadre,6,FALSE),"-")</f>
        <v/>
      </c>
      <c r="F99" s="12">
        <f>IFERROR(VLOOKUP($A99,areaCercaDatiPerPosizioneSquadre,7,FALSE),"-")</f>
        <v/>
      </c>
      <c r="G99" s="12">
        <f>IFERROR(VLOOKUP($A99,areaCercaDatiPerPosizioneSquadre,8,FALSE),"-")</f>
        <v/>
      </c>
      <c r="H99" s="12">
        <f>IFERROR(VLOOKUP($A99,areaCercaDatiPerPosizioneSquadre,9,FALSE),"-")</f>
        <v/>
      </c>
      <c r="I99" s="12">
        <f>IFERROR(VLOOKUP($A99,areaCercaDatiPerPosizioneSquadre,10,FALSE),"-")</f>
        <v/>
      </c>
      <c r="J99" s="12">
        <f>IFERROR(VLOOKUP($A99,areaCercaDatiPerPosizioneSquadre,11,FALSE),"-")</f>
        <v/>
      </c>
      <c r="K99" s="12">
        <f>IFERROR(VLOOKUP($A99,areaCercaDatiPerPosizioneSquadre,15,FALSE),"-")</f>
        <v/>
      </c>
      <c r="L99" s="18">
        <f>IFERROR(VLOOKUP($A99,areaCercaDatiPerPosizioneSquadre,16,FALSE),"-")</f>
        <v/>
      </c>
      <c r="M99" s="18">
        <f>IFERROR(VLOOKUP($A99,areaCercaDatiPerPosizioneSquadre,17,FALSE),"-")</f>
        <v/>
      </c>
    </row>
    <row r="100">
      <c r="A100" s="174" t="inlineStr">
        <is>
          <t>G8</t>
        </is>
      </c>
      <c r="B100" s="17">
        <f>IFERROR(VLOOKUP($A100,areaCercaDatiPerPosizioneSquadre,2,FALSE),"("&amp;$A100&amp;")")</f>
        <v/>
      </c>
      <c r="C100" s="145">
        <f>IFERROR(VLOOKUP($A100,areaCercaDatiPerPosizioneSquadre,4,FALSE),"-")</f>
        <v/>
      </c>
      <c r="D100" s="12">
        <f>IFERROR(VLOOKUP($A100,areaCercaDatiPerPosizioneSquadre,5,FALSE),"-")</f>
        <v/>
      </c>
      <c r="E100" s="12">
        <f>IFERROR(VLOOKUP($A100,areaCercaDatiPerPosizioneSquadre,6,FALSE),"-")</f>
        <v/>
      </c>
      <c r="F100" s="12">
        <f>IFERROR(VLOOKUP($A100,areaCercaDatiPerPosizioneSquadre,7,FALSE),"-")</f>
        <v/>
      </c>
      <c r="G100" s="12">
        <f>IFERROR(VLOOKUP($A100,areaCercaDatiPerPosizioneSquadre,8,FALSE),"-")</f>
        <v/>
      </c>
      <c r="H100" s="12">
        <f>IFERROR(VLOOKUP($A100,areaCercaDatiPerPosizioneSquadre,9,FALSE),"-")</f>
        <v/>
      </c>
      <c r="I100" s="12">
        <f>IFERROR(VLOOKUP($A100,areaCercaDatiPerPosizioneSquadre,10,FALSE),"-")</f>
        <v/>
      </c>
      <c r="J100" s="12">
        <f>IFERROR(VLOOKUP($A100,areaCercaDatiPerPosizioneSquadre,11,FALSE),"-")</f>
        <v/>
      </c>
      <c r="K100" s="12">
        <f>IFERROR(VLOOKUP($A100,areaCercaDatiPerPosizioneSquadre,15,FALSE),"-")</f>
        <v/>
      </c>
      <c r="L100" s="18">
        <f>IFERROR(VLOOKUP($A100,areaCercaDatiPerPosizioneSquadre,16,FALSE),"-")</f>
        <v/>
      </c>
      <c r="M100" s="18">
        <f>IFERROR(VLOOKUP($A100,areaCercaDatiPerPosizioneSquadre,17,FALSE),"-")</f>
        <v/>
      </c>
    </row>
    <row r="101">
      <c r="A101" s="174" t="inlineStr">
        <is>
          <t>G9</t>
        </is>
      </c>
      <c r="B101" s="17">
        <f>IFERROR(VLOOKUP($A101,areaCercaDatiPerPosizioneSquadre,2,FALSE),"("&amp;$A101&amp;")")</f>
        <v/>
      </c>
      <c r="C101" s="145">
        <f>IFERROR(VLOOKUP($A101,areaCercaDatiPerPosizioneSquadre,4,FALSE),"-")</f>
        <v/>
      </c>
      <c r="D101" s="12">
        <f>IFERROR(VLOOKUP($A101,areaCercaDatiPerPosizioneSquadre,5,FALSE),"-")</f>
        <v/>
      </c>
      <c r="E101" s="12">
        <f>IFERROR(VLOOKUP($A101,areaCercaDatiPerPosizioneSquadre,6,FALSE),"-")</f>
        <v/>
      </c>
      <c r="F101" s="12">
        <f>IFERROR(VLOOKUP($A101,areaCercaDatiPerPosizioneSquadre,7,FALSE),"-")</f>
        <v/>
      </c>
      <c r="G101" s="12">
        <f>IFERROR(VLOOKUP($A101,areaCercaDatiPerPosizioneSquadre,8,FALSE),"-")</f>
        <v/>
      </c>
      <c r="H101" s="12">
        <f>IFERROR(VLOOKUP($A101,areaCercaDatiPerPosizioneSquadre,9,FALSE),"-")</f>
        <v/>
      </c>
      <c r="I101" s="12">
        <f>IFERROR(VLOOKUP($A101,areaCercaDatiPerPosizioneSquadre,10,FALSE),"-")</f>
        <v/>
      </c>
      <c r="J101" s="12">
        <f>IFERROR(VLOOKUP($A101,areaCercaDatiPerPosizioneSquadre,11,FALSE),"-")</f>
        <v/>
      </c>
      <c r="K101" s="12">
        <f>IFERROR(VLOOKUP($A101,areaCercaDatiPerPosizioneSquadre,15,FALSE),"-")</f>
        <v/>
      </c>
      <c r="L101" s="18">
        <f>IFERROR(VLOOKUP($A101,areaCercaDatiPerPosizioneSquadre,16,FALSE),"-")</f>
        <v/>
      </c>
      <c r="M101" s="18">
        <f>IFERROR(VLOOKUP($A101,areaCercaDatiPerPosizioneSquadre,17,FALSE),"-")</f>
        <v/>
      </c>
    </row>
    <row r="102">
      <c r="A102" s="174" t="inlineStr">
        <is>
          <t>G10</t>
        </is>
      </c>
      <c r="B102" s="17">
        <f>IFERROR(VLOOKUP($A102,areaCercaDatiPerPosizioneSquadre,2,FALSE),"("&amp;$A102&amp;")")</f>
        <v/>
      </c>
      <c r="C102" s="145">
        <f>IFERROR(VLOOKUP($A102,areaCercaDatiPerPosizioneSquadre,4,FALSE),"-")</f>
        <v/>
      </c>
      <c r="D102" s="12">
        <f>IFERROR(VLOOKUP($A102,areaCercaDatiPerPosizioneSquadre,5,FALSE),"-")</f>
        <v/>
      </c>
      <c r="E102" s="12">
        <f>IFERROR(VLOOKUP($A102,areaCercaDatiPerPosizioneSquadre,6,FALSE),"-")</f>
        <v/>
      </c>
      <c r="F102" s="12">
        <f>IFERROR(VLOOKUP($A102,areaCercaDatiPerPosizioneSquadre,7,FALSE),"-")</f>
        <v/>
      </c>
      <c r="G102" s="12">
        <f>IFERROR(VLOOKUP($A102,areaCercaDatiPerPosizioneSquadre,8,FALSE),"-")</f>
        <v/>
      </c>
      <c r="H102" s="12">
        <f>IFERROR(VLOOKUP($A102,areaCercaDatiPerPosizioneSquadre,9,FALSE),"-")</f>
        <v/>
      </c>
      <c r="I102" s="12">
        <f>IFERROR(VLOOKUP($A102,areaCercaDatiPerPosizioneSquadre,10,FALSE),"-")</f>
        <v/>
      </c>
      <c r="J102" s="12">
        <f>IFERROR(VLOOKUP($A102,areaCercaDatiPerPosizioneSquadre,11,FALSE),"-")</f>
        <v/>
      </c>
      <c r="K102" s="12">
        <f>IFERROR(VLOOKUP($A102,areaCercaDatiPerPosizioneSquadre,15,FALSE),"-")</f>
        <v/>
      </c>
      <c r="L102" s="18">
        <f>IFERROR(VLOOKUP($A102,areaCercaDatiPerPosizioneSquadre,16,FALSE),"-")</f>
        <v/>
      </c>
      <c r="M102" s="18">
        <f>IFERROR(VLOOKUP($A102,areaCercaDatiPerPosizioneSquadre,17,FALSE),"-")</f>
        <v/>
      </c>
    </row>
    <row r="104" ht="20" customHeight="1">
      <c r="A104" s="176">
        <f>"CLASSIFICA - GIRONE H"</f>
        <v/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10" t="n"/>
    </row>
    <row r="105" ht="26" customHeight="1">
      <c r="A105" s="177" t="inlineStr">
        <is>
          <t>P</t>
        </is>
      </c>
      <c r="B105" s="177" t="inlineStr">
        <is>
          <t>Classifica</t>
        </is>
      </c>
      <c r="C105" s="177" t="inlineStr">
        <is>
          <t>Pun</t>
        </is>
      </c>
      <c r="D105" s="177" t="inlineStr">
        <is>
          <t>Partite</t>
        </is>
      </c>
      <c r="E105" s="9" t="n"/>
      <c r="F105" s="9" t="n"/>
      <c r="G105" s="10" t="n"/>
      <c r="H105" s="177" t="inlineStr">
        <is>
          <t>Punti</t>
        </is>
      </c>
      <c r="I105" s="9" t="n"/>
      <c r="J105" s="10" t="n"/>
      <c r="K105" s="177" t="inlineStr">
        <is>
          <t>Record
Sc.Diretti</t>
        </is>
      </c>
      <c r="L105" s="177" t="inlineStr">
        <is>
          <t>Quoziente
Sc.Diretti</t>
        </is>
      </c>
      <c r="M105" s="177" t="inlineStr">
        <is>
          <t>Quoziente
Totale</t>
        </is>
      </c>
    </row>
    <row r="106">
      <c r="A106" s="141" t="n"/>
      <c r="B106" s="141" t="n"/>
      <c r="C106" s="141" t="n"/>
      <c r="D106" s="178" t="inlineStr">
        <is>
          <t>G</t>
        </is>
      </c>
      <c r="E106" s="178" t="inlineStr">
        <is>
          <t>V</t>
        </is>
      </c>
      <c r="F106" s="178" t="inlineStr">
        <is>
          <t>P</t>
        </is>
      </c>
      <c r="G106" s="178" t="inlineStr">
        <is>
          <t>F</t>
        </is>
      </c>
      <c r="H106" s="178" t="inlineStr">
        <is>
          <t>Fat</t>
        </is>
      </c>
      <c r="I106" s="178" t="inlineStr">
        <is>
          <t>Sub</t>
        </is>
      </c>
      <c r="J106" s="178" t="inlineStr">
        <is>
          <t>Dif</t>
        </is>
      </c>
      <c r="K106" s="141" t="n"/>
      <c r="L106" s="141" t="n"/>
      <c r="M106" s="141" t="n"/>
    </row>
    <row r="107">
      <c r="A107" s="179" t="inlineStr">
        <is>
          <t>H1</t>
        </is>
      </c>
      <c r="B107" s="180">
        <f>IFERROR(VLOOKUP($A107,areaCercaDatiPerPosizioneSquadre,2,FALSE),"("&amp;$A107&amp;")")</f>
        <v/>
      </c>
      <c r="C107" s="145">
        <f>IFERROR(VLOOKUP($A107,areaCercaDatiPerPosizioneSquadre,4,FALSE),"-")</f>
        <v/>
      </c>
      <c r="D107" s="12">
        <f>IFERROR(VLOOKUP($A107,areaCercaDatiPerPosizioneSquadre,5,FALSE),"-")</f>
        <v/>
      </c>
      <c r="E107" s="12">
        <f>IFERROR(VLOOKUP($A107,areaCercaDatiPerPosizioneSquadre,6,FALSE),"-")</f>
        <v/>
      </c>
      <c r="F107" s="12">
        <f>IFERROR(VLOOKUP($A107,areaCercaDatiPerPosizioneSquadre,7,FALSE),"-")</f>
        <v/>
      </c>
      <c r="G107" s="12">
        <f>IFERROR(VLOOKUP($A107,areaCercaDatiPerPosizioneSquadre,8,FALSE),"-")</f>
        <v/>
      </c>
      <c r="H107" s="12">
        <f>IFERROR(VLOOKUP($A107,areaCercaDatiPerPosizioneSquadre,9,FALSE),"-")</f>
        <v/>
      </c>
      <c r="I107" s="12">
        <f>IFERROR(VLOOKUP($A107,areaCercaDatiPerPosizioneSquadre,10,FALSE),"-")</f>
        <v/>
      </c>
      <c r="J107" s="12">
        <f>IFERROR(VLOOKUP($A107,areaCercaDatiPerPosizioneSquadre,11,FALSE),"-")</f>
        <v/>
      </c>
      <c r="K107" s="12">
        <f>IFERROR(VLOOKUP($A107,areaCercaDatiPerPosizioneSquadre,15,FALSE),"-")</f>
        <v/>
      </c>
      <c r="L107" s="18">
        <f>IFERROR(VLOOKUP($A107,areaCercaDatiPerPosizioneSquadre,16,FALSE),"-")</f>
        <v/>
      </c>
      <c r="M107" s="18">
        <f>IFERROR(VLOOKUP($A107,areaCercaDatiPerPosizioneSquadre,17,FALSE),"-")</f>
        <v/>
      </c>
    </row>
    <row r="108">
      <c r="A108" s="179" t="inlineStr">
        <is>
          <t>H2</t>
        </is>
      </c>
      <c r="B108" s="180">
        <f>IFERROR(VLOOKUP($A108,areaCercaDatiPerPosizioneSquadre,2,FALSE),"("&amp;$A108&amp;")")</f>
        <v/>
      </c>
      <c r="C108" s="145">
        <f>IFERROR(VLOOKUP($A108,areaCercaDatiPerPosizioneSquadre,4,FALSE),"-")</f>
        <v/>
      </c>
      <c r="D108" s="12">
        <f>IFERROR(VLOOKUP($A108,areaCercaDatiPerPosizioneSquadre,5,FALSE),"-")</f>
        <v/>
      </c>
      <c r="E108" s="12">
        <f>IFERROR(VLOOKUP($A108,areaCercaDatiPerPosizioneSquadre,6,FALSE),"-")</f>
        <v/>
      </c>
      <c r="F108" s="12">
        <f>IFERROR(VLOOKUP($A108,areaCercaDatiPerPosizioneSquadre,7,FALSE),"-")</f>
        <v/>
      </c>
      <c r="G108" s="12">
        <f>IFERROR(VLOOKUP($A108,areaCercaDatiPerPosizioneSquadre,8,FALSE),"-")</f>
        <v/>
      </c>
      <c r="H108" s="12">
        <f>IFERROR(VLOOKUP($A108,areaCercaDatiPerPosizioneSquadre,9,FALSE),"-")</f>
        <v/>
      </c>
      <c r="I108" s="12">
        <f>IFERROR(VLOOKUP($A108,areaCercaDatiPerPosizioneSquadre,10,FALSE),"-")</f>
        <v/>
      </c>
      <c r="J108" s="12">
        <f>IFERROR(VLOOKUP($A108,areaCercaDatiPerPosizioneSquadre,11,FALSE),"-")</f>
        <v/>
      </c>
      <c r="K108" s="12">
        <f>IFERROR(VLOOKUP($A108,areaCercaDatiPerPosizioneSquadre,15,FALSE),"-")</f>
        <v/>
      </c>
      <c r="L108" s="18">
        <f>IFERROR(VLOOKUP($A108,areaCercaDatiPerPosizioneSquadre,16,FALSE),"-")</f>
        <v/>
      </c>
      <c r="M108" s="18">
        <f>IFERROR(VLOOKUP($A108,areaCercaDatiPerPosizioneSquadre,17,FALSE),"-")</f>
        <v/>
      </c>
    </row>
    <row r="109">
      <c r="A109" s="179" t="inlineStr">
        <is>
          <t>H3</t>
        </is>
      </c>
      <c r="B109" s="17">
        <f>IFERROR(VLOOKUP($A109,areaCercaDatiPerPosizioneSquadre,2,FALSE),"("&amp;$A109&amp;")")</f>
        <v/>
      </c>
      <c r="C109" s="145">
        <f>IFERROR(VLOOKUP($A109,areaCercaDatiPerPosizioneSquadre,4,FALSE),"-")</f>
        <v/>
      </c>
      <c r="D109" s="12">
        <f>IFERROR(VLOOKUP($A109,areaCercaDatiPerPosizioneSquadre,5,FALSE),"-")</f>
        <v/>
      </c>
      <c r="E109" s="12">
        <f>IFERROR(VLOOKUP($A109,areaCercaDatiPerPosizioneSquadre,6,FALSE),"-")</f>
        <v/>
      </c>
      <c r="F109" s="12">
        <f>IFERROR(VLOOKUP($A109,areaCercaDatiPerPosizioneSquadre,7,FALSE),"-")</f>
        <v/>
      </c>
      <c r="G109" s="12">
        <f>IFERROR(VLOOKUP($A109,areaCercaDatiPerPosizioneSquadre,8,FALSE),"-")</f>
        <v/>
      </c>
      <c r="H109" s="12">
        <f>IFERROR(VLOOKUP($A109,areaCercaDatiPerPosizioneSquadre,9,FALSE),"-")</f>
        <v/>
      </c>
      <c r="I109" s="12">
        <f>IFERROR(VLOOKUP($A109,areaCercaDatiPerPosizioneSquadre,10,FALSE),"-")</f>
        <v/>
      </c>
      <c r="J109" s="12">
        <f>IFERROR(VLOOKUP($A109,areaCercaDatiPerPosizioneSquadre,11,FALSE),"-")</f>
        <v/>
      </c>
      <c r="K109" s="12">
        <f>IFERROR(VLOOKUP($A109,areaCercaDatiPerPosizioneSquadre,15,FALSE),"-")</f>
        <v/>
      </c>
      <c r="L109" s="18">
        <f>IFERROR(VLOOKUP($A109,areaCercaDatiPerPosizioneSquadre,16,FALSE),"-")</f>
        <v/>
      </c>
      <c r="M109" s="18">
        <f>IFERROR(VLOOKUP($A109,areaCercaDatiPerPosizioneSquadre,17,FALSE),"-")</f>
        <v/>
      </c>
    </row>
    <row r="110">
      <c r="A110" s="179" t="inlineStr">
        <is>
          <t>H4</t>
        </is>
      </c>
      <c r="B110" s="17">
        <f>IFERROR(VLOOKUP($A110,areaCercaDatiPerPosizioneSquadre,2,FALSE),"("&amp;$A110&amp;")")</f>
        <v/>
      </c>
      <c r="C110" s="145">
        <f>IFERROR(VLOOKUP($A110,areaCercaDatiPerPosizioneSquadre,4,FALSE),"-")</f>
        <v/>
      </c>
      <c r="D110" s="12">
        <f>IFERROR(VLOOKUP($A110,areaCercaDatiPerPosizioneSquadre,5,FALSE),"-")</f>
        <v/>
      </c>
      <c r="E110" s="12">
        <f>IFERROR(VLOOKUP($A110,areaCercaDatiPerPosizioneSquadre,6,FALSE),"-")</f>
        <v/>
      </c>
      <c r="F110" s="12">
        <f>IFERROR(VLOOKUP($A110,areaCercaDatiPerPosizioneSquadre,7,FALSE),"-")</f>
        <v/>
      </c>
      <c r="G110" s="12">
        <f>IFERROR(VLOOKUP($A110,areaCercaDatiPerPosizioneSquadre,8,FALSE),"-")</f>
        <v/>
      </c>
      <c r="H110" s="12">
        <f>IFERROR(VLOOKUP($A110,areaCercaDatiPerPosizioneSquadre,9,FALSE),"-")</f>
        <v/>
      </c>
      <c r="I110" s="12">
        <f>IFERROR(VLOOKUP($A110,areaCercaDatiPerPosizioneSquadre,10,FALSE),"-")</f>
        <v/>
      </c>
      <c r="J110" s="12">
        <f>IFERROR(VLOOKUP($A110,areaCercaDatiPerPosizioneSquadre,11,FALSE),"-")</f>
        <v/>
      </c>
      <c r="K110" s="12">
        <f>IFERROR(VLOOKUP($A110,areaCercaDatiPerPosizioneSquadre,15,FALSE),"-")</f>
        <v/>
      </c>
      <c r="L110" s="18">
        <f>IFERROR(VLOOKUP($A110,areaCercaDatiPerPosizioneSquadre,16,FALSE),"-")</f>
        <v/>
      </c>
      <c r="M110" s="18">
        <f>IFERROR(VLOOKUP($A110,areaCercaDatiPerPosizioneSquadre,17,FALSE),"-")</f>
        <v/>
      </c>
    </row>
    <row r="111">
      <c r="A111" s="179" t="inlineStr">
        <is>
          <t>H5</t>
        </is>
      </c>
      <c r="B111" s="17">
        <f>IFERROR(VLOOKUP($A111,areaCercaDatiPerPosizioneSquadre,2,FALSE),"("&amp;$A111&amp;")")</f>
        <v/>
      </c>
      <c r="C111" s="145">
        <f>IFERROR(VLOOKUP($A111,areaCercaDatiPerPosizioneSquadre,4,FALSE),"-")</f>
        <v/>
      </c>
      <c r="D111" s="12">
        <f>IFERROR(VLOOKUP($A111,areaCercaDatiPerPosizioneSquadre,5,FALSE),"-")</f>
        <v/>
      </c>
      <c r="E111" s="12">
        <f>IFERROR(VLOOKUP($A111,areaCercaDatiPerPosizioneSquadre,6,FALSE),"-")</f>
        <v/>
      </c>
      <c r="F111" s="12">
        <f>IFERROR(VLOOKUP($A111,areaCercaDatiPerPosizioneSquadre,7,FALSE),"-")</f>
        <v/>
      </c>
      <c r="G111" s="12">
        <f>IFERROR(VLOOKUP($A111,areaCercaDatiPerPosizioneSquadre,8,FALSE),"-")</f>
        <v/>
      </c>
      <c r="H111" s="12">
        <f>IFERROR(VLOOKUP($A111,areaCercaDatiPerPosizioneSquadre,9,FALSE),"-")</f>
        <v/>
      </c>
      <c r="I111" s="12">
        <f>IFERROR(VLOOKUP($A111,areaCercaDatiPerPosizioneSquadre,10,FALSE),"-")</f>
        <v/>
      </c>
      <c r="J111" s="12">
        <f>IFERROR(VLOOKUP($A111,areaCercaDatiPerPosizioneSquadre,11,FALSE),"-")</f>
        <v/>
      </c>
      <c r="K111" s="12">
        <f>IFERROR(VLOOKUP($A111,areaCercaDatiPerPosizioneSquadre,15,FALSE),"-")</f>
        <v/>
      </c>
      <c r="L111" s="18">
        <f>IFERROR(VLOOKUP($A111,areaCercaDatiPerPosizioneSquadre,16,FALSE),"-")</f>
        <v/>
      </c>
      <c r="M111" s="18">
        <f>IFERROR(VLOOKUP($A111,areaCercaDatiPerPosizioneSquadre,17,FALSE),"-")</f>
        <v/>
      </c>
    </row>
    <row r="112">
      <c r="A112" s="179" t="inlineStr">
        <is>
          <t>H6</t>
        </is>
      </c>
      <c r="B112" s="17">
        <f>IFERROR(VLOOKUP($A112,areaCercaDatiPerPosizioneSquadre,2,FALSE),"("&amp;$A112&amp;")")</f>
        <v/>
      </c>
      <c r="C112" s="145">
        <f>IFERROR(VLOOKUP($A112,areaCercaDatiPerPosizioneSquadre,4,FALSE),"-")</f>
        <v/>
      </c>
      <c r="D112" s="12">
        <f>IFERROR(VLOOKUP($A112,areaCercaDatiPerPosizioneSquadre,5,FALSE),"-")</f>
        <v/>
      </c>
      <c r="E112" s="12">
        <f>IFERROR(VLOOKUP($A112,areaCercaDatiPerPosizioneSquadre,6,FALSE),"-")</f>
        <v/>
      </c>
      <c r="F112" s="12">
        <f>IFERROR(VLOOKUP($A112,areaCercaDatiPerPosizioneSquadre,7,FALSE),"-")</f>
        <v/>
      </c>
      <c r="G112" s="12">
        <f>IFERROR(VLOOKUP($A112,areaCercaDatiPerPosizioneSquadre,8,FALSE),"-")</f>
        <v/>
      </c>
      <c r="H112" s="12">
        <f>IFERROR(VLOOKUP($A112,areaCercaDatiPerPosizioneSquadre,9,FALSE),"-")</f>
        <v/>
      </c>
      <c r="I112" s="12">
        <f>IFERROR(VLOOKUP($A112,areaCercaDatiPerPosizioneSquadre,10,FALSE),"-")</f>
        <v/>
      </c>
      <c r="J112" s="12">
        <f>IFERROR(VLOOKUP($A112,areaCercaDatiPerPosizioneSquadre,11,FALSE),"-")</f>
        <v/>
      </c>
      <c r="K112" s="12">
        <f>IFERROR(VLOOKUP($A112,areaCercaDatiPerPosizioneSquadre,15,FALSE),"-")</f>
        <v/>
      </c>
      <c r="L112" s="18">
        <f>IFERROR(VLOOKUP($A112,areaCercaDatiPerPosizioneSquadre,16,FALSE),"-")</f>
        <v/>
      </c>
      <c r="M112" s="18">
        <f>IFERROR(VLOOKUP($A112,areaCercaDatiPerPosizioneSquadre,17,FALSE),"-")</f>
        <v/>
      </c>
    </row>
    <row r="113">
      <c r="A113" s="179" t="inlineStr">
        <is>
          <t>H7</t>
        </is>
      </c>
      <c r="B113" s="17">
        <f>IFERROR(VLOOKUP($A113,areaCercaDatiPerPosizioneSquadre,2,FALSE),"("&amp;$A113&amp;")")</f>
        <v/>
      </c>
      <c r="C113" s="145">
        <f>IFERROR(VLOOKUP($A113,areaCercaDatiPerPosizioneSquadre,4,FALSE),"-")</f>
        <v/>
      </c>
      <c r="D113" s="12">
        <f>IFERROR(VLOOKUP($A113,areaCercaDatiPerPosizioneSquadre,5,FALSE),"-")</f>
        <v/>
      </c>
      <c r="E113" s="12">
        <f>IFERROR(VLOOKUP($A113,areaCercaDatiPerPosizioneSquadre,6,FALSE),"-")</f>
        <v/>
      </c>
      <c r="F113" s="12">
        <f>IFERROR(VLOOKUP($A113,areaCercaDatiPerPosizioneSquadre,7,FALSE),"-")</f>
        <v/>
      </c>
      <c r="G113" s="12">
        <f>IFERROR(VLOOKUP($A113,areaCercaDatiPerPosizioneSquadre,8,FALSE),"-")</f>
        <v/>
      </c>
      <c r="H113" s="12">
        <f>IFERROR(VLOOKUP($A113,areaCercaDatiPerPosizioneSquadre,9,FALSE),"-")</f>
        <v/>
      </c>
      <c r="I113" s="12">
        <f>IFERROR(VLOOKUP($A113,areaCercaDatiPerPosizioneSquadre,10,FALSE),"-")</f>
        <v/>
      </c>
      <c r="J113" s="12">
        <f>IFERROR(VLOOKUP($A113,areaCercaDatiPerPosizioneSquadre,11,FALSE),"-")</f>
        <v/>
      </c>
      <c r="K113" s="12">
        <f>IFERROR(VLOOKUP($A113,areaCercaDatiPerPosizioneSquadre,15,FALSE),"-")</f>
        <v/>
      </c>
      <c r="L113" s="18">
        <f>IFERROR(VLOOKUP($A113,areaCercaDatiPerPosizioneSquadre,16,FALSE),"-")</f>
        <v/>
      </c>
      <c r="M113" s="18">
        <f>IFERROR(VLOOKUP($A113,areaCercaDatiPerPosizioneSquadre,17,FALSE),"-")</f>
        <v/>
      </c>
    </row>
    <row r="114">
      <c r="A114" s="179" t="inlineStr">
        <is>
          <t>H8</t>
        </is>
      </c>
      <c r="B114" s="17">
        <f>IFERROR(VLOOKUP($A114,areaCercaDatiPerPosizioneSquadre,2,FALSE),"("&amp;$A114&amp;")")</f>
        <v/>
      </c>
      <c r="C114" s="145">
        <f>IFERROR(VLOOKUP($A114,areaCercaDatiPerPosizioneSquadre,4,FALSE),"-")</f>
        <v/>
      </c>
      <c r="D114" s="12">
        <f>IFERROR(VLOOKUP($A114,areaCercaDatiPerPosizioneSquadre,5,FALSE),"-")</f>
        <v/>
      </c>
      <c r="E114" s="12">
        <f>IFERROR(VLOOKUP($A114,areaCercaDatiPerPosizioneSquadre,6,FALSE),"-")</f>
        <v/>
      </c>
      <c r="F114" s="12">
        <f>IFERROR(VLOOKUP($A114,areaCercaDatiPerPosizioneSquadre,7,FALSE),"-")</f>
        <v/>
      </c>
      <c r="G114" s="12">
        <f>IFERROR(VLOOKUP($A114,areaCercaDatiPerPosizioneSquadre,8,FALSE),"-")</f>
        <v/>
      </c>
      <c r="H114" s="12">
        <f>IFERROR(VLOOKUP($A114,areaCercaDatiPerPosizioneSquadre,9,FALSE),"-")</f>
        <v/>
      </c>
      <c r="I114" s="12">
        <f>IFERROR(VLOOKUP($A114,areaCercaDatiPerPosizioneSquadre,10,FALSE),"-")</f>
        <v/>
      </c>
      <c r="J114" s="12">
        <f>IFERROR(VLOOKUP($A114,areaCercaDatiPerPosizioneSquadre,11,FALSE),"-")</f>
        <v/>
      </c>
      <c r="K114" s="12">
        <f>IFERROR(VLOOKUP($A114,areaCercaDatiPerPosizioneSquadre,15,FALSE),"-")</f>
        <v/>
      </c>
      <c r="L114" s="18">
        <f>IFERROR(VLOOKUP($A114,areaCercaDatiPerPosizioneSquadre,16,FALSE),"-")</f>
        <v/>
      </c>
      <c r="M114" s="18">
        <f>IFERROR(VLOOKUP($A114,areaCercaDatiPerPosizioneSquadre,17,FALSE),"-")</f>
        <v/>
      </c>
    </row>
    <row r="115">
      <c r="A115" s="179" t="inlineStr">
        <is>
          <t>H9</t>
        </is>
      </c>
      <c r="B115" s="17">
        <f>IFERROR(VLOOKUP($A115,areaCercaDatiPerPosizioneSquadre,2,FALSE),"("&amp;$A115&amp;")")</f>
        <v/>
      </c>
      <c r="C115" s="145">
        <f>IFERROR(VLOOKUP($A115,areaCercaDatiPerPosizioneSquadre,4,FALSE),"-")</f>
        <v/>
      </c>
      <c r="D115" s="12">
        <f>IFERROR(VLOOKUP($A115,areaCercaDatiPerPosizioneSquadre,5,FALSE),"-")</f>
        <v/>
      </c>
      <c r="E115" s="12">
        <f>IFERROR(VLOOKUP($A115,areaCercaDatiPerPosizioneSquadre,6,FALSE),"-")</f>
        <v/>
      </c>
      <c r="F115" s="12">
        <f>IFERROR(VLOOKUP($A115,areaCercaDatiPerPosizioneSquadre,7,FALSE),"-")</f>
        <v/>
      </c>
      <c r="G115" s="12">
        <f>IFERROR(VLOOKUP($A115,areaCercaDatiPerPosizioneSquadre,8,FALSE),"-")</f>
        <v/>
      </c>
      <c r="H115" s="12">
        <f>IFERROR(VLOOKUP($A115,areaCercaDatiPerPosizioneSquadre,9,FALSE),"-")</f>
        <v/>
      </c>
      <c r="I115" s="12">
        <f>IFERROR(VLOOKUP($A115,areaCercaDatiPerPosizioneSquadre,10,FALSE),"-")</f>
        <v/>
      </c>
      <c r="J115" s="12">
        <f>IFERROR(VLOOKUP($A115,areaCercaDatiPerPosizioneSquadre,11,FALSE),"-")</f>
        <v/>
      </c>
      <c r="K115" s="12">
        <f>IFERROR(VLOOKUP($A115,areaCercaDatiPerPosizioneSquadre,15,FALSE),"-")</f>
        <v/>
      </c>
      <c r="L115" s="18">
        <f>IFERROR(VLOOKUP($A115,areaCercaDatiPerPosizioneSquadre,16,FALSE),"-")</f>
        <v/>
      </c>
      <c r="M115" s="18">
        <f>IFERROR(VLOOKUP($A115,areaCercaDatiPerPosizioneSquadre,17,FALSE),"-")</f>
        <v/>
      </c>
    </row>
    <row r="116">
      <c r="A116" s="179" t="inlineStr">
        <is>
          <t>H10</t>
        </is>
      </c>
      <c r="B116" s="17">
        <f>IFERROR(VLOOKUP($A116,areaCercaDatiPerPosizioneSquadre,2,FALSE),"("&amp;$A116&amp;")")</f>
        <v/>
      </c>
      <c r="C116" s="145">
        <f>IFERROR(VLOOKUP($A116,areaCercaDatiPerPosizioneSquadre,4,FALSE),"-")</f>
        <v/>
      </c>
      <c r="D116" s="12">
        <f>IFERROR(VLOOKUP($A116,areaCercaDatiPerPosizioneSquadre,5,FALSE),"-")</f>
        <v/>
      </c>
      <c r="E116" s="12">
        <f>IFERROR(VLOOKUP($A116,areaCercaDatiPerPosizioneSquadre,6,FALSE),"-")</f>
        <v/>
      </c>
      <c r="F116" s="12">
        <f>IFERROR(VLOOKUP($A116,areaCercaDatiPerPosizioneSquadre,7,FALSE),"-")</f>
        <v/>
      </c>
      <c r="G116" s="12">
        <f>IFERROR(VLOOKUP($A116,areaCercaDatiPerPosizioneSquadre,8,FALSE),"-")</f>
        <v/>
      </c>
      <c r="H116" s="12">
        <f>IFERROR(VLOOKUP($A116,areaCercaDatiPerPosizioneSquadre,9,FALSE),"-")</f>
        <v/>
      </c>
      <c r="I116" s="12">
        <f>IFERROR(VLOOKUP($A116,areaCercaDatiPerPosizioneSquadre,10,FALSE),"-")</f>
        <v/>
      </c>
      <c r="J116" s="12">
        <f>IFERROR(VLOOKUP($A116,areaCercaDatiPerPosizioneSquadre,11,FALSE),"-")</f>
        <v/>
      </c>
      <c r="K116" s="12">
        <f>IFERROR(VLOOKUP($A116,areaCercaDatiPerPosizioneSquadre,15,FALSE),"-")</f>
        <v/>
      </c>
      <c r="L116" s="18">
        <f>IFERROR(VLOOKUP($A116,areaCercaDatiPerPosizioneSquadre,16,FALSE),"-")</f>
        <v/>
      </c>
      <c r="M116" s="18">
        <f>IFERROR(VLOOKUP($A116,areaCercaDatiPerPosizioneSquadre,17,FALSE),"-")</f>
        <v/>
      </c>
    </row>
    <row r="118" ht="20" customHeight="1">
      <c r="A118" s="181">
        <f>"CLASSIFICA - GIRONE I (non competitivo, fuori dai playoff)"</f>
        <v/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10" t="n"/>
    </row>
    <row r="119" ht="26" customHeight="1">
      <c r="A119" s="182" t="inlineStr">
        <is>
          <t>P</t>
        </is>
      </c>
      <c r="B119" s="182" t="inlineStr">
        <is>
          <t>Classifica</t>
        </is>
      </c>
      <c r="C119" s="182" t="inlineStr">
        <is>
          <t>Pun</t>
        </is>
      </c>
      <c r="D119" s="182" t="inlineStr">
        <is>
          <t>Partite</t>
        </is>
      </c>
      <c r="E119" s="9" t="n"/>
      <c r="F119" s="9" t="n"/>
      <c r="G119" s="10" t="n"/>
      <c r="H119" s="182" t="inlineStr">
        <is>
          <t>Punti</t>
        </is>
      </c>
      <c r="I119" s="9" t="n"/>
      <c r="J119" s="10" t="n"/>
      <c r="K119" s="182" t="inlineStr">
        <is>
          <t>Record
Sc.Diretti</t>
        </is>
      </c>
      <c r="L119" s="182" t="inlineStr">
        <is>
          <t>Quoziente
Sc.Diretti</t>
        </is>
      </c>
      <c r="M119" s="182" t="inlineStr">
        <is>
          <t>Quoziente
Totale</t>
        </is>
      </c>
    </row>
    <row r="120">
      <c r="A120" s="141" t="n"/>
      <c r="B120" s="141" t="n"/>
      <c r="C120" s="141" t="n"/>
      <c r="D120" s="183" t="inlineStr">
        <is>
          <t>G</t>
        </is>
      </c>
      <c r="E120" s="183" t="inlineStr">
        <is>
          <t>V</t>
        </is>
      </c>
      <c r="F120" s="183" t="inlineStr">
        <is>
          <t>P</t>
        </is>
      </c>
      <c r="G120" s="183" t="inlineStr">
        <is>
          <t>F</t>
        </is>
      </c>
      <c r="H120" s="183" t="inlineStr">
        <is>
          <t>Fat</t>
        </is>
      </c>
      <c r="I120" s="183" t="inlineStr">
        <is>
          <t>Sub</t>
        </is>
      </c>
      <c r="J120" s="183" t="inlineStr">
        <is>
          <t>Dif</t>
        </is>
      </c>
      <c r="K120" s="141" t="n"/>
      <c r="L120" s="141" t="n"/>
      <c r="M120" s="141" t="n"/>
    </row>
    <row r="121">
      <c r="A121" s="184" t="inlineStr">
        <is>
          <t>I1</t>
        </is>
      </c>
      <c r="B121" s="17">
        <f>IFERROR(VLOOKUP($A121,areaCercaDatiPerPosizioneSquadre,2,FALSE),"("&amp;$A121&amp;")")</f>
        <v/>
      </c>
      <c r="C121" s="145">
        <f>IFERROR(VLOOKUP($A121,areaCercaDatiPerPosizioneSquadre,4,FALSE),"-")</f>
        <v/>
      </c>
      <c r="D121" s="12">
        <f>IFERROR(VLOOKUP($A121,areaCercaDatiPerPosizioneSquadre,5,FALSE),"-")</f>
        <v/>
      </c>
      <c r="E121" s="12">
        <f>IFERROR(VLOOKUP($A121,areaCercaDatiPerPosizioneSquadre,6,FALSE),"-")</f>
        <v/>
      </c>
      <c r="F121" s="12">
        <f>IFERROR(VLOOKUP($A121,areaCercaDatiPerPosizioneSquadre,7,FALSE),"-")</f>
        <v/>
      </c>
      <c r="G121" s="12">
        <f>IFERROR(VLOOKUP($A121,areaCercaDatiPerPosizioneSquadre,8,FALSE),"-")</f>
        <v/>
      </c>
      <c r="H121" s="12">
        <f>IFERROR(VLOOKUP($A121,areaCercaDatiPerPosizioneSquadre,9,FALSE),"-")</f>
        <v/>
      </c>
      <c r="I121" s="12">
        <f>IFERROR(VLOOKUP($A121,areaCercaDatiPerPosizioneSquadre,10,FALSE),"-")</f>
        <v/>
      </c>
      <c r="J121" s="12">
        <f>IFERROR(VLOOKUP($A121,areaCercaDatiPerPosizioneSquadre,11,FALSE),"-")</f>
        <v/>
      </c>
      <c r="K121" s="12">
        <f>IFERROR(VLOOKUP($A121,areaCercaDatiPerPosizioneSquadre,15,FALSE),"-")</f>
        <v/>
      </c>
      <c r="L121" s="18">
        <f>IFERROR(VLOOKUP($A121,areaCercaDatiPerPosizioneSquadre,16,FALSE),"-")</f>
        <v/>
      </c>
      <c r="M121" s="18">
        <f>IFERROR(VLOOKUP($A121,areaCercaDatiPerPosizioneSquadre,17,FALSE),"-")</f>
        <v/>
      </c>
    </row>
    <row r="122">
      <c r="A122" s="184" t="inlineStr">
        <is>
          <t>I2</t>
        </is>
      </c>
      <c r="B122" s="17">
        <f>IFERROR(VLOOKUP($A122,areaCercaDatiPerPosizioneSquadre,2,FALSE),"("&amp;$A122&amp;")")</f>
        <v/>
      </c>
      <c r="C122" s="145">
        <f>IFERROR(VLOOKUP($A122,areaCercaDatiPerPosizioneSquadre,4,FALSE),"-")</f>
        <v/>
      </c>
      <c r="D122" s="12">
        <f>IFERROR(VLOOKUP($A122,areaCercaDatiPerPosizioneSquadre,5,FALSE),"-")</f>
        <v/>
      </c>
      <c r="E122" s="12">
        <f>IFERROR(VLOOKUP($A122,areaCercaDatiPerPosizioneSquadre,6,FALSE),"-")</f>
        <v/>
      </c>
      <c r="F122" s="12">
        <f>IFERROR(VLOOKUP($A122,areaCercaDatiPerPosizioneSquadre,7,FALSE),"-")</f>
        <v/>
      </c>
      <c r="G122" s="12">
        <f>IFERROR(VLOOKUP($A122,areaCercaDatiPerPosizioneSquadre,8,FALSE),"-")</f>
        <v/>
      </c>
      <c r="H122" s="12">
        <f>IFERROR(VLOOKUP($A122,areaCercaDatiPerPosizioneSquadre,9,FALSE),"-")</f>
        <v/>
      </c>
      <c r="I122" s="12">
        <f>IFERROR(VLOOKUP($A122,areaCercaDatiPerPosizioneSquadre,10,FALSE),"-")</f>
        <v/>
      </c>
      <c r="J122" s="12">
        <f>IFERROR(VLOOKUP($A122,areaCercaDatiPerPosizioneSquadre,11,FALSE),"-")</f>
        <v/>
      </c>
      <c r="K122" s="12">
        <f>IFERROR(VLOOKUP($A122,areaCercaDatiPerPosizioneSquadre,15,FALSE),"-")</f>
        <v/>
      </c>
      <c r="L122" s="18">
        <f>IFERROR(VLOOKUP($A122,areaCercaDatiPerPosizioneSquadre,16,FALSE),"-")</f>
        <v/>
      </c>
      <c r="M122" s="18">
        <f>IFERROR(VLOOKUP($A122,areaCercaDatiPerPosizioneSquadre,17,FALSE),"-")</f>
        <v/>
      </c>
    </row>
    <row r="123">
      <c r="A123" s="184" t="inlineStr">
        <is>
          <t>I3</t>
        </is>
      </c>
      <c r="B123" s="17">
        <f>IFERROR(VLOOKUP($A123,areaCercaDatiPerPosizioneSquadre,2,FALSE),"("&amp;$A123&amp;")")</f>
        <v/>
      </c>
      <c r="C123" s="145">
        <f>IFERROR(VLOOKUP($A123,areaCercaDatiPerPosizioneSquadre,4,FALSE),"-")</f>
        <v/>
      </c>
      <c r="D123" s="12">
        <f>IFERROR(VLOOKUP($A123,areaCercaDatiPerPosizioneSquadre,5,FALSE),"-")</f>
        <v/>
      </c>
      <c r="E123" s="12">
        <f>IFERROR(VLOOKUP($A123,areaCercaDatiPerPosizioneSquadre,6,FALSE),"-")</f>
        <v/>
      </c>
      <c r="F123" s="12">
        <f>IFERROR(VLOOKUP($A123,areaCercaDatiPerPosizioneSquadre,7,FALSE),"-")</f>
        <v/>
      </c>
      <c r="G123" s="12">
        <f>IFERROR(VLOOKUP($A123,areaCercaDatiPerPosizioneSquadre,8,FALSE),"-")</f>
        <v/>
      </c>
      <c r="H123" s="12">
        <f>IFERROR(VLOOKUP($A123,areaCercaDatiPerPosizioneSquadre,9,FALSE),"-")</f>
        <v/>
      </c>
      <c r="I123" s="12">
        <f>IFERROR(VLOOKUP($A123,areaCercaDatiPerPosizioneSquadre,10,FALSE),"-")</f>
        <v/>
      </c>
      <c r="J123" s="12">
        <f>IFERROR(VLOOKUP($A123,areaCercaDatiPerPosizioneSquadre,11,FALSE),"-")</f>
        <v/>
      </c>
      <c r="K123" s="12">
        <f>IFERROR(VLOOKUP($A123,areaCercaDatiPerPosizioneSquadre,15,FALSE),"-")</f>
        <v/>
      </c>
      <c r="L123" s="18">
        <f>IFERROR(VLOOKUP($A123,areaCercaDatiPerPosizioneSquadre,16,FALSE),"-")</f>
        <v/>
      </c>
      <c r="M123" s="18">
        <f>IFERROR(VLOOKUP($A123,areaCercaDatiPerPosizioneSquadre,17,FALSE),"-")</f>
        <v/>
      </c>
    </row>
    <row r="124">
      <c r="A124" s="184" t="inlineStr">
        <is>
          <t>I4</t>
        </is>
      </c>
      <c r="B124" s="17">
        <f>IFERROR(VLOOKUP($A124,areaCercaDatiPerPosizioneSquadre,2,FALSE),"("&amp;$A124&amp;")")</f>
        <v/>
      </c>
      <c r="C124" s="145">
        <f>IFERROR(VLOOKUP($A124,areaCercaDatiPerPosizioneSquadre,4,FALSE),"-")</f>
        <v/>
      </c>
      <c r="D124" s="12">
        <f>IFERROR(VLOOKUP($A124,areaCercaDatiPerPosizioneSquadre,5,FALSE),"-")</f>
        <v/>
      </c>
      <c r="E124" s="12">
        <f>IFERROR(VLOOKUP($A124,areaCercaDatiPerPosizioneSquadre,6,FALSE),"-")</f>
        <v/>
      </c>
      <c r="F124" s="12">
        <f>IFERROR(VLOOKUP($A124,areaCercaDatiPerPosizioneSquadre,7,FALSE),"-")</f>
        <v/>
      </c>
      <c r="G124" s="12">
        <f>IFERROR(VLOOKUP($A124,areaCercaDatiPerPosizioneSquadre,8,FALSE),"-")</f>
        <v/>
      </c>
      <c r="H124" s="12">
        <f>IFERROR(VLOOKUP($A124,areaCercaDatiPerPosizioneSquadre,9,FALSE),"-")</f>
        <v/>
      </c>
      <c r="I124" s="12">
        <f>IFERROR(VLOOKUP($A124,areaCercaDatiPerPosizioneSquadre,10,FALSE),"-")</f>
        <v/>
      </c>
      <c r="J124" s="12">
        <f>IFERROR(VLOOKUP($A124,areaCercaDatiPerPosizioneSquadre,11,FALSE),"-")</f>
        <v/>
      </c>
      <c r="K124" s="12">
        <f>IFERROR(VLOOKUP($A124,areaCercaDatiPerPosizioneSquadre,15,FALSE),"-")</f>
        <v/>
      </c>
      <c r="L124" s="18">
        <f>IFERROR(VLOOKUP($A124,areaCercaDatiPerPosizioneSquadre,16,FALSE),"-")</f>
        <v/>
      </c>
      <c r="M124" s="18">
        <f>IFERROR(VLOOKUP($A124,areaCercaDatiPerPosizioneSquadre,17,FALSE),"-")</f>
        <v/>
      </c>
    </row>
    <row r="125">
      <c r="A125" s="184" t="inlineStr">
        <is>
          <t>I5</t>
        </is>
      </c>
      <c r="B125" s="17">
        <f>IFERROR(VLOOKUP($A125,areaCercaDatiPerPosizioneSquadre,2,FALSE),"("&amp;$A125&amp;")")</f>
        <v/>
      </c>
      <c r="C125" s="145">
        <f>IFERROR(VLOOKUP($A125,areaCercaDatiPerPosizioneSquadre,4,FALSE),"-")</f>
        <v/>
      </c>
      <c r="D125" s="12">
        <f>IFERROR(VLOOKUP($A125,areaCercaDatiPerPosizioneSquadre,5,FALSE),"-")</f>
        <v/>
      </c>
      <c r="E125" s="12">
        <f>IFERROR(VLOOKUP($A125,areaCercaDatiPerPosizioneSquadre,6,FALSE),"-")</f>
        <v/>
      </c>
      <c r="F125" s="12">
        <f>IFERROR(VLOOKUP($A125,areaCercaDatiPerPosizioneSquadre,7,FALSE),"-")</f>
        <v/>
      </c>
      <c r="G125" s="12">
        <f>IFERROR(VLOOKUP($A125,areaCercaDatiPerPosizioneSquadre,8,FALSE),"-")</f>
        <v/>
      </c>
      <c r="H125" s="12">
        <f>IFERROR(VLOOKUP($A125,areaCercaDatiPerPosizioneSquadre,9,FALSE),"-")</f>
        <v/>
      </c>
      <c r="I125" s="12">
        <f>IFERROR(VLOOKUP($A125,areaCercaDatiPerPosizioneSquadre,10,FALSE),"-")</f>
        <v/>
      </c>
      <c r="J125" s="12">
        <f>IFERROR(VLOOKUP($A125,areaCercaDatiPerPosizioneSquadre,11,FALSE),"-")</f>
        <v/>
      </c>
      <c r="K125" s="12">
        <f>IFERROR(VLOOKUP($A125,areaCercaDatiPerPosizioneSquadre,15,FALSE),"-")</f>
        <v/>
      </c>
      <c r="L125" s="18">
        <f>IFERROR(VLOOKUP($A125,areaCercaDatiPerPosizioneSquadre,16,FALSE),"-")</f>
        <v/>
      </c>
      <c r="M125" s="18">
        <f>IFERROR(VLOOKUP($A125,areaCercaDatiPerPosizioneSquadre,17,FALSE),"-")</f>
        <v/>
      </c>
    </row>
    <row r="126">
      <c r="A126" s="184" t="inlineStr">
        <is>
          <t>I6</t>
        </is>
      </c>
      <c r="B126" s="17">
        <f>IFERROR(VLOOKUP($A126,areaCercaDatiPerPosizioneSquadre,2,FALSE),"("&amp;$A126&amp;")")</f>
        <v/>
      </c>
      <c r="C126" s="145">
        <f>IFERROR(VLOOKUP($A126,areaCercaDatiPerPosizioneSquadre,4,FALSE),"-")</f>
        <v/>
      </c>
      <c r="D126" s="12">
        <f>IFERROR(VLOOKUP($A126,areaCercaDatiPerPosizioneSquadre,5,FALSE),"-")</f>
        <v/>
      </c>
      <c r="E126" s="12">
        <f>IFERROR(VLOOKUP($A126,areaCercaDatiPerPosizioneSquadre,6,FALSE),"-")</f>
        <v/>
      </c>
      <c r="F126" s="12">
        <f>IFERROR(VLOOKUP($A126,areaCercaDatiPerPosizioneSquadre,7,FALSE),"-")</f>
        <v/>
      </c>
      <c r="G126" s="12">
        <f>IFERROR(VLOOKUP($A126,areaCercaDatiPerPosizioneSquadre,8,FALSE),"-")</f>
        <v/>
      </c>
      <c r="H126" s="12">
        <f>IFERROR(VLOOKUP($A126,areaCercaDatiPerPosizioneSquadre,9,FALSE),"-")</f>
        <v/>
      </c>
      <c r="I126" s="12">
        <f>IFERROR(VLOOKUP($A126,areaCercaDatiPerPosizioneSquadre,10,FALSE),"-")</f>
        <v/>
      </c>
      <c r="J126" s="12">
        <f>IFERROR(VLOOKUP($A126,areaCercaDatiPerPosizioneSquadre,11,FALSE),"-")</f>
        <v/>
      </c>
      <c r="K126" s="12">
        <f>IFERROR(VLOOKUP($A126,areaCercaDatiPerPosizioneSquadre,15,FALSE),"-")</f>
        <v/>
      </c>
      <c r="L126" s="18">
        <f>IFERROR(VLOOKUP($A126,areaCercaDatiPerPosizioneSquadre,16,FALSE),"-")</f>
        <v/>
      </c>
      <c r="M126" s="18">
        <f>IFERROR(VLOOKUP($A126,areaCercaDatiPerPosizioneSquadre,17,FALSE),"-")</f>
        <v/>
      </c>
    </row>
    <row r="127">
      <c r="A127" s="184" t="inlineStr">
        <is>
          <t>I7</t>
        </is>
      </c>
      <c r="B127" s="17">
        <f>IFERROR(VLOOKUP($A127,areaCercaDatiPerPosizioneSquadre,2,FALSE),"("&amp;$A127&amp;")")</f>
        <v/>
      </c>
      <c r="C127" s="145">
        <f>IFERROR(VLOOKUP($A127,areaCercaDatiPerPosizioneSquadre,4,FALSE),"-")</f>
        <v/>
      </c>
      <c r="D127" s="12">
        <f>IFERROR(VLOOKUP($A127,areaCercaDatiPerPosizioneSquadre,5,FALSE),"-")</f>
        <v/>
      </c>
      <c r="E127" s="12">
        <f>IFERROR(VLOOKUP($A127,areaCercaDatiPerPosizioneSquadre,6,FALSE),"-")</f>
        <v/>
      </c>
      <c r="F127" s="12">
        <f>IFERROR(VLOOKUP($A127,areaCercaDatiPerPosizioneSquadre,7,FALSE),"-")</f>
        <v/>
      </c>
      <c r="G127" s="12">
        <f>IFERROR(VLOOKUP($A127,areaCercaDatiPerPosizioneSquadre,8,FALSE),"-")</f>
        <v/>
      </c>
      <c r="H127" s="12">
        <f>IFERROR(VLOOKUP($A127,areaCercaDatiPerPosizioneSquadre,9,FALSE),"-")</f>
        <v/>
      </c>
      <c r="I127" s="12">
        <f>IFERROR(VLOOKUP($A127,areaCercaDatiPerPosizioneSquadre,10,FALSE),"-")</f>
        <v/>
      </c>
      <c r="J127" s="12">
        <f>IFERROR(VLOOKUP($A127,areaCercaDatiPerPosizioneSquadre,11,FALSE),"-")</f>
        <v/>
      </c>
      <c r="K127" s="12">
        <f>IFERROR(VLOOKUP($A127,areaCercaDatiPerPosizioneSquadre,15,FALSE),"-")</f>
        <v/>
      </c>
      <c r="L127" s="18">
        <f>IFERROR(VLOOKUP($A127,areaCercaDatiPerPosizioneSquadre,16,FALSE),"-")</f>
        <v/>
      </c>
      <c r="M127" s="18">
        <f>IFERROR(VLOOKUP($A127,areaCercaDatiPerPosizioneSquadre,17,FALSE),"-")</f>
        <v/>
      </c>
    </row>
    <row r="128">
      <c r="A128" s="184" t="inlineStr">
        <is>
          <t>I8</t>
        </is>
      </c>
      <c r="B128" s="17">
        <f>IFERROR(VLOOKUP($A128,areaCercaDatiPerPosizioneSquadre,2,FALSE),"("&amp;$A128&amp;")")</f>
        <v/>
      </c>
      <c r="C128" s="145">
        <f>IFERROR(VLOOKUP($A128,areaCercaDatiPerPosizioneSquadre,4,FALSE),"-")</f>
        <v/>
      </c>
      <c r="D128" s="12">
        <f>IFERROR(VLOOKUP($A128,areaCercaDatiPerPosizioneSquadre,5,FALSE),"-")</f>
        <v/>
      </c>
      <c r="E128" s="12">
        <f>IFERROR(VLOOKUP($A128,areaCercaDatiPerPosizioneSquadre,6,FALSE),"-")</f>
        <v/>
      </c>
      <c r="F128" s="12">
        <f>IFERROR(VLOOKUP($A128,areaCercaDatiPerPosizioneSquadre,7,FALSE),"-")</f>
        <v/>
      </c>
      <c r="G128" s="12">
        <f>IFERROR(VLOOKUP($A128,areaCercaDatiPerPosizioneSquadre,8,FALSE),"-")</f>
        <v/>
      </c>
      <c r="H128" s="12">
        <f>IFERROR(VLOOKUP($A128,areaCercaDatiPerPosizioneSquadre,9,FALSE),"-")</f>
        <v/>
      </c>
      <c r="I128" s="12">
        <f>IFERROR(VLOOKUP($A128,areaCercaDatiPerPosizioneSquadre,10,FALSE),"-")</f>
        <v/>
      </c>
      <c r="J128" s="12">
        <f>IFERROR(VLOOKUP($A128,areaCercaDatiPerPosizioneSquadre,11,FALSE),"-")</f>
        <v/>
      </c>
      <c r="K128" s="12">
        <f>IFERROR(VLOOKUP($A128,areaCercaDatiPerPosizioneSquadre,15,FALSE),"-")</f>
        <v/>
      </c>
      <c r="L128" s="18">
        <f>IFERROR(VLOOKUP($A128,areaCercaDatiPerPosizioneSquadre,16,FALSE),"-")</f>
        <v/>
      </c>
      <c r="M128" s="18">
        <f>IFERROR(VLOOKUP($A128,areaCercaDatiPerPosizioneSquadre,17,FALSE),"-")</f>
        <v/>
      </c>
    </row>
    <row r="129">
      <c r="A129" s="184" t="inlineStr">
        <is>
          <t>I9</t>
        </is>
      </c>
      <c r="B129" s="17">
        <f>IFERROR(VLOOKUP($A129,areaCercaDatiPerPosizioneSquadre,2,FALSE),"("&amp;$A129&amp;")")</f>
        <v/>
      </c>
      <c r="C129" s="145">
        <f>IFERROR(VLOOKUP($A129,areaCercaDatiPerPosizioneSquadre,4,FALSE),"-")</f>
        <v/>
      </c>
      <c r="D129" s="12">
        <f>IFERROR(VLOOKUP($A129,areaCercaDatiPerPosizioneSquadre,5,FALSE),"-")</f>
        <v/>
      </c>
      <c r="E129" s="12">
        <f>IFERROR(VLOOKUP($A129,areaCercaDatiPerPosizioneSquadre,6,FALSE),"-")</f>
        <v/>
      </c>
      <c r="F129" s="12">
        <f>IFERROR(VLOOKUP($A129,areaCercaDatiPerPosizioneSquadre,7,FALSE),"-")</f>
        <v/>
      </c>
      <c r="G129" s="12">
        <f>IFERROR(VLOOKUP($A129,areaCercaDatiPerPosizioneSquadre,8,FALSE),"-")</f>
        <v/>
      </c>
      <c r="H129" s="12">
        <f>IFERROR(VLOOKUP($A129,areaCercaDatiPerPosizioneSquadre,9,FALSE),"-")</f>
        <v/>
      </c>
      <c r="I129" s="12">
        <f>IFERROR(VLOOKUP($A129,areaCercaDatiPerPosizioneSquadre,10,FALSE),"-")</f>
        <v/>
      </c>
      <c r="J129" s="12">
        <f>IFERROR(VLOOKUP($A129,areaCercaDatiPerPosizioneSquadre,11,FALSE),"-")</f>
        <v/>
      </c>
      <c r="K129" s="12">
        <f>IFERROR(VLOOKUP($A129,areaCercaDatiPerPosizioneSquadre,15,FALSE),"-")</f>
        <v/>
      </c>
      <c r="L129" s="18">
        <f>IFERROR(VLOOKUP($A129,areaCercaDatiPerPosizioneSquadre,16,FALSE),"-")</f>
        <v/>
      </c>
      <c r="M129" s="18">
        <f>IFERROR(VLOOKUP($A129,areaCercaDatiPerPosizioneSquadre,17,FALSE),"-")</f>
        <v/>
      </c>
    </row>
    <row r="130">
      <c r="A130" s="184" t="inlineStr">
        <is>
          <t>I10</t>
        </is>
      </c>
      <c r="B130" s="17">
        <f>IFERROR(VLOOKUP($A130,areaCercaDatiPerPosizioneSquadre,2,FALSE),"("&amp;$A130&amp;")")</f>
        <v/>
      </c>
      <c r="C130" s="145">
        <f>IFERROR(VLOOKUP($A130,areaCercaDatiPerPosizioneSquadre,4,FALSE),"-")</f>
        <v/>
      </c>
      <c r="D130" s="12">
        <f>IFERROR(VLOOKUP($A130,areaCercaDatiPerPosizioneSquadre,5,FALSE),"-")</f>
        <v/>
      </c>
      <c r="E130" s="12">
        <f>IFERROR(VLOOKUP($A130,areaCercaDatiPerPosizioneSquadre,6,FALSE),"-")</f>
        <v/>
      </c>
      <c r="F130" s="12">
        <f>IFERROR(VLOOKUP($A130,areaCercaDatiPerPosizioneSquadre,7,FALSE),"-")</f>
        <v/>
      </c>
      <c r="G130" s="12">
        <f>IFERROR(VLOOKUP($A130,areaCercaDatiPerPosizioneSquadre,8,FALSE),"-")</f>
        <v/>
      </c>
      <c r="H130" s="12">
        <f>IFERROR(VLOOKUP($A130,areaCercaDatiPerPosizioneSquadre,9,FALSE),"-")</f>
        <v/>
      </c>
      <c r="I130" s="12">
        <f>IFERROR(VLOOKUP($A130,areaCercaDatiPerPosizioneSquadre,10,FALSE),"-")</f>
        <v/>
      </c>
      <c r="J130" s="12">
        <f>IFERROR(VLOOKUP($A130,areaCercaDatiPerPosizioneSquadre,11,FALSE),"-")</f>
        <v/>
      </c>
      <c r="K130" s="12">
        <f>IFERROR(VLOOKUP($A130,areaCercaDatiPerPosizioneSquadre,15,FALSE),"-")</f>
        <v/>
      </c>
      <c r="L130" s="18">
        <f>IFERROR(VLOOKUP($A130,areaCercaDatiPerPosizioneSquadre,16,FALSE),"-")</f>
        <v/>
      </c>
      <c r="M130" s="18">
        <f>IFERROR(VLOOKUP($A130,areaCercaDatiPerPosizioneSquadre,17,FALSE),"-")</f>
        <v/>
      </c>
    </row>
    <row r="132" ht="20" customHeight="1">
      <c r="A132" s="185">
        <f>"CLASSIFICA - GIRONE J (non competitivo, fuori dai playoff)"</f>
        <v/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10" t="n"/>
    </row>
    <row r="133" ht="26" customHeight="1">
      <c r="A133" s="186" t="inlineStr">
        <is>
          <t>P</t>
        </is>
      </c>
      <c r="B133" s="186" t="inlineStr">
        <is>
          <t>Classifica</t>
        </is>
      </c>
      <c r="C133" s="186" t="inlineStr">
        <is>
          <t>Pun</t>
        </is>
      </c>
      <c r="D133" s="186" t="inlineStr">
        <is>
          <t>Partite</t>
        </is>
      </c>
      <c r="E133" s="9" t="n"/>
      <c r="F133" s="9" t="n"/>
      <c r="G133" s="10" t="n"/>
      <c r="H133" s="186" t="inlineStr">
        <is>
          <t>Punti</t>
        </is>
      </c>
      <c r="I133" s="9" t="n"/>
      <c r="J133" s="10" t="n"/>
      <c r="K133" s="186" t="inlineStr">
        <is>
          <t>Record
Sc.Diretti</t>
        </is>
      </c>
      <c r="L133" s="186" t="inlineStr">
        <is>
          <t>Quoziente
Sc.Diretti</t>
        </is>
      </c>
      <c r="M133" s="186" t="inlineStr">
        <is>
          <t>Quoziente
Totale</t>
        </is>
      </c>
    </row>
    <row r="134">
      <c r="A134" s="141" t="n"/>
      <c r="B134" s="141" t="n"/>
      <c r="C134" s="141" t="n"/>
      <c r="D134" s="187" t="inlineStr">
        <is>
          <t>G</t>
        </is>
      </c>
      <c r="E134" s="187" t="inlineStr">
        <is>
          <t>V</t>
        </is>
      </c>
      <c r="F134" s="187" t="inlineStr">
        <is>
          <t>P</t>
        </is>
      </c>
      <c r="G134" s="187" t="inlineStr">
        <is>
          <t>F</t>
        </is>
      </c>
      <c r="H134" s="187" t="inlineStr">
        <is>
          <t>Fat</t>
        </is>
      </c>
      <c r="I134" s="187" t="inlineStr">
        <is>
          <t>Sub</t>
        </is>
      </c>
      <c r="J134" s="187" t="inlineStr">
        <is>
          <t>Dif</t>
        </is>
      </c>
      <c r="K134" s="141" t="n"/>
      <c r="L134" s="141" t="n"/>
      <c r="M134" s="141" t="n"/>
    </row>
    <row r="135">
      <c r="A135" s="188" t="inlineStr">
        <is>
          <t>J1</t>
        </is>
      </c>
      <c r="B135" s="17">
        <f>IFERROR(VLOOKUP($A135,areaCercaDatiPerPosizioneSquadre,2,FALSE),"("&amp;$A135&amp;")")</f>
        <v/>
      </c>
      <c r="C135" s="145">
        <f>IFERROR(VLOOKUP($A135,areaCercaDatiPerPosizioneSquadre,4,FALSE),"-")</f>
        <v/>
      </c>
      <c r="D135" s="12">
        <f>IFERROR(VLOOKUP($A135,areaCercaDatiPerPosizioneSquadre,5,FALSE),"-")</f>
        <v/>
      </c>
      <c r="E135" s="12">
        <f>IFERROR(VLOOKUP($A135,areaCercaDatiPerPosizioneSquadre,6,FALSE),"-")</f>
        <v/>
      </c>
      <c r="F135" s="12">
        <f>IFERROR(VLOOKUP($A135,areaCercaDatiPerPosizioneSquadre,7,FALSE),"-")</f>
        <v/>
      </c>
      <c r="G135" s="12">
        <f>IFERROR(VLOOKUP($A135,areaCercaDatiPerPosizioneSquadre,8,FALSE),"-")</f>
        <v/>
      </c>
      <c r="H135" s="12">
        <f>IFERROR(VLOOKUP($A135,areaCercaDatiPerPosizioneSquadre,9,FALSE),"-")</f>
        <v/>
      </c>
      <c r="I135" s="12">
        <f>IFERROR(VLOOKUP($A135,areaCercaDatiPerPosizioneSquadre,10,FALSE),"-")</f>
        <v/>
      </c>
      <c r="J135" s="12">
        <f>IFERROR(VLOOKUP($A135,areaCercaDatiPerPosizioneSquadre,11,FALSE),"-")</f>
        <v/>
      </c>
      <c r="K135" s="12">
        <f>IFERROR(VLOOKUP($A135,areaCercaDatiPerPosizioneSquadre,15,FALSE),"-")</f>
        <v/>
      </c>
      <c r="L135" s="18">
        <f>IFERROR(VLOOKUP($A135,areaCercaDatiPerPosizioneSquadre,16,FALSE),"-")</f>
        <v/>
      </c>
      <c r="M135" s="18">
        <f>IFERROR(VLOOKUP($A135,areaCercaDatiPerPosizioneSquadre,17,FALSE),"-")</f>
        <v/>
      </c>
    </row>
    <row r="136">
      <c r="A136" s="188" t="inlineStr">
        <is>
          <t>J2</t>
        </is>
      </c>
      <c r="B136" s="17">
        <f>IFERROR(VLOOKUP($A136,areaCercaDatiPerPosizioneSquadre,2,FALSE),"("&amp;$A136&amp;")")</f>
        <v/>
      </c>
      <c r="C136" s="145">
        <f>IFERROR(VLOOKUP($A136,areaCercaDatiPerPosizioneSquadre,4,FALSE),"-")</f>
        <v/>
      </c>
      <c r="D136" s="12">
        <f>IFERROR(VLOOKUP($A136,areaCercaDatiPerPosizioneSquadre,5,FALSE),"-")</f>
        <v/>
      </c>
      <c r="E136" s="12">
        <f>IFERROR(VLOOKUP($A136,areaCercaDatiPerPosizioneSquadre,6,FALSE),"-")</f>
        <v/>
      </c>
      <c r="F136" s="12">
        <f>IFERROR(VLOOKUP($A136,areaCercaDatiPerPosizioneSquadre,7,FALSE),"-")</f>
        <v/>
      </c>
      <c r="G136" s="12">
        <f>IFERROR(VLOOKUP($A136,areaCercaDatiPerPosizioneSquadre,8,FALSE),"-")</f>
        <v/>
      </c>
      <c r="H136" s="12">
        <f>IFERROR(VLOOKUP($A136,areaCercaDatiPerPosizioneSquadre,9,FALSE),"-")</f>
        <v/>
      </c>
      <c r="I136" s="12">
        <f>IFERROR(VLOOKUP($A136,areaCercaDatiPerPosizioneSquadre,10,FALSE),"-")</f>
        <v/>
      </c>
      <c r="J136" s="12">
        <f>IFERROR(VLOOKUP($A136,areaCercaDatiPerPosizioneSquadre,11,FALSE),"-")</f>
        <v/>
      </c>
      <c r="K136" s="12">
        <f>IFERROR(VLOOKUP($A136,areaCercaDatiPerPosizioneSquadre,15,FALSE),"-")</f>
        <v/>
      </c>
      <c r="L136" s="18">
        <f>IFERROR(VLOOKUP($A136,areaCercaDatiPerPosizioneSquadre,16,FALSE),"-")</f>
        <v/>
      </c>
      <c r="M136" s="18">
        <f>IFERROR(VLOOKUP($A136,areaCercaDatiPerPosizioneSquadre,17,FALSE),"-")</f>
        <v/>
      </c>
    </row>
    <row r="137">
      <c r="A137" s="188" t="inlineStr">
        <is>
          <t>J3</t>
        </is>
      </c>
      <c r="B137" s="17">
        <f>IFERROR(VLOOKUP($A137,areaCercaDatiPerPosizioneSquadre,2,FALSE),"("&amp;$A137&amp;")")</f>
        <v/>
      </c>
      <c r="C137" s="145">
        <f>IFERROR(VLOOKUP($A137,areaCercaDatiPerPosizioneSquadre,4,FALSE),"-")</f>
        <v/>
      </c>
      <c r="D137" s="12">
        <f>IFERROR(VLOOKUP($A137,areaCercaDatiPerPosizioneSquadre,5,FALSE),"-")</f>
        <v/>
      </c>
      <c r="E137" s="12">
        <f>IFERROR(VLOOKUP($A137,areaCercaDatiPerPosizioneSquadre,6,FALSE),"-")</f>
        <v/>
      </c>
      <c r="F137" s="12">
        <f>IFERROR(VLOOKUP($A137,areaCercaDatiPerPosizioneSquadre,7,FALSE),"-")</f>
        <v/>
      </c>
      <c r="G137" s="12">
        <f>IFERROR(VLOOKUP($A137,areaCercaDatiPerPosizioneSquadre,8,FALSE),"-")</f>
        <v/>
      </c>
      <c r="H137" s="12">
        <f>IFERROR(VLOOKUP($A137,areaCercaDatiPerPosizioneSquadre,9,FALSE),"-")</f>
        <v/>
      </c>
      <c r="I137" s="12">
        <f>IFERROR(VLOOKUP($A137,areaCercaDatiPerPosizioneSquadre,10,FALSE),"-")</f>
        <v/>
      </c>
      <c r="J137" s="12">
        <f>IFERROR(VLOOKUP($A137,areaCercaDatiPerPosizioneSquadre,11,FALSE),"-")</f>
        <v/>
      </c>
      <c r="K137" s="12">
        <f>IFERROR(VLOOKUP($A137,areaCercaDatiPerPosizioneSquadre,15,FALSE),"-")</f>
        <v/>
      </c>
      <c r="L137" s="18">
        <f>IFERROR(VLOOKUP($A137,areaCercaDatiPerPosizioneSquadre,16,FALSE),"-")</f>
        <v/>
      </c>
      <c r="M137" s="18">
        <f>IFERROR(VLOOKUP($A137,areaCercaDatiPerPosizioneSquadre,17,FALSE),"-")</f>
        <v/>
      </c>
    </row>
    <row r="138">
      <c r="A138" s="188" t="inlineStr">
        <is>
          <t>J4</t>
        </is>
      </c>
      <c r="B138" s="17">
        <f>IFERROR(VLOOKUP($A138,areaCercaDatiPerPosizioneSquadre,2,FALSE),"("&amp;$A138&amp;")")</f>
        <v/>
      </c>
      <c r="C138" s="145">
        <f>IFERROR(VLOOKUP($A138,areaCercaDatiPerPosizioneSquadre,4,FALSE),"-")</f>
        <v/>
      </c>
      <c r="D138" s="12">
        <f>IFERROR(VLOOKUP($A138,areaCercaDatiPerPosizioneSquadre,5,FALSE),"-")</f>
        <v/>
      </c>
      <c r="E138" s="12">
        <f>IFERROR(VLOOKUP($A138,areaCercaDatiPerPosizioneSquadre,6,FALSE),"-")</f>
        <v/>
      </c>
      <c r="F138" s="12">
        <f>IFERROR(VLOOKUP($A138,areaCercaDatiPerPosizioneSquadre,7,FALSE),"-")</f>
        <v/>
      </c>
      <c r="G138" s="12">
        <f>IFERROR(VLOOKUP($A138,areaCercaDatiPerPosizioneSquadre,8,FALSE),"-")</f>
        <v/>
      </c>
      <c r="H138" s="12">
        <f>IFERROR(VLOOKUP($A138,areaCercaDatiPerPosizioneSquadre,9,FALSE),"-")</f>
        <v/>
      </c>
      <c r="I138" s="12">
        <f>IFERROR(VLOOKUP($A138,areaCercaDatiPerPosizioneSquadre,10,FALSE),"-")</f>
        <v/>
      </c>
      <c r="J138" s="12">
        <f>IFERROR(VLOOKUP($A138,areaCercaDatiPerPosizioneSquadre,11,FALSE),"-")</f>
        <v/>
      </c>
      <c r="K138" s="12">
        <f>IFERROR(VLOOKUP($A138,areaCercaDatiPerPosizioneSquadre,15,FALSE),"-")</f>
        <v/>
      </c>
      <c r="L138" s="18">
        <f>IFERROR(VLOOKUP($A138,areaCercaDatiPerPosizioneSquadre,16,FALSE),"-")</f>
        <v/>
      </c>
      <c r="M138" s="18">
        <f>IFERROR(VLOOKUP($A138,areaCercaDatiPerPosizioneSquadre,17,FALSE),"-")</f>
        <v/>
      </c>
    </row>
    <row r="139">
      <c r="A139" s="188" t="inlineStr">
        <is>
          <t>J5</t>
        </is>
      </c>
      <c r="B139" s="17">
        <f>IFERROR(VLOOKUP($A139,areaCercaDatiPerPosizioneSquadre,2,FALSE),"("&amp;$A139&amp;")")</f>
        <v/>
      </c>
      <c r="C139" s="145">
        <f>IFERROR(VLOOKUP($A139,areaCercaDatiPerPosizioneSquadre,4,FALSE),"-")</f>
        <v/>
      </c>
      <c r="D139" s="12">
        <f>IFERROR(VLOOKUP($A139,areaCercaDatiPerPosizioneSquadre,5,FALSE),"-")</f>
        <v/>
      </c>
      <c r="E139" s="12">
        <f>IFERROR(VLOOKUP($A139,areaCercaDatiPerPosizioneSquadre,6,FALSE),"-")</f>
        <v/>
      </c>
      <c r="F139" s="12">
        <f>IFERROR(VLOOKUP($A139,areaCercaDatiPerPosizioneSquadre,7,FALSE),"-")</f>
        <v/>
      </c>
      <c r="G139" s="12">
        <f>IFERROR(VLOOKUP($A139,areaCercaDatiPerPosizioneSquadre,8,FALSE),"-")</f>
        <v/>
      </c>
      <c r="H139" s="12">
        <f>IFERROR(VLOOKUP($A139,areaCercaDatiPerPosizioneSquadre,9,FALSE),"-")</f>
        <v/>
      </c>
      <c r="I139" s="12">
        <f>IFERROR(VLOOKUP($A139,areaCercaDatiPerPosizioneSquadre,10,FALSE),"-")</f>
        <v/>
      </c>
      <c r="J139" s="12">
        <f>IFERROR(VLOOKUP($A139,areaCercaDatiPerPosizioneSquadre,11,FALSE),"-")</f>
        <v/>
      </c>
      <c r="K139" s="12">
        <f>IFERROR(VLOOKUP($A139,areaCercaDatiPerPosizioneSquadre,15,FALSE),"-")</f>
        <v/>
      </c>
      <c r="L139" s="18">
        <f>IFERROR(VLOOKUP($A139,areaCercaDatiPerPosizioneSquadre,16,FALSE),"-")</f>
        <v/>
      </c>
      <c r="M139" s="18">
        <f>IFERROR(VLOOKUP($A139,areaCercaDatiPerPosizioneSquadre,17,FALSE),"-")</f>
        <v/>
      </c>
    </row>
    <row r="140">
      <c r="A140" s="188" t="inlineStr">
        <is>
          <t>J6</t>
        </is>
      </c>
      <c r="B140" s="17">
        <f>IFERROR(VLOOKUP($A140,areaCercaDatiPerPosizioneSquadre,2,FALSE),"("&amp;$A140&amp;")")</f>
        <v/>
      </c>
      <c r="C140" s="145">
        <f>IFERROR(VLOOKUP($A140,areaCercaDatiPerPosizioneSquadre,4,FALSE),"-")</f>
        <v/>
      </c>
      <c r="D140" s="12">
        <f>IFERROR(VLOOKUP($A140,areaCercaDatiPerPosizioneSquadre,5,FALSE),"-")</f>
        <v/>
      </c>
      <c r="E140" s="12">
        <f>IFERROR(VLOOKUP($A140,areaCercaDatiPerPosizioneSquadre,6,FALSE),"-")</f>
        <v/>
      </c>
      <c r="F140" s="12">
        <f>IFERROR(VLOOKUP($A140,areaCercaDatiPerPosizioneSquadre,7,FALSE),"-")</f>
        <v/>
      </c>
      <c r="G140" s="12">
        <f>IFERROR(VLOOKUP($A140,areaCercaDatiPerPosizioneSquadre,8,FALSE),"-")</f>
        <v/>
      </c>
      <c r="H140" s="12">
        <f>IFERROR(VLOOKUP($A140,areaCercaDatiPerPosizioneSquadre,9,FALSE),"-")</f>
        <v/>
      </c>
      <c r="I140" s="12">
        <f>IFERROR(VLOOKUP($A140,areaCercaDatiPerPosizioneSquadre,10,FALSE),"-")</f>
        <v/>
      </c>
      <c r="J140" s="12">
        <f>IFERROR(VLOOKUP($A140,areaCercaDatiPerPosizioneSquadre,11,FALSE),"-")</f>
        <v/>
      </c>
      <c r="K140" s="12">
        <f>IFERROR(VLOOKUP($A140,areaCercaDatiPerPosizioneSquadre,15,FALSE),"-")</f>
        <v/>
      </c>
      <c r="L140" s="18">
        <f>IFERROR(VLOOKUP($A140,areaCercaDatiPerPosizioneSquadre,16,FALSE),"-")</f>
        <v/>
      </c>
      <c r="M140" s="18">
        <f>IFERROR(VLOOKUP($A140,areaCercaDatiPerPosizioneSquadre,17,FALSE),"-")</f>
        <v/>
      </c>
    </row>
    <row r="141">
      <c r="A141" s="188" t="inlineStr">
        <is>
          <t>J7</t>
        </is>
      </c>
      <c r="B141" s="17">
        <f>IFERROR(VLOOKUP($A141,areaCercaDatiPerPosizioneSquadre,2,FALSE),"("&amp;$A141&amp;")")</f>
        <v/>
      </c>
      <c r="C141" s="145">
        <f>IFERROR(VLOOKUP($A141,areaCercaDatiPerPosizioneSquadre,4,FALSE),"-")</f>
        <v/>
      </c>
      <c r="D141" s="12">
        <f>IFERROR(VLOOKUP($A141,areaCercaDatiPerPosizioneSquadre,5,FALSE),"-")</f>
        <v/>
      </c>
      <c r="E141" s="12">
        <f>IFERROR(VLOOKUP($A141,areaCercaDatiPerPosizioneSquadre,6,FALSE),"-")</f>
        <v/>
      </c>
      <c r="F141" s="12">
        <f>IFERROR(VLOOKUP($A141,areaCercaDatiPerPosizioneSquadre,7,FALSE),"-")</f>
        <v/>
      </c>
      <c r="G141" s="12">
        <f>IFERROR(VLOOKUP($A141,areaCercaDatiPerPosizioneSquadre,8,FALSE),"-")</f>
        <v/>
      </c>
      <c r="H141" s="12">
        <f>IFERROR(VLOOKUP($A141,areaCercaDatiPerPosizioneSquadre,9,FALSE),"-")</f>
        <v/>
      </c>
      <c r="I141" s="12">
        <f>IFERROR(VLOOKUP($A141,areaCercaDatiPerPosizioneSquadre,10,FALSE),"-")</f>
        <v/>
      </c>
      <c r="J141" s="12">
        <f>IFERROR(VLOOKUP($A141,areaCercaDatiPerPosizioneSquadre,11,FALSE),"-")</f>
        <v/>
      </c>
      <c r="K141" s="12">
        <f>IFERROR(VLOOKUP($A141,areaCercaDatiPerPosizioneSquadre,15,FALSE),"-")</f>
        <v/>
      </c>
      <c r="L141" s="18">
        <f>IFERROR(VLOOKUP($A141,areaCercaDatiPerPosizioneSquadre,16,FALSE),"-")</f>
        <v/>
      </c>
      <c r="M141" s="18">
        <f>IFERROR(VLOOKUP($A141,areaCercaDatiPerPosizioneSquadre,17,FALSE),"-")</f>
        <v/>
      </c>
    </row>
    <row r="142">
      <c r="A142" s="188" t="inlineStr">
        <is>
          <t>J8</t>
        </is>
      </c>
      <c r="B142" s="17">
        <f>IFERROR(VLOOKUP($A142,areaCercaDatiPerPosizioneSquadre,2,FALSE),"("&amp;$A142&amp;")")</f>
        <v/>
      </c>
      <c r="C142" s="145">
        <f>IFERROR(VLOOKUP($A142,areaCercaDatiPerPosizioneSquadre,4,FALSE),"-")</f>
        <v/>
      </c>
      <c r="D142" s="12">
        <f>IFERROR(VLOOKUP($A142,areaCercaDatiPerPosizioneSquadre,5,FALSE),"-")</f>
        <v/>
      </c>
      <c r="E142" s="12">
        <f>IFERROR(VLOOKUP($A142,areaCercaDatiPerPosizioneSquadre,6,FALSE),"-")</f>
        <v/>
      </c>
      <c r="F142" s="12">
        <f>IFERROR(VLOOKUP($A142,areaCercaDatiPerPosizioneSquadre,7,FALSE),"-")</f>
        <v/>
      </c>
      <c r="G142" s="12">
        <f>IFERROR(VLOOKUP($A142,areaCercaDatiPerPosizioneSquadre,8,FALSE),"-")</f>
        <v/>
      </c>
      <c r="H142" s="12">
        <f>IFERROR(VLOOKUP($A142,areaCercaDatiPerPosizioneSquadre,9,FALSE),"-")</f>
        <v/>
      </c>
      <c r="I142" s="12">
        <f>IFERROR(VLOOKUP($A142,areaCercaDatiPerPosizioneSquadre,10,FALSE),"-")</f>
        <v/>
      </c>
      <c r="J142" s="12">
        <f>IFERROR(VLOOKUP($A142,areaCercaDatiPerPosizioneSquadre,11,FALSE),"-")</f>
        <v/>
      </c>
      <c r="K142" s="12">
        <f>IFERROR(VLOOKUP($A142,areaCercaDatiPerPosizioneSquadre,15,FALSE),"-")</f>
        <v/>
      </c>
      <c r="L142" s="18">
        <f>IFERROR(VLOOKUP($A142,areaCercaDatiPerPosizioneSquadre,16,FALSE),"-")</f>
        <v/>
      </c>
      <c r="M142" s="18">
        <f>IFERROR(VLOOKUP($A142,areaCercaDatiPerPosizioneSquadre,17,FALSE),"-")</f>
        <v/>
      </c>
    </row>
    <row r="143">
      <c r="A143" s="188" t="inlineStr">
        <is>
          <t>J9</t>
        </is>
      </c>
      <c r="B143" s="17">
        <f>IFERROR(VLOOKUP($A143,areaCercaDatiPerPosizioneSquadre,2,FALSE),"("&amp;$A143&amp;")")</f>
        <v/>
      </c>
      <c r="C143" s="145">
        <f>IFERROR(VLOOKUP($A143,areaCercaDatiPerPosizioneSquadre,4,FALSE),"-")</f>
        <v/>
      </c>
      <c r="D143" s="12">
        <f>IFERROR(VLOOKUP($A143,areaCercaDatiPerPosizioneSquadre,5,FALSE),"-")</f>
        <v/>
      </c>
      <c r="E143" s="12">
        <f>IFERROR(VLOOKUP($A143,areaCercaDatiPerPosizioneSquadre,6,FALSE),"-")</f>
        <v/>
      </c>
      <c r="F143" s="12">
        <f>IFERROR(VLOOKUP($A143,areaCercaDatiPerPosizioneSquadre,7,FALSE),"-")</f>
        <v/>
      </c>
      <c r="G143" s="12">
        <f>IFERROR(VLOOKUP($A143,areaCercaDatiPerPosizioneSquadre,8,FALSE),"-")</f>
        <v/>
      </c>
      <c r="H143" s="12">
        <f>IFERROR(VLOOKUP($A143,areaCercaDatiPerPosizioneSquadre,9,FALSE),"-")</f>
        <v/>
      </c>
      <c r="I143" s="12">
        <f>IFERROR(VLOOKUP($A143,areaCercaDatiPerPosizioneSquadre,10,FALSE),"-")</f>
        <v/>
      </c>
      <c r="J143" s="12">
        <f>IFERROR(VLOOKUP($A143,areaCercaDatiPerPosizioneSquadre,11,FALSE),"-")</f>
        <v/>
      </c>
      <c r="K143" s="12">
        <f>IFERROR(VLOOKUP($A143,areaCercaDatiPerPosizioneSquadre,15,FALSE),"-")</f>
        <v/>
      </c>
      <c r="L143" s="18">
        <f>IFERROR(VLOOKUP($A143,areaCercaDatiPerPosizioneSquadre,16,FALSE),"-")</f>
        <v/>
      </c>
      <c r="M143" s="18">
        <f>IFERROR(VLOOKUP($A143,areaCercaDatiPerPosizioneSquadre,17,FALSE),"-")</f>
        <v/>
      </c>
    </row>
    <row r="144">
      <c r="A144" s="188" t="inlineStr">
        <is>
          <t>J10</t>
        </is>
      </c>
      <c r="B144" s="17">
        <f>IFERROR(VLOOKUP($A144,areaCercaDatiPerPosizioneSquadre,2,FALSE),"("&amp;$A144&amp;")")</f>
        <v/>
      </c>
      <c r="C144" s="145">
        <f>IFERROR(VLOOKUP($A144,areaCercaDatiPerPosizioneSquadre,4,FALSE),"-")</f>
        <v/>
      </c>
      <c r="D144" s="12">
        <f>IFERROR(VLOOKUP($A144,areaCercaDatiPerPosizioneSquadre,5,FALSE),"-")</f>
        <v/>
      </c>
      <c r="E144" s="12">
        <f>IFERROR(VLOOKUP($A144,areaCercaDatiPerPosizioneSquadre,6,FALSE),"-")</f>
        <v/>
      </c>
      <c r="F144" s="12">
        <f>IFERROR(VLOOKUP($A144,areaCercaDatiPerPosizioneSquadre,7,FALSE),"-")</f>
        <v/>
      </c>
      <c r="G144" s="12">
        <f>IFERROR(VLOOKUP($A144,areaCercaDatiPerPosizioneSquadre,8,FALSE),"-")</f>
        <v/>
      </c>
      <c r="H144" s="12">
        <f>IFERROR(VLOOKUP($A144,areaCercaDatiPerPosizioneSquadre,9,FALSE),"-")</f>
        <v/>
      </c>
      <c r="I144" s="12">
        <f>IFERROR(VLOOKUP($A144,areaCercaDatiPerPosizioneSquadre,10,FALSE),"-")</f>
        <v/>
      </c>
      <c r="J144" s="12">
        <f>IFERROR(VLOOKUP($A144,areaCercaDatiPerPosizioneSquadre,11,FALSE),"-")</f>
        <v/>
      </c>
      <c r="K144" s="12">
        <f>IFERROR(VLOOKUP($A144,areaCercaDatiPerPosizioneSquadre,15,FALSE),"-")</f>
        <v/>
      </c>
      <c r="L144" s="18">
        <f>IFERROR(VLOOKUP($A144,areaCercaDatiPerPosizioneSquadre,16,FALSE),"-")</f>
        <v/>
      </c>
      <c r="M144" s="18">
        <f>IFERROR(VLOOKUP($A144,areaCercaDatiPerPosizioneSquadre,17,FALSE),"-")</f>
        <v/>
      </c>
    </row>
    <row r="146">
      <c r="A146" s="51" t="inlineStr">
        <is>
          <t>Legenda: le prime due classificate di ogni girone COMPETITIVO (A-H) accedono ai playoff (sfondo colorato). I gironi I e J non danno accesso alla fase finale.</t>
        </is>
      </c>
    </row>
  </sheetData>
  <mergeCells count="94">
    <mergeCell ref="K63:K64"/>
    <mergeCell ref="L91:L92"/>
    <mergeCell ref="A7:A8"/>
    <mergeCell ref="H119:J119"/>
    <mergeCell ref="C63:C64"/>
    <mergeCell ref="A105:A106"/>
    <mergeCell ref="M7:M8"/>
    <mergeCell ref="L133:L134"/>
    <mergeCell ref="A91:A92"/>
    <mergeCell ref="K77:K78"/>
    <mergeCell ref="B119:B120"/>
    <mergeCell ref="M133:M134"/>
    <mergeCell ref="K105:K106"/>
    <mergeCell ref="L119:L120"/>
    <mergeCell ref="C105:C106"/>
    <mergeCell ref="A3:H3"/>
    <mergeCell ref="D77:G77"/>
    <mergeCell ref="D21:G21"/>
    <mergeCell ref="A77:A78"/>
    <mergeCell ref="B63:B64"/>
    <mergeCell ref="A35:A36"/>
    <mergeCell ref="D7:G7"/>
    <mergeCell ref="B91:B92"/>
    <mergeCell ref="B35:B36"/>
    <mergeCell ref="H21:J21"/>
    <mergeCell ref="A119:A120"/>
    <mergeCell ref="A62:M62"/>
    <mergeCell ref="B77:B78"/>
    <mergeCell ref="A20:M20"/>
    <mergeCell ref="H7:J7"/>
    <mergeCell ref="D35:G35"/>
    <mergeCell ref="M105:M106"/>
    <mergeCell ref="A48:M48"/>
    <mergeCell ref="A21:A22"/>
    <mergeCell ref="H77:J77"/>
    <mergeCell ref="L35:L36"/>
    <mergeCell ref="M21:M22"/>
    <mergeCell ref="M91:M92"/>
    <mergeCell ref="H35:J35"/>
    <mergeCell ref="A63:A64"/>
    <mergeCell ref="L21:L22"/>
    <mergeCell ref="M63:M64"/>
    <mergeCell ref="A90:M90"/>
    <mergeCell ref="B7:B8"/>
    <mergeCell ref="A49:A50"/>
    <mergeCell ref="L7:L8"/>
    <mergeCell ref="C49:C50"/>
    <mergeCell ref="K133:K134"/>
    <mergeCell ref="M49:M50"/>
    <mergeCell ref="A76:M76"/>
    <mergeCell ref="K119:K120"/>
    <mergeCell ref="B105:B106"/>
    <mergeCell ref="M119:M120"/>
    <mergeCell ref="A34:M34"/>
    <mergeCell ref="C21:C22"/>
    <mergeCell ref="H105:J105"/>
    <mergeCell ref="D63:G63"/>
    <mergeCell ref="B49:B50"/>
    <mergeCell ref="D105:G105"/>
    <mergeCell ref="C7:C8"/>
    <mergeCell ref="C91:C92"/>
    <mergeCell ref="D49:G49"/>
    <mergeCell ref="B133:B134"/>
    <mergeCell ref="L77:L78"/>
    <mergeCell ref="L105:L106"/>
    <mergeCell ref="H63:J63"/>
    <mergeCell ref="D91:G91"/>
    <mergeCell ref="C77:C78"/>
    <mergeCell ref="A104:M104"/>
    <mergeCell ref="B21:B22"/>
    <mergeCell ref="K49:K50"/>
    <mergeCell ref="H49:J49"/>
    <mergeCell ref="H133:J133"/>
    <mergeCell ref="K21:K22"/>
    <mergeCell ref="K91:K92"/>
    <mergeCell ref="D133:G133"/>
    <mergeCell ref="K35:K36"/>
    <mergeCell ref="C35:C36"/>
    <mergeCell ref="M35:M36"/>
    <mergeCell ref="A133:A134"/>
    <mergeCell ref="C133:C134"/>
    <mergeCell ref="M77:M78"/>
    <mergeCell ref="D119:G119"/>
    <mergeCell ref="L63:L64"/>
    <mergeCell ref="C119:C120"/>
    <mergeCell ref="A132:M132"/>
    <mergeCell ref="A6:M6"/>
    <mergeCell ref="K7:K8"/>
    <mergeCell ref="A1:H2"/>
    <mergeCell ref="H91:J91"/>
    <mergeCell ref="L49:L50"/>
    <mergeCell ref="A118:M118"/>
    <mergeCell ref="J1:K3"/>
    <mergeCell ref="L1:M3"/>
  </mergeCells>
  <pageMargins left="0.4" right="0.4" top="0.5" bottom="0.5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FF455A64"/>
    <outlinePr summaryBelow="1" summaryRight="1"/>
    <pageSetUpPr fitToPage="1"/>
  </sheetPr>
  <dimension ref="A1:E10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min="4" max="5" width="20" customWidth="1"/>
  </cols>
  <sheetData>
    <row r="1" ht="22" customHeight="1">
      <c r="A1" s="52">
        <f>constNomeCampionato&amp;""</f>
        <v/>
      </c>
    </row>
    <row r="2" ht="22" customHeight="1"/>
    <row r="3" ht="22" customHeight="1">
      <c r="A3" s="52">
        <f>"Classifica finale - Stagione "&amp;constStagionaCampionato</f>
        <v/>
      </c>
      <c r="D3" t="str">
        <f>IFERROR(IMAGE(constLogo1),"")</f>
        <v/>
      </c>
      <c r="E3" t="str">
        <f>IFERROR(IMAGE(constLogo2),"")</f>
        <v/>
      </c>
    </row>
    <row r="6">
      <c r="A6" s="189" t="inlineStr">
        <is>
          <t>Pos.</t>
        </is>
      </c>
      <c r="B6" s="189" t="inlineStr">
        <is>
          <t>Squadra</t>
        </is>
      </c>
      <c r="C6" s="189" t="inlineStr">
        <is>
          <t>Traguardo</t>
        </is>
      </c>
      <c r="D6" s="189"/>
      <c r="E6" s="189"/>
    </row>
    <row r="7">
      <c r="A7" s="190" t="n">
        <v>1</v>
      </c>
      <c r="B7" s="191">
        <f>Playoff!AA61</f>
        <v/>
      </c>
      <c r="C7" s="192" t="inlineStr">
        <is>
          <t>Vincente finale 1o-2o posto</t>
        </is>
      </c>
      <c r="D7" s="192"/>
      <c r="E7" s="192"/>
    </row>
    <row r="8">
      <c r="A8" s="190" t="n">
        <v>2</v>
      </c>
      <c r="B8" s="191">
        <f>Playoff!AB61</f>
        <v/>
      </c>
      <c r="C8" s="192" t="inlineStr">
        <is>
          <t>Perdente finale 1o-2o posto</t>
        </is>
      </c>
      <c r="D8" s="192"/>
      <c r="E8" s="192"/>
    </row>
    <row r="9">
      <c r="A9" s="190" t="n">
        <v>3</v>
      </c>
      <c r="B9" s="191">
        <f>Playoff!AA58</f>
        <v/>
      </c>
      <c r="C9" s="192" t="inlineStr">
        <is>
          <t>Vincente finale 3o-4o posto</t>
        </is>
      </c>
      <c r="D9" s="192"/>
      <c r="E9" s="192"/>
    </row>
    <row r="10">
      <c r="A10" s="190" t="n">
        <v>4</v>
      </c>
      <c r="B10" s="191">
        <f>Playoff!AB58</f>
        <v/>
      </c>
      <c r="C10" s="192" t="inlineStr">
        <is>
          <t>Perdente finale 3o-4o posto</t>
        </is>
      </c>
      <c r="D10" s="192"/>
      <c r="E10" s="192"/>
    </row>
    <row r="11">
      <c r="A11" s="190" t="n">
        <v>5</v>
      </c>
      <c r="B11" s="13">
        <f>Playoff!AB36</f>
        <v/>
      </c>
      <c r="C11" s="192" t="inlineStr">
        <is>
          <t>Perdente quarti di finale</t>
        </is>
      </c>
      <c r="D11" s="192"/>
      <c r="E11" s="192"/>
    </row>
    <row r="12">
      <c r="A12" s="190" t="n">
        <v>5</v>
      </c>
      <c r="B12" s="13">
        <f>Playoff!AB39</f>
        <v/>
      </c>
      <c r="C12" s="192" t="inlineStr">
        <is>
          <t>Perdente quarti di finale</t>
        </is>
      </c>
      <c r="D12" s="192"/>
      <c r="E12" s="192"/>
    </row>
    <row r="13">
      <c r="A13" s="190" t="n">
        <v>5</v>
      </c>
      <c r="B13" s="13">
        <f>Playoff!AB42</f>
        <v/>
      </c>
      <c r="C13" s="192" t="inlineStr">
        <is>
          <t>Perdente quarti di finale</t>
        </is>
      </c>
      <c r="D13" s="192"/>
      <c r="E13" s="192"/>
    </row>
    <row r="14">
      <c r="A14" s="190" t="n">
        <v>5</v>
      </c>
      <c r="B14" s="13">
        <f>Playoff!AB45</f>
        <v/>
      </c>
      <c r="C14" s="192" t="inlineStr">
        <is>
          <t>Perdente quarti di finale</t>
        </is>
      </c>
      <c r="D14" s="192"/>
      <c r="E14" s="192"/>
    </row>
    <row r="15">
      <c r="A15" s="190" t="n">
        <v>9</v>
      </c>
      <c r="B15" s="13">
        <f>Playoff!AB10</f>
        <v/>
      </c>
      <c r="C15" s="192" t="inlineStr">
        <is>
          <t>Perdente ottavi di finale</t>
        </is>
      </c>
      <c r="D15" s="192"/>
      <c r="E15" s="192"/>
    </row>
    <row r="16">
      <c r="A16" s="190" t="n">
        <v>9</v>
      </c>
      <c r="B16" s="13">
        <f>Playoff!AB13</f>
        <v/>
      </c>
      <c r="C16" s="192" t="inlineStr">
        <is>
          <t>Perdente ottavi di finale</t>
        </is>
      </c>
      <c r="D16" s="192"/>
      <c r="E16" s="192"/>
    </row>
    <row r="17">
      <c r="A17" s="190" t="n">
        <v>9</v>
      </c>
      <c r="B17" s="13">
        <f>Playoff!AB16</f>
        <v/>
      </c>
      <c r="C17" s="192" t="inlineStr">
        <is>
          <t>Perdente ottavi di finale</t>
        </is>
      </c>
      <c r="D17" s="192"/>
      <c r="E17" s="192"/>
    </row>
    <row r="18">
      <c r="A18" s="190" t="n">
        <v>9</v>
      </c>
      <c r="B18" s="13">
        <f>Playoff!AB19</f>
        <v/>
      </c>
      <c r="C18" s="192" t="inlineStr">
        <is>
          <t>Perdente ottavi di finale</t>
        </is>
      </c>
      <c r="D18" s="192"/>
      <c r="E18" s="192"/>
    </row>
    <row r="19">
      <c r="A19" s="190" t="n">
        <v>9</v>
      </c>
      <c r="B19" s="13">
        <f>Playoff!AB22</f>
        <v/>
      </c>
      <c r="C19" s="192" t="inlineStr">
        <is>
          <t>Perdente ottavi di finale</t>
        </is>
      </c>
      <c r="D19" s="192"/>
      <c r="E19" s="192"/>
    </row>
    <row r="20">
      <c r="A20" s="190" t="n">
        <v>9</v>
      </c>
      <c r="B20" s="13">
        <f>Playoff!AB25</f>
        <v/>
      </c>
      <c r="C20" s="192" t="inlineStr">
        <is>
          <t>Perdente ottavi di finale</t>
        </is>
      </c>
      <c r="D20" s="192"/>
      <c r="E20" s="192"/>
    </row>
    <row r="21">
      <c r="A21" s="190" t="n">
        <v>9</v>
      </c>
      <c r="B21" s="13">
        <f>Playoff!AB28</f>
        <v/>
      </c>
      <c r="C21" s="192" t="inlineStr">
        <is>
          <t>Perdente ottavi di finale</t>
        </is>
      </c>
      <c r="D21" s="192"/>
      <c r="E21" s="192"/>
    </row>
    <row r="22">
      <c r="A22" s="190" t="n">
        <v>9</v>
      </c>
      <c r="B22" s="13">
        <f>Playoff!AB31</f>
        <v/>
      </c>
      <c r="C22" s="192" t="inlineStr">
        <is>
          <t>Perdente ottavi di finale</t>
        </is>
      </c>
      <c r="D22" s="192"/>
      <c r="E22" s="192"/>
    </row>
    <row r="23">
      <c r="A23" s="190" t="n">
        <v>17</v>
      </c>
      <c r="B23" s="13">
        <f>IFERROR(VLOOKUP("A3",areaCercaDatiPerPosizioneSquadre,2,FALSE),"(A3)")</f>
        <v/>
      </c>
      <c r="C23" s="192" t="inlineStr">
        <is>
          <t>Girone A - 3a classificata</t>
        </is>
      </c>
      <c r="D23" s="192"/>
      <c r="E23" s="192"/>
    </row>
    <row r="24">
      <c r="A24" s="190" t="n">
        <v>17</v>
      </c>
      <c r="B24" s="13">
        <f>IFERROR(VLOOKUP("A4",areaCercaDatiPerPosizioneSquadre,2,FALSE),"(A4)")</f>
        <v/>
      </c>
      <c r="C24" s="192" t="inlineStr">
        <is>
          <t>Girone A - 4a classificata</t>
        </is>
      </c>
      <c r="D24" s="192"/>
      <c r="E24" s="192"/>
    </row>
    <row r="25">
      <c r="A25" s="190" t="n">
        <v>17</v>
      </c>
      <c r="B25" s="13">
        <f>IFERROR(VLOOKUP("A5",areaCercaDatiPerPosizioneSquadre,2,FALSE),"(A5)")</f>
        <v/>
      </c>
      <c r="C25" s="192" t="inlineStr">
        <is>
          <t>Girone A - 5a classificata</t>
        </is>
      </c>
      <c r="D25" s="192"/>
      <c r="E25" s="192"/>
    </row>
    <row r="26">
      <c r="A26" s="190" t="n">
        <v>17</v>
      </c>
      <c r="B26" s="13">
        <f>IFERROR(VLOOKUP("A6",areaCercaDatiPerPosizioneSquadre,2,FALSE),"(A6)")</f>
        <v/>
      </c>
      <c r="C26" s="192" t="inlineStr">
        <is>
          <t>Girone A - 6a classificata</t>
        </is>
      </c>
      <c r="D26" s="192"/>
      <c r="E26" s="192"/>
    </row>
    <row r="27">
      <c r="A27" s="190" t="n">
        <v>17</v>
      </c>
      <c r="B27" s="13">
        <f>IFERROR(VLOOKUP("A7",areaCercaDatiPerPosizioneSquadre,2,FALSE),"(A7)")</f>
        <v/>
      </c>
      <c r="C27" s="192" t="inlineStr">
        <is>
          <t>Girone A - 7a classificata</t>
        </is>
      </c>
      <c r="D27" s="192"/>
      <c r="E27" s="192"/>
    </row>
    <row r="28">
      <c r="A28" s="190" t="n">
        <v>17</v>
      </c>
      <c r="B28" s="13">
        <f>IFERROR(VLOOKUP("A8",areaCercaDatiPerPosizioneSquadre,2,FALSE),"(A8)")</f>
        <v/>
      </c>
      <c r="C28" s="192" t="inlineStr">
        <is>
          <t>Girone A - 8a classificata</t>
        </is>
      </c>
      <c r="D28" s="192"/>
      <c r="E28" s="192"/>
    </row>
    <row r="29">
      <c r="A29" s="190" t="n">
        <v>17</v>
      </c>
      <c r="B29" s="13">
        <f>IFERROR(VLOOKUP("A9",areaCercaDatiPerPosizioneSquadre,2,FALSE),"(A9)")</f>
        <v/>
      </c>
      <c r="C29" s="192" t="inlineStr">
        <is>
          <t>Girone A - 9a classificata</t>
        </is>
      </c>
      <c r="D29" s="192"/>
      <c r="E29" s="192"/>
    </row>
    <row r="30">
      <c r="A30" s="190" t="n">
        <v>17</v>
      </c>
      <c r="B30" s="13">
        <f>IFERROR(VLOOKUP("A10",areaCercaDatiPerPosizioneSquadre,2,FALSE),"(A10)")</f>
        <v/>
      </c>
      <c r="C30" s="192" t="inlineStr">
        <is>
          <t>Girone A - 10a classificata</t>
        </is>
      </c>
      <c r="D30" s="192"/>
      <c r="E30" s="192"/>
    </row>
    <row r="31">
      <c r="A31" s="190" t="n">
        <v>17</v>
      </c>
      <c r="B31" s="13">
        <f>IFERROR(VLOOKUP("B3",areaCercaDatiPerPosizioneSquadre,2,FALSE),"(B3)")</f>
        <v/>
      </c>
      <c r="C31" s="192" t="inlineStr">
        <is>
          <t>Girone B - 3a classificata</t>
        </is>
      </c>
      <c r="D31" s="192"/>
      <c r="E31" s="192"/>
    </row>
    <row r="32">
      <c r="A32" s="190" t="n">
        <v>17</v>
      </c>
      <c r="B32" s="13">
        <f>IFERROR(VLOOKUP("B4",areaCercaDatiPerPosizioneSquadre,2,FALSE),"(B4)")</f>
        <v/>
      </c>
      <c r="C32" s="192" t="inlineStr">
        <is>
          <t>Girone B - 4a classificata</t>
        </is>
      </c>
      <c r="D32" s="192"/>
      <c r="E32" s="192"/>
    </row>
    <row r="33">
      <c r="A33" s="190" t="n">
        <v>17</v>
      </c>
      <c r="B33" s="13">
        <f>IFERROR(VLOOKUP("B5",areaCercaDatiPerPosizioneSquadre,2,FALSE),"(B5)")</f>
        <v/>
      </c>
      <c r="C33" s="192" t="inlineStr">
        <is>
          <t>Girone B - 5a classificata</t>
        </is>
      </c>
      <c r="D33" s="192"/>
      <c r="E33" s="192"/>
    </row>
    <row r="34">
      <c r="A34" s="190" t="n">
        <v>17</v>
      </c>
      <c r="B34" s="13">
        <f>IFERROR(VLOOKUP("B6",areaCercaDatiPerPosizioneSquadre,2,FALSE),"(B6)")</f>
        <v/>
      </c>
      <c r="C34" s="192" t="inlineStr">
        <is>
          <t>Girone B - 6a classificata</t>
        </is>
      </c>
      <c r="D34" s="192"/>
      <c r="E34" s="192"/>
    </row>
    <row r="35">
      <c r="A35" s="190" t="n">
        <v>17</v>
      </c>
      <c r="B35" s="13">
        <f>IFERROR(VLOOKUP("B7",areaCercaDatiPerPosizioneSquadre,2,FALSE),"(B7)")</f>
        <v/>
      </c>
      <c r="C35" s="192" t="inlineStr">
        <is>
          <t>Girone B - 7a classificata</t>
        </is>
      </c>
      <c r="D35" s="192"/>
      <c r="E35" s="192"/>
    </row>
    <row r="36">
      <c r="A36" s="190" t="n">
        <v>17</v>
      </c>
      <c r="B36" s="13">
        <f>IFERROR(VLOOKUP("B8",areaCercaDatiPerPosizioneSquadre,2,FALSE),"(B8)")</f>
        <v/>
      </c>
      <c r="C36" s="192" t="inlineStr">
        <is>
          <t>Girone B - 8a classificata</t>
        </is>
      </c>
      <c r="D36" s="192"/>
      <c r="E36" s="192"/>
    </row>
    <row r="37">
      <c r="A37" s="190" t="n">
        <v>17</v>
      </c>
      <c r="B37" s="13">
        <f>IFERROR(VLOOKUP("B9",areaCercaDatiPerPosizioneSquadre,2,FALSE),"(B9)")</f>
        <v/>
      </c>
      <c r="C37" s="192" t="inlineStr">
        <is>
          <t>Girone B - 9a classificata</t>
        </is>
      </c>
      <c r="D37" s="192"/>
      <c r="E37" s="192"/>
    </row>
    <row r="38">
      <c r="A38" s="190" t="n">
        <v>17</v>
      </c>
      <c r="B38" s="13">
        <f>IFERROR(VLOOKUP("B10",areaCercaDatiPerPosizioneSquadre,2,FALSE),"(B10)")</f>
        <v/>
      </c>
      <c r="C38" s="192" t="inlineStr">
        <is>
          <t>Girone B - 10a classificata</t>
        </is>
      </c>
      <c r="D38" s="192"/>
      <c r="E38" s="192"/>
    </row>
    <row r="39">
      <c r="A39" s="190" t="n">
        <v>17</v>
      </c>
      <c r="B39" s="13">
        <f>IFERROR(VLOOKUP("C3",areaCercaDatiPerPosizioneSquadre,2,FALSE),"(C3)")</f>
        <v/>
      </c>
      <c r="C39" s="192" t="inlineStr">
        <is>
          <t>Girone C - 3a classificata</t>
        </is>
      </c>
      <c r="D39" s="192"/>
      <c r="E39" s="192"/>
    </row>
    <row r="40">
      <c r="A40" s="190" t="n">
        <v>17</v>
      </c>
      <c r="B40" s="13">
        <f>IFERROR(VLOOKUP("C4",areaCercaDatiPerPosizioneSquadre,2,FALSE),"(C4)")</f>
        <v/>
      </c>
      <c r="C40" s="192" t="inlineStr">
        <is>
          <t>Girone C - 4a classificata</t>
        </is>
      </c>
      <c r="D40" s="192"/>
      <c r="E40" s="192"/>
    </row>
    <row r="41">
      <c r="A41" s="190" t="n">
        <v>17</v>
      </c>
      <c r="B41" s="13">
        <f>IFERROR(VLOOKUP("C5",areaCercaDatiPerPosizioneSquadre,2,FALSE),"(C5)")</f>
        <v/>
      </c>
      <c r="C41" s="192" t="inlineStr">
        <is>
          <t>Girone C - 5a classificata</t>
        </is>
      </c>
      <c r="D41" s="192"/>
      <c r="E41" s="192"/>
    </row>
    <row r="42">
      <c r="A42" s="190" t="n">
        <v>17</v>
      </c>
      <c r="B42" s="13">
        <f>IFERROR(VLOOKUP("C6",areaCercaDatiPerPosizioneSquadre,2,FALSE),"(C6)")</f>
        <v/>
      </c>
      <c r="C42" s="192" t="inlineStr">
        <is>
          <t>Girone C - 6a classificata</t>
        </is>
      </c>
      <c r="D42" s="192"/>
      <c r="E42" s="192"/>
    </row>
    <row r="43">
      <c r="A43" s="190" t="n">
        <v>17</v>
      </c>
      <c r="B43" s="13">
        <f>IFERROR(VLOOKUP("C7",areaCercaDatiPerPosizioneSquadre,2,FALSE),"(C7)")</f>
        <v/>
      </c>
      <c r="C43" s="192" t="inlineStr">
        <is>
          <t>Girone C - 7a classificata</t>
        </is>
      </c>
      <c r="D43" s="192"/>
      <c r="E43" s="192"/>
    </row>
    <row r="44">
      <c r="A44" s="190" t="n">
        <v>17</v>
      </c>
      <c r="B44" s="13">
        <f>IFERROR(VLOOKUP("C8",areaCercaDatiPerPosizioneSquadre,2,FALSE),"(C8)")</f>
        <v/>
      </c>
      <c r="C44" s="192" t="inlineStr">
        <is>
          <t>Girone C - 8a classificata</t>
        </is>
      </c>
      <c r="D44" s="192"/>
      <c r="E44" s="192"/>
    </row>
    <row r="45">
      <c r="A45" s="190" t="n">
        <v>17</v>
      </c>
      <c r="B45" s="13">
        <f>IFERROR(VLOOKUP("C9",areaCercaDatiPerPosizioneSquadre,2,FALSE),"(C9)")</f>
        <v/>
      </c>
      <c r="C45" s="192" t="inlineStr">
        <is>
          <t>Girone C - 9a classificata</t>
        </is>
      </c>
      <c r="D45" s="192"/>
      <c r="E45" s="192"/>
    </row>
    <row r="46">
      <c r="A46" s="190" t="n">
        <v>17</v>
      </c>
      <c r="B46" s="13">
        <f>IFERROR(VLOOKUP("C10",areaCercaDatiPerPosizioneSquadre,2,FALSE),"(C10)")</f>
        <v/>
      </c>
      <c r="C46" s="192" t="inlineStr">
        <is>
          <t>Girone C - 10a classificata</t>
        </is>
      </c>
      <c r="D46" s="192"/>
      <c r="E46" s="192"/>
    </row>
    <row r="47">
      <c r="A47" s="190" t="n">
        <v>17</v>
      </c>
      <c r="B47" s="13">
        <f>IFERROR(VLOOKUP("D3",areaCercaDatiPerPosizioneSquadre,2,FALSE),"(D3)")</f>
        <v/>
      </c>
      <c r="C47" s="192" t="inlineStr">
        <is>
          <t>Girone D - 3a classificata</t>
        </is>
      </c>
      <c r="D47" s="192"/>
      <c r="E47" s="192"/>
    </row>
    <row r="48">
      <c r="A48" s="190" t="n">
        <v>17</v>
      </c>
      <c r="B48" s="13">
        <f>IFERROR(VLOOKUP("D4",areaCercaDatiPerPosizioneSquadre,2,FALSE),"(D4)")</f>
        <v/>
      </c>
      <c r="C48" s="192" t="inlineStr">
        <is>
          <t>Girone D - 4a classificata</t>
        </is>
      </c>
      <c r="D48" s="192"/>
      <c r="E48" s="192"/>
    </row>
    <row r="49">
      <c r="A49" s="190" t="n">
        <v>17</v>
      </c>
      <c r="B49" s="13">
        <f>IFERROR(VLOOKUP("D5",areaCercaDatiPerPosizioneSquadre,2,FALSE),"(D5)")</f>
        <v/>
      </c>
      <c r="C49" s="192" t="inlineStr">
        <is>
          <t>Girone D - 5a classificata</t>
        </is>
      </c>
      <c r="D49" s="192"/>
      <c r="E49" s="192"/>
    </row>
    <row r="50">
      <c r="A50" s="190" t="n">
        <v>17</v>
      </c>
      <c r="B50" s="13">
        <f>IFERROR(VLOOKUP("D6",areaCercaDatiPerPosizioneSquadre,2,FALSE),"(D6)")</f>
        <v/>
      </c>
      <c r="C50" s="192" t="inlineStr">
        <is>
          <t>Girone D - 6a classificata</t>
        </is>
      </c>
      <c r="D50" s="192"/>
      <c r="E50" s="192"/>
    </row>
    <row r="51">
      <c r="A51" s="190" t="n">
        <v>17</v>
      </c>
      <c r="B51" s="13">
        <f>IFERROR(VLOOKUP("D7",areaCercaDatiPerPosizioneSquadre,2,FALSE),"(D7)")</f>
        <v/>
      </c>
      <c r="C51" s="192" t="inlineStr">
        <is>
          <t>Girone D - 7a classificata</t>
        </is>
      </c>
      <c r="D51" s="192"/>
      <c r="E51" s="192"/>
    </row>
    <row r="52">
      <c r="A52" s="190" t="n">
        <v>17</v>
      </c>
      <c r="B52" s="13">
        <f>IFERROR(VLOOKUP("D8",areaCercaDatiPerPosizioneSquadre,2,FALSE),"(D8)")</f>
        <v/>
      </c>
      <c r="C52" s="192" t="inlineStr">
        <is>
          <t>Girone D - 8a classificata</t>
        </is>
      </c>
      <c r="D52" s="192"/>
      <c r="E52" s="192"/>
    </row>
    <row r="53">
      <c r="A53" s="190" t="n">
        <v>17</v>
      </c>
      <c r="B53" s="13">
        <f>IFERROR(VLOOKUP("D9",areaCercaDatiPerPosizioneSquadre,2,FALSE),"(D9)")</f>
        <v/>
      </c>
      <c r="C53" s="192" t="inlineStr">
        <is>
          <t>Girone D - 9a classificata</t>
        </is>
      </c>
      <c r="D53" s="192"/>
      <c r="E53" s="192"/>
    </row>
    <row r="54">
      <c r="A54" s="190" t="n">
        <v>17</v>
      </c>
      <c r="B54" s="13">
        <f>IFERROR(VLOOKUP("D10",areaCercaDatiPerPosizioneSquadre,2,FALSE),"(D10)")</f>
        <v/>
      </c>
      <c r="C54" s="192" t="inlineStr">
        <is>
          <t>Girone D - 10a classificata</t>
        </is>
      </c>
      <c r="D54" s="192"/>
      <c r="E54" s="192"/>
    </row>
    <row r="55">
      <c r="A55" s="190" t="n">
        <v>17</v>
      </c>
      <c r="B55" s="13">
        <f>IFERROR(VLOOKUP("E3",areaCercaDatiPerPosizioneSquadre,2,FALSE),"(E3)")</f>
        <v/>
      </c>
      <c r="C55" s="192" t="inlineStr">
        <is>
          <t>Girone E - 3a classificata</t>
        </is>
      </c>
      <c r="D55" s="192"/>
      <c r="E55" s="192"/>
    </row>
    <row r="56">
      <c r="A56" s="190" t="n">
        <v>17</v>
      </c>
      <c r="B56" s="13">
        <f>IFERROR(VLOOKUP("E4",areaCercaDatiPerPosizioneSquadre,2,FALSE),"(E4)")</f>
        <v/>
      </c>
      <c r="C56" s="192" t="inlineStr">
        <is>
          <t>Girone E - 4a classificata</t>
        </is>
      </c>
      <c r="D56" s="192"/>
      <c r="E56" s="192"/>
    </row>
    <row r="57">
      <c r="A57" s="190" t="n">
        <v>17</v>
      </c>
      <c r="B57" s="13">
        <f>IFERROR(VLOOKUP("E5",areaCercaDatiPerPosizioneSquadre,2,FALSE),"(E5)")</f>
        <v/>
      </c>
      <c r="C57" s="192" t="inlineStr">
        <is>
          <t>Girone E - 5a classificata</t>
        </is>
      </c>
      <c r="D57" s="192"/>
      <c r="E57" s="192"/>
    </row>
    <row r="58">
      <c r="A58" s="190" t="n">
        <v>17</v>
      </c>
      <c r="B58" s="13">
        <f>IFERROR(VLOOKUP("E6",areaCercaDatiPerPosizioneSquadre,2,FALSE),"(E6)")</f>
        <v/>
      </c>
      <c r="C58" s="192" t="inlineStr">
        <is>
          <t>Girone E - 6a classificata</t>
        </is>
      </c>
      <c r="D58" s="192"/>
      <c r="E58" s="192"/>
    </row>
    <row r="59">
      <c r="A59" s="190" t="n">
        <v>17</v>
      </c>
      <c r="B59" s="13">
        <f>IFERROR(VLOOKUP("E7",areaCercaDatiPerPosizioneSquadre,2,FALSE),"(E7)")</f>
        <v/>
      </c>
      <c r="C59" s="192" t="inlineStr">
        <is>
          <t>Girone E - 7a classificata</t>
        </is>
      </c>
      <c r="D59" s="192"/>
      <c r="E59" s="192"/>
    </row>
    <row r="60">
      <c r="A60" s="190" t="n">
        <v>17</v>
      </c>
      <c r="B60" s="13">
        <f>IFERROR(VLOOKUP("E8",areaCercaDatiPerPosizioneSquadre,2,FALSE),"(E8)")</f>
        <v/>
      </c>
      <c r="C60" s="192" t="inlineStr">
        <is>
          <t>Girone E - 8a classificata</t>
        </is>
      </c>
      <c r="D60" s="192"/>
      <c r="E60" s="192"/>
    </row>
    <row r="61">
      <c r="A61" s="190" t="n">
        <v>17</v>
      </c>
      <c r="B61" s="13">
        <f>IFERROR(VLOOKUP("E9",areaCercaDatiPerPosizioneSquadre,2,FALSE),"(E9)")</f>
        <v/>
      </c>
      <c r="C61" s="192" t="inlineStr">
        <is>
          <t>Girone E - 9a classificata</t>
        </is>
      </c>
      <c r="D61" s="192"/>
      <c r="E61" s="192"/>
    </row>
    <row r="62">
      <c r="A62" s="190" t="n">
        <v>17</v>
      </c>
      <c r="B62" s="13">
        <f>IFERROR(VLOOKUP("E10",areaCercaDatiPerPosizioneSquadre,2,FALSE),"(E10)")</f>
        <v/>
      </c>
      <c r="C62" s="192" t="inlineStr">
        <is>
          <t>Girone E - 10a classificata</t>
        </is>
      </c>
      <c r="D62" s="192"/>
      <c r="E62" s="192"/>
    </row>
    <row r="63">
      <c r="A63" s="190" t="n">
        <v>17</v>
      </c>
      <c r="B63" s="13">
        <f>IFERROR(VLOOKUP("F3",areaCercaDatiPerPosizioneSquadre,2,FALSE),"(F3)")</f>
        <v/>
      </c>
      <c r="C63" s="192" t="inlineStr">
        <is>
          <t>Girone F - 3a classificata</t>
        </is>
      </c>
      <c r="D63" s="192"/>
      <c r="E63" s="192"/>
    </row>
    <row r="64">
      <c r="A64" s="190" t="n">
        <v>17</v>
      </c>
      <c r="B64" s="13">
        <f>IFERROR(VLOOKUP("F4",areaCercaDatiPerPosizioneSquadre,2,FALSE),"(F4)")</f>
        <v/>
      </c>
      <c r="C64" s="192" t="inlineStr">
        <is>
          <t>Girone F - 4a classificata</t>
        </is>
      </c>
      <c r="D64" s="192"/>
      <c r="E64" s="192"/>
    </row>
    <row r="65">
      <c r="A65" s="190" t="n">
        <v>17</v>
      </c>
      <c r="B65" s="13">
        <f>IFERROR(VLOOKUP("F5",areaCercaDatiPerPosizioneSquadre,2,FALSE),"(F5)")</f>
        <v/>
      </c>
      <c r="C65" s="192" t="inlineStr">
        <is>
          <t>Girone F - 5a classificata</t>
        </is>
      </c>
      <c r="D65" s="192"/>
      <c r="E65" s="192"/>
    </row>
    <row r="66">
      <c r="A66" s="190" t="n">
        <v>17</v>
      </c>
      <c r="B66" s="13">
        <f>IFERROR(VLOOKUP("F6",areaCercaDatiPerPosizioneSquadre,2,FALSE),"(F6)")</f>
        <v/>
      </c>
      <c r="C66" s="192" t="inlineStr">
        <is>
          <t>Girone F - 6a classificata</t>
        </is>
      </c>
      <c r="D66" s="192"/>
      <c r="E66" s="192"/>
    </row>
    <row r="67">
      <c r="A67" s="190" t="n">
        <v>17</v>
      </c>
      <c r="B67" s="13">
        <f>IFERROR(VLOOKUP("F7",areaCercaDatiPerPosizioneSquadre,2,FALSE),"(F7)")</f>
        <v/>
      </c>
      <c r="C67" s="192" t="inlineStr">
        <is>
          <t>Girone F - 7a classificata</t>
        </is>
      </c>
      <c r="D67" s="192"/>
      <c r="E67" s="192"/>
    </row>
    <row r="68">
      <c r="A68" s="190" t="n">
        <v>17</v>
      </c>
      <c r="B68" s="13">
        <f>IFERROR(VLOOKUP("F8",areaCercaDatiPerPosizioneSquadre,2,FALSE),"(F8)")</f>
        <v/>
      </c>
      <c r="C68" s="192" t="inlineStr">
        <is>
          <t>Girone F - 8a classificata</t>
        </is>
      </c>
      <c r="D68" s="192"/>
      <c r="E68" s="192"/>
    </row>
    <row r="69">
      <c r="A69" s="190" t="n">
        <v>17</v>
      </c>
      <c r="B69" s="13">
        <f>IFERROR(VLOOKUP("F9",areaCercaDatiPerPosizioneSquadre,2,FALSE),"(F9)")</f>
        <v/>
      </c>
      <c r="C69" s="192" t="inlineStr">
        <is>
          <t>Girone F - 9a classificata</t>
        </is>
      </c>
      <c r="D69" s="192"/>
      <c r="E69" s="192"/>
    </row>
    <row r="70">
      <c r="A70" s="190" t="n">
        <v>17</v>
      </c>
      <c r="B70" s="13">
        <f>IFERROR(VLOOKUP("F10",areaCercaDatiPerPosizioneSquadre,2,FALSE),"(F10)")</f>
        <v/>
      </c>
      <c r="C70" s="192" t="inlineStr">
        <is>
          <t>Girone F - 10a classificata</t>
        </is>
      </c>
      <c r="D70" s="192"/>
      <c r="E70" s="192"/>
    </row>
    <row r="71">
      <c r="A71" s="190" t="n">
        <v>17</v>
      </c>
      <c r="B71" s="13">
        <f>IFERROR(VLOOKUP("G3",areaCercaDatiPerPosizioneSquadre,2,FALSE),"(G3)")</f>
        <v/>
      </c>
      <c r="C71" s="192" t="inlineStr">
        <is>
          <t>Girone G - 3a classificata</t>
        </is>
      </c>
      <c r="D71" s="192"/>
      <c r="E71" s="192"/>
    </row>
    <row r="72">
      <c r="A72" s="190" t="n">
        <v>17</v>
      </c>
      <c r="B72" s="13">
        <f>IFERROR(VLOOKUP("G4",areaCercaDatiPerPosizioneSquadre,2,FALSE),"(G4)")</f>
        <v/>
      </c>
      <c r="C72" s="192" t="inlineStr">
        <is>
          <t>Girone G - 4a classificata</t>
        </is>
      </c>
      <c r="D72" s="192"/>
      <c r="E72" s="192"/>
    </row>
    <row r="73">
      <c r="A73" s="190" t="n">
        <v>17</v>
      </c>
      <c r="B73" s="13">
        <f>IFERROR(VLOOKUP("G5",areaCercaDatiPerPosizioneSquadre,2,FALSE),"(G5)")</f>
        <v/>
      </c>
      <c r="C73" s="192" t="inlineStr">
        <is>
          <t>Girone G - 5a classificata</t>
        </is>
      </c>
      <c r="D73" s="192"/>
      <c r="E73" s="192"/>
    </row>
    <row r="74">
      <c r="A74" s="190" t="n">
        <v>17</v>
      </c>
      <c r="B74" s="13">
        <f>IFERROR(VLOOKUP("G6",areaCercaDatiPerPosizioneSquadre,2,FALSE),"(G6)")</f>
        <v/>
      </c>
      <c r="C74" s="192" t="inlineStr">
        <is>
          <t>Girone G - 6a classificata</t>
        </is>
      </c>
      <c r="D74" s="192"/>
      <c r="E74" s="192"/>
    </row>
    <row r="75">
      <c r="A75" s="190" t="n">
        <v>17</v>
      </c>
      <c r="B75" s="13">
        <f>IFERROR(VLOOKUP("G7",areaCercaDatiPerPosizioneSquadre,2,FALSE),"(G7)")</f>
        <v/>
      </c>
      <c r="C75" s="192" t="inlineStr">
        <is>
          <t>Girone G - 7a classificata</t>
        </is>
      </c>
      <c r="D75" s="192"/>
      <c r="E75" s="192"/>
    </row>
    <row r="76">
      <c r="A76" s="190" t="n">
        <v>17</v>
      </c>
      <c r="B76" s="13">
        <f>IFERROR(VLOOKUP("G8",areaCercaDatiPerPosizioneSquadre,2,FALSE),"(G8)")</f>
        <v/>
      </c>
      <c r="C76" s="192" t="inlineStr">
        <is>
          <t>Girone G - 8a classificata</t>
        </is>
      </c>
      <c r="D76" s="192"/>
      <c r="E76" s="192"/>
    </row>
    <row r="77">
      <c r="A77" s="190" t="n">
        <v>17</v>
      </c>
      <c r="B77" s="13">
        <f>IFERROR(VLOOKUP("G9",areaCercaDatiPerPosizioneSquadre,2,FALSE),"(G9)")</f>
        <v/>
      </c>
      <c r="C77" s="192" t="inlineStr">
        <is>
          <t>Girone G - 9a classificata</t>
        </is>
      </c>
      <c r="D77" s="192"/>
      <c r="E77" s="192"/>
    </row>
    <row r="78">
      <c r="A78" s="190" t="n">
        <v>17</v>
      </c>
      <c r="B78" s="13">
        <f>IFERROR(VLOOKUP("G10",areaCercaDatiPerPosizioneSquadre,2,FALSE),"(G10)")</f>
        <v/>
      </c>
      <c r="C78" s="192" t="inlineStr">
        <is>
          <t>Girone G - 10a classificata</t>
        </is>
      </c>
      <c r="D78" s="192"/>
      <c r="E78" s="192"/>
    </row>
    <row r="79">
      <c r="A79" s="190" t="n">
        <v>17</v>
      </c>
      <c r="B79" s="13">
        <f>IFERROR(VLOOKUP("H3",areaCercaDatiPerPosizioneSquadre,2,FALSE),"(H3)")</f>
        <v/>
      </c>
      <c r="C79" s="192" t="inlineStr">
        <is>
          <t>Girone H - 3a classificata</t>
        </is>
      </c>
      <c r="D79" s="192"/>
      <c r="E79" s="192"/>
    </row>
    <row r="80">
      <c r="A80" s="190" t="n">
        <v>17</v>
      </c>
      <c r="B80" s="13">
        <f>IFERROR(VLOOKUP("H4",areaCercaDatiPerPosizioneSquadre,2,FALSE),"(H4)")</f>
        <v/>
      </c>
      <c r="C80" s="192" t="inlineStr">
        <is>
          <t>Girone H - 4a classificata</t>
        </is>
      </c>
      <c r="D80" s="192"/>
      <c r="E80" s="192"/>
    </row>
    <row r="81">
      <c r="A81" s="190" t="n">
        <v>17</v>
      </c>
      <c r="B81" s="13">
        <f>IFERROR(VLOOKUP("H5",areaCercaDatiPerPosizioneSquadre,2,FALSE),"(H5)")</f>
        <v/>
      </c>
      <c r="C81" s="192" t="inlineStr">
        <is>
          <t>Girone H - 5a classificata</t>
        </is>
      </c>
      <c r="D81" s="192"/>
      <c r="E81" s="192"/>
    </row>
    <row r="82">
      <c r="A82" s="190" t="n">
        <v>17</v>
      </c>
      <c r="B82" s="13">
        <f>IFERROR(VLOOKUP("H6",areaCercaDatiPerPosizioneSquadre,2,FALSE),"(H6)")</f>
        <v/>
      </c>
      <c r="C82" s="192" t="inlineStr">
        <is>
          <t>Girone H - 6a classificata</t>
        </is>
      </c>
      <c r="D82" s="192"/>
      <c r="E82" s="192"/>
    </row>
    <row r="83">
      <c r="A83" s="190" t="n">
        <v>17</v>
      </c>
      <c r="B83" s="13">
        <f>IFERROR(VLOOKUP("H7",areaCercaDatiPerPosizioneSquadre,2,FALSE),"(H7)")</f>
        <v/>
      </c>
      <c r="C83" s="192" t="inlineStr">
        <is>
          <t>Girone H - 7a classificata</t>
        </is>
      </c>
      <c r="D83" s="192"/>
      <c r="E83" s="192"/>
    </row>
    <row r="84">
      <c r="A84" s="190" t="n">
        <v>17</v>
      </c>
      <c r="B84" s="13">
        <f>IFERROR(VLOOKUP("H8",areaCercaDatiPerPosizioneSquadre,2,FALSE),"(H8)")</f>
        <v/>
      </c>
      <c r="C84" s="192" t="inlineStr">
        <is>
          <t>Girone H - 8a classificata</t>
        </is>
      </c>
      <c r="D84" s="192"/>
      <c r="E84" s="192"/>
    </row>
    <row r="85">
      <c r="A85" s="190" t="n">
        <v>17</v>
      </c>
      <c r="B85" s="13">
        <f>IFERROR(VLOOKUP("H9",areaCercaDatiPerPosizioneSquadre,2,FALSE),"(H9)")</f>
        <v/>
      </c>
      <c r="C85" s="192" t="inlineStr">
        <is>
          <t>Girone H - 9a classificata</t>
        </is>
      </c>
      <c r="D85" s="192"/>
      <c r="E85" s="192"/>
    </row>
    <row r="86">
      <c r="A86" s="190" t="n">
        <v>17</v>
      </c>
      <c r="B86" s="13">
        <f>IFERROR(VLOOKUP("H10",areaCercaDatiPerPosizioneSquadre,2,FALSE),"(H10)")</f>
        <v/>
      </c>
      <c r="C86" s="192" t="inlineStr">
        <is>
          <t>Girone H - 10a classificata</t>
        </is>
      </c>
      <c r="D86" s="192"/>
      <c r="E86" s="192"/>
    </row>
    <row r="87">
      <c r="A87" s="190" t="n">
        <v>81</v>
      </c>
      <c r="B87" s="13">
        <f>IFERROR(VLOOKUP("I1",areaCercaDatiPerPosizioneSquadre,2,FALSE),"(I1)")</f>
        <v/>
      </c>
      <c r="C87" s="192" t="inlineStr">
        <is>
          <t>Girone I (non competitivo) - 1a classificata</t>
        </is>
      </c>
      <c r="D87" s="192"/>
      <c r="E87" s="192"/>
    </row>
    <row r="88">
      <c r="A88" s="190" t="n">
        <v>81</v>
      </c>
      <c r="B88" s="13">
        <f>IFERROR(VLOOKUP("I2",areaCercaDatiPerPosizioneSquadre,2,FALSE),"(I2)")</f>
        <v/>
      </c>
      <c r="C88" s="192" t="inlineStr">
        <is>
          <t>Girone I (non competitivo) - 2a classificata</t>
        </is>
      </c>
      <c r="D88" s="192"/>
      <c r="E88" s="192"/>
    </row>
    <row r="89">
      <c r="A89" s="190" t="n">
        <v>81</v>
      </c>
      <c r="B89" s="13">
        <f>IFERROR(VLOOKUP("I3",areaCercaDatiPerPosizioneSquadre,2,FALSE),"(I3)")</f>
        <v/>
      </c>
      <c r="C89" s="192" t="inlineStr">
        <is>
          <t>Girone I (non competitivo) - 3a classificata</t>
        </is>
      </c>
      <c r="D89" s="192"/>
      <c r="E89" s="192"/>
    </row>
    <row r="90">
      <c r="A90" s="190" t="n">
        <v>81</v>
      </c>
      <c r="B90" s="13">
        <f>IFERROR(VLOOKUP("I4",areaCercaDatiPerPosizioneSquadre,2,FALSE),"(I4)")</f>
        <v/>
      </c>
      <c r="C90" s="192" t="inlineStr">
        <is>
          <t>Girone I (non competitivo) - 4a classificata</t>
        </is>
      </c>
      <c r="D90" s="192"/>
      <c r="E90" s="192"/>
    </row>
    <row r="91">
      <c r="A91" s="190" t="n">
        <v>81</v>
      </c>
      <c r="B91" s="13">
        <f>IFERROR(VLOOKUP("I5",areaCercaDatiPerPosizioneSquadre,2,FALSE),"(I5)")</f>
        <v/>
      </c>
      <c r="C91" s="192" t="inlineStr">
        <is>
          <t>Girone I (non competitivo) - 5a classificata</t>
        </is>
      </c>
      <c r="D91" s="192"/>
      <c r="E91" s="192"/>
    </row>
    <row r="92">
      <c r="A92" s="190" t="n">
        <v>81</v>
      </c>
      <c r="B92" s="13">
        <f>IFERROR(VLOOKUP("I6",areaCercaDatiPerPosizioneSquadre,2,FALSE),"(I6)")</f>
        <v/>
      </c>
      <c r="C92" s="192" t="inlineStr">
        <is>
          <t>Girone I (non competitivo) - 6a classificata</t>
        </is>
      </c>
      <c r="D92" s="192"/>
      <c r="E92" s="192"/>
    </row>
    <row r="93">
      <c r="A93" s="190" t="n">
        <v>81</v>
      </c>
      <c r="B93" s="13">
        <f>IFERROR(VLOOKUP("I7",areaCercaDatiPerPosizioneSquadre,2,FALSE),"(I7)")</f>
        <v/>
      </c>
      <c r="C93" s="192" t="inlineStr">
        <is>
          <t>Girone I (non competitivo) - 7a classificata</t>
        </is>
      </c>
      <c r="D93" s="192"/>
      <c r="E93" s="192"/>
    </row>
    <row r="94">
      <c r="A94" s="190" t="n">
        <v>81</v>
      </c>
      <c r="B94" s="13">
        <f>IFERROR(VLOOKUP("I8",areaCercaDatiPerPosizioneSquadre,2,FALSE),"(I8)")</f>
        <v/>
      </c>
      <c r="C94" s="192" t="inlineStr">
        <is>
          <t>Girone I (non competitivo) - 8a classificata</t>
        </is>
      </c>
      <c r="D94" s="192"/>
      <c r="E94" s="192"/>
    </row>
    <row r="95">
      <c r="A95" s="190" t="n">
        <v>81</v>
      </c>
      <c r="B95" s="13">
        <f>IFERROR(VLOOKUP("I9",areaCercaDatiPerPosizioneSquadre,2,FALSE),"(I9)")</f>
        <v/>
      </c>
      <c r="C95" s="192" t="inlineStr">
        <is>
          <t>Girone I (non competitivo) - 9a classificata</t>
        </is>
      </c>
      <c r="D95" s="192"/>
      <c r="E95" s="192"/>
    </row>
    <row r="96">
      <c r="A96" s="190" t="n">
        <v>81</v>
      </c>
      <c r="B96" s="13">
        <f>IFERROR(VLOOKUP("I10",areaCercaDatiPerPosizioneSquadre,2,FALSE),"(I10)")</f>
        <v/>
      </c>
      <c r="C96" s="192" t="inlineStr">
        <is>
          <t>Girone I (non competitivo) - 10a classificata</t>
        </is>
      </c>
      <c r="D96" s="192"/>
      <c r="E96" s="192"/>
    </row>
    <row r="97">
      <c r="A97" s="190" t="n">
        <v>81</v>
      </c>
      <c r="B97" s="13">
        <f>IFERROR(VLOOKUP("J1",areaCercaDatiPerPosizioneSquadre,2,FALSE),"(J1)")</f>
        <v/>
      </c>
      <c r="C97" s="192" t="inlineStr">
        <is>
          <t>Girone J (non competitivo) - 1a classificata</t>
        </is>
      </c>
      <c r="D97" s="192"/>
      <c r="E97" s="192"/>
    </row>
    <row r="98">
      <c r="A98" s="190" t="n">
        <v>81</v>
      </c>
      <c r="B98" s="13">
        <f>IFERROR(VLOOKUP("J2",areaCercaDatiPerPosizioneSquadre,2,FALSE),"(J2)")</f>
        <v/>
      </c>
      <c r="C98" s="192" t="inlineStr">
        <is>
          <t>Girone J (non competitivo) - 2a classificata</t>
        </is>
      </c>
      <c r="D98" s="192"/>
      <c r="E98" s="192"/>
    </row>
    <row r="99">
      <c r="A99" s="190" t="n">
        <v>81</v>
      </c>
      <c r="B99" s="13">
        <f>IFERROR(VLOOKUP("J3",areaCercaDatiPerPosizioneSquadre,2,FALSE),"(J3)")</f>
        <v/>
      </c>
      <c r="C99" s="192" t="inlineStr">
        <is>
          <t>Girone J (non competitivo) - 3a classificata</t>
        </is>
      </c>
      <c r="D99" s="192"/>
      <c r="E99" s="192"/>
    </row>
    <row r="100">
      <c r="A100" s="190" t="n">
        <v>81</v>
      </c>
      <c r="B100" s="13">
        <f>IFERROR(VLOOKUP("J4",areaCercaDatiPerPosizioneSquadre,2,FALSE),"(J4)")</f>
        <v/>
      </c>
      <c r="C100" s="192" t="inlineStr">
        <is>
          <t>Girone J (non competitivo) - 4a classificata</t>
        </is>
      </c>
      <c r="D100" s="192"/>
      <c r="E100" s="192"/>
    </row>
    <row r="101">
      <c r="A101" s="190" t="n">
        <v>81</v>
      </c>
      <c r="B101" s="13">
        <f>IFERROR(VLOOKUP("J5",areaCercaDatiPerPosizioneSquadre,2,FALSE),"(J5)")</f>
        <v/>
      </c>
      <c r="C101" s="192" t="inlineStr">
        <is>
          <t>Girone J (non competitivo) - 5a classificata</t>
        </is>
      </c>
      <c r="D101" s="192"/>
      <c r="E101" s="192"/>
    </row>
    <row r="102">
      <c r="A102" s="190" t="n">
        <v>81</v>
      </c>
      <c r="B102" s="13">
        <f>IFERROR(VLOOKUP("J6",areaCercaDatiPerPosizioneSquadre,2,FALSE),"(J6)")</f>
        <v/>
      </c>
      <c r="C102" s="192" t="inlineStr">
        <is>
          <t>Girone J (non competitivo) - 6a classificata</t>
        </is>
      </c>
      <c r="D102" s="192"/>
      <c r="E102" s="192"/>
    </row>
    <row r="103">
      <c r="A103" s="190" t="n">
        <v>81</v>
      </c>
      <c r="B103" s="13">
        <f>IFERROR(VLOOKUP("J7",areaCercaDatiPerPosizioneSquadre,2,FALSE),"(J7)")</f>
        <v/>
      </c>
      <c r="C103" s="192" t="inlineStr">
        <is>
          <t>Girone J (non competitivo) - 7a classificata</t>
        </is>
      </c>
      <c r="D103" s="192"/>
      <c r="E103" s="192"/>
    </row>
    <row r="104">
      <c r="A104" s="190" t="n">
        <v>81</v>
      </c>
      <c r="B104" s="13">
        <f>IFERROR(VLOOKUP("J8",areaCercaDatiPerPosizioneSquadre,2,FALSE),"(J8)")</f>
        <v/>
      </c>
      <c r="C104" s="192" t="inlineStr">
        <is>
          <t>Girone J (non competitivo) - 8a classificata</t>
        </is>
      </c>
      <c r="D104" s="192"/>
      <c r="E104" s="192"/>
    </row>
    <row r="105">
      <c r="A105" s="190" t="n">
        <v>81</v>
      </c>
      <c r="B105" s="13">
        <f>IFERROR(VLOOKUP("J9",areaCercaDatiPerPosizioneSquadre,2,FALSE),"(J9)")</f>
        <v/>
      </c>
      <c r="C105" s="192" t="inlineStr">
        <is>
          <t>Girone J (non competitivo) - 9a classificata</t>
        </is>
      </c>
      <c r="D105" s="192"/>
      <c r="E105" s="192"/>
    </row>
    <row r="106">
      <c r="A106" s="190" t="n">
        <v>81</v>
      </c>
      <c r="B106" s="13">
        <f>IFERROR(VLOOKUP("J10",areaCercaDatiPerPosizioneSquadre,2,FALSE),"(J10)")</f>
        <v/>
      </c>
      <c r="C106" s="192" t="inlineStr">
        <is>
          <t>Girone J (non competitivo) - 10a classificata</t>
        </is>
      </c>
      <c r="D106" s="192"/>
      <c r="E106" s="192"/>
    </row>
    <row r="108">
      <c r="A108" s="51" t="inlineStr">
        <is>
          <t>Dalla 17a posizione in poi vale l'ordine dei rispettivi gironi, senza spareggi. In coda i gironi non competitivi I e J.</t>
        </is>
      </c>
    </row>
  </sheetData>
  <mergeCells count="103">
    <mergeCell ref="A1:C2"/>
    <mergeCell ref="A3:C3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</mergeCells>
  <pageMargins left="0.4" right="0.4" top="0.5" bottom="0.5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tabColor rgb="FF6D4C41"/>
    <outlinePr summaryBelow="1" summaryRight="1"/>
    <pageSetUpPr fitToPage="1"/>
  </sheetPr>
  <dimension ref="A1:R176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width="22" customWidth="1" min="13" max="13"/>
    <col width="22" customWidth="1" min="14" max="14"/>
    <col width="24" customWidth="1" min="15" max="15"/>
    <col width="22" customWidth="1" min="16" max="16"/>
    <col width="22" customWidth="1" min="17" max="17"/>
    <col width="22" customWidth="1" min="18" max="18"/>
  </cols>
  <sheetData>
    <row r="1" ht="22" customHeight="1">
      <c r="A1" s="52">
        <f>constNomeCampionato&amp;""</f>
        <v/>
      </c>
      <c r="E1" t="str">
        <f>IFERROR(IMAGE(constLogo1),"")</f>
        <v/>
      </c>
      <c r="I1" t="str">
        <f>IFERROR(IMAGE(constLogo2),"")</f>
        <v/>
      </c>
    </row>
    <row r="2" ht="22" customHeight="1"/>
    <row r="3" ht="22" customHeight="1">
      <c r="A3" s="52">
        <f>"DESIGNAZIONI - Stagione "&amp;constStagionaCampionato</f>
        <v/>
      </c>
    </row>
    <row r="8" ht="20" customHeight="1">
      <c r="A8" s="55">
        <f>IF('Calendario A'!A8="","",'Calendario A'!A8)</f>
        <v/>
      </c>
      <c r="B8" s="56">
        <f>IF('Calendario A'!B8="","",'Calendario A'!B8)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  <c r="M8" s="193" t="inlineStr">
        <is>
          <t>ARBITRI</t>
        </is>
      </c>
      <c r="N8" s="9" t="n"/>
      <c r="O8" s="10" t="n"/>
      <c r="P8" s="193" t="inlineStr">
        <is>
          <t>UFFICIALI DI CAMPO</t>
        </is>
      </c>
      <c r="Q8" s="9" t="n"/>
      <c r="R8" s="10" t="n"/>
    </row>
    <row r="9" ht="14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  <c r="M9" s="194" t="inlineStr">
        <is>
          <t>1o Arbitro</t>
        </is>
      </c>
      <c r="N9" s="194" t="inlineStr">
        <is>
          <t>2o Arbitro</t>
        </is>
      </c>
      <c r="O9" s="194" t="inlineStr">
        <is>
          <t>3o Arbitro/Tirocinante</t>
        </is>
      </c>
      <c r="P9" s="194" t="inlineStr">
        <is>
          <t>Referto</t>
        </is>
      </c>
      <c r="Q9" s="194" t="inlineStr">
        <is>
          <t>Cronometro</t>
        </is>
      </c>
      <c r="R9" s="194" t="inlineStr">
        <is>
          <t>Foglio Tiri</t>
        </is>
      </c>
    </row>
    <row r="10" ht="22" customHeight="1">
      <c r="A10" s="60">
        <f>IF('Calendario A'!A10="","",'Calendario A'!A10)</f>
        <v/>
      </c>
      <c r="B10" s="61">
        <f>IF('Calendario A'!B10="","",'Calendario A'!B10)</f>
        <v/>
      </c>
      <c r="C10" s="62">
        <f>IF('Calendario A'!C10="","",'Calendario A'!C10)</f>
        <v/>
      </c>
      <c r="D10" s="61">
        <f>IF('Calendario A'!D10="","",'Calendario A'!D10)</f>
        <v/>
      </c>
      <c r="E10" s="62">
        <f>IF('Calendario A'!E10="","",'Calendario A'!E10)</f>
        <v/>
      </c>
      <c r="F10" s="63">
        <f>IF('Calendario A'!F10="","",'Calendario A'!F10)</f>
        <v/>
      </c>
      <c r="G10" s="9" t="n"/>
      <c r="H10" s="9" t="n"/>
      <c r="I10" s="10" t="n"/>
      <c r="J10" s="195">
        <f>IF('Calendario A'!J10="","",'Calendario A'!J10)</f>
        <v/>
      </c>
      <c r="K10" s="64" t="inlineStr">
        <is>
          <t>-</t>
        </is>
      </c>
      <c r="L10" s="195">
        <f>IF('Calendario A'!L10="","",'Calendario A'!L10)</f>
        <v/>
      </c>
      <c r="M10" s="196" t="n"/>
      <c r="N10" s="196" t="n"/>
      <c r="O10" s="196" t="n"/>
      <c r="P10" s="196" t="n"/>
      <c r="Q10" s="196" t="n"/>
      <c r="R10" s="196" t="n"/>
    </row>
    <row r="11" ht="15" customHeight="1">
      <c r="A11" s="141" t="n"/>
      <c r="B11" s="69">
        <f>IF('Calendario A'!B11="","",'Calendario A'!B11)</f>
        <v/>
      </c>
      <c r="C11" s="9" t="n"/>
      <c r="D11" s="9" t="n"/>
      <c r="E11" s="9" t="n"/>
      <c r="F11" s="9" t="n"/>
      <c r="G11" s="9" t="n"/>
      <c r="H11" s="10" t="n"/>
      <c r="I11" s="62">
        <f>IF('Calendario A'!I11="","",'Calendario A'!I11)</f>
        <v/>
      </c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</row>
    <row r="12" ht="14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  <c r="M12" s="194" t="inlineStr">
        <is>
          <t>1o Arbitro</t>
        </is>
      </c>
      <c r="N12" s="194" t="inlineStr">
        <is>
          <t>2o Arbitro</t>
        </is>
      </c>
      <c r="O12" s="194" t="inlineStr">
        <is>
          <t>3o Arbitro/Tirocinante</t>
        </is>
      </c>
      <c r="P12" s="194" t="inlineStr">
        <is>
          <t>Referto</t>
        </is>
      </c>
      <c r="Q12" s="194" t="inlineStr">
        <is>
          <t>Cronometro</t>
        </is>
      </c>
      <c r="R12" s="194" t="inlineStr">
        <is>
          <t>Foglio Tiri</t>
        </is>
      </c>
    </row>
    <row r="13" ht="22" customHeight="1">
      <c r="A13" s="60">
        <f>IF('Calendario A'!A13="","",'Calendario A'!A13)</f>
        <v/>
      </c>
      <c r="B13" s="61">
        <f>IF('Calendario A'!B13="","",'Calendario A'!B13)</f>
        <v/>
      </c>
      <c r="C13" s="62">
        <f>IF('Calendario A'!C13="","",'Calendario A'!C13)</f>
        <v/>
      </c>
      <c r="D13" s="61">
        <f>IF('Calendario A'!D13="","",'Calendario A'!D13)</f>
        <v/>
      </c>
      <c r="E13" s="62">
        <f>IF('Calendario A'!E13="","",'Calendario A'!E13)</f>
        <v/>
      </c>
      <c r="F13" s="63">
        <f>IF('Calendario A'!F13="","",'Calendario A'!F13)</f>
        <v/>
      </c>
      <c r="G13" s="9" t="n"/>
      <c r="H13" s="9" t="n"/>
      <c r="I13" s="10" t="n"/>
      <c r="J13" s="195">
        <f>IF('Calendario A'!J13="","",'Calendario A'!J13)</f>
        <v/>
      </c>
      <c r="K13" s="64" t="inlineStr">
        <is>
          <t>-</t>
        </is>
      </c>
      <c r="L13" s="195">
        <f>IF('Calendario A'!L13="","",'Calendario A'!L13)</f>
        <v/>
      </c>
      <c r="M13" s="196" t="n"/>
      <c r="N13" s="196" t="n"/>
      <c r="O13" s="196" t="n"/>
      <c r="P13" s="196" t="n"/>
      <c r="Q13" s="196" t="n"/>
      <c r="R13" s="196" t="n"/>
    </row>
    <row r="14" ht="15" customHeight="1">
      <c r="A14" s="141" t="n"/>
      <c r="B14" s="69">
        <f>IF('Calendario A'!B14="","",'Calendario A'!B14)</f>
        <v/>
      </c>
      <c r="C14" s="9" t="n"/>
      <c r="D14" s="9" t="n"/>
      <c r="E14" s="9" t="n"/>
      <c r="F14" s="9" t="n"/>
      <c r="G14" s="9" t="n"/>
      <c r="H14" s="10" t="n"/>
      <c r="I14" s="62">
        <f>IF('Calendario A'!I14="","",'Calendario A'!I14)</f>
        <v/>
      </c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</row>
    <row r="15" ht="14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  <c r="M15" s="194" t="inlineStr">
        <is>
          <t>1o Arbitro</t>
        </is>
      </c>
      <c r="N15" s="194" t="inlineStr">
        <is>
          <t>2o Arbitro</t>
        </is>
      </c>
      <c r="O15" s="194" t="inlineStr">
        <is>
          <t>3o Arbitro/Tirocinante</t>
        </is>
      </c>
      <c r="P15" s="194" t="inlineStr">
        <is>
          <t>Referto</t>
        </is>
      </c>
      <c r="Q15" s="194" t="inlineStr">
        <is>
          <t>Cronometro</t>
        </is>
      </c>
      <c r="R15" s="194" t="inlineStr">
        <is>
          <t>Foglio Tiri</t>
        </is>
      </c>
    </row>
    <row r="16" ht="22" customHeight="1">
      <c r="A16" s="60">
        <f>IF('Calendario A'!A16="","",'Calendario A'!A16)</f>
        <v/>
      </c>
      <c r="B16" s="61">
        <f>IF('Calendario A'!B16="","",'Calendario A'!B16)</f>
        <v/>
      </c>
      <c r="C16" s="62">
        <f>IF('Calendario A'!C16="","",'Calendario A'!C16)</f>
        <v/>
      </c>
      <c r="D16" s="61">
        <f>IF('Calendario A'!D16="","",'Calendario A'!D16)</f>
        <v/>
      </c>
      <c r="E16" s="62">
        <f>IF('Calendario A'!E16="","",'Calendario A'!E16)</f>
        <v/>
      </c>
      <c r="F16" s="63">
        <f>IF('Calendario A'!F16="","",'Calendario A'!F16)</f>
        <v/>
      </c>
      <c r="G16" s="9" t="n"/>
      <c r="H16" s="9" t="n"/>
      <c r="I16" s="10" t="n"/>
      <c r="J16" s="195">
        <f>IF('Calendario A'!J16="","",'Calendario A'!J16)</f>
        <v/>
      </c>
      <c r="K16" s="64" t="inlineStr">
        <is>
          <t>-</t>
        </is>
      </c>
      <c r="L16" s="195">
        <f>IF('Calendario A'!L16="","",'Calendario A'!L16)</f>
        <v/>
      </c>
      <c r="M16" s="196" t="n"/>
      <c r="N16" s="196" t="n"/>
      <c r="O16" s="196" t="n"/>
      <c r="P16" s="196" t="n"/>
      <c r="Q16" s="196" t="n"/>
      <c r="R16" s="196" t="n"/>
    </row>
    <row r="17" ht="15" customHeight="1">
      <c r="A17" s="141" t="n"/>
      <c r="B17" s="69">
        <f>IF('Calendario A'!B17="","",'Calendario A'!B17)</f>
        <v/>
      </c>
      <c r="C17" s="9" t="n"/>
      <c r="D17" s="9" t="n"/>
      <c r="E17" s="9" t="n"/>
      <c r="F17" s="9" t="n"/>
      <c r="G17" s="9" t="n"/>
      <c r="H17" s="10" t="n"/>
      <c r="I17" s="62">
        <f>IF('Calendario A'!I17="","",'Calendario A'!I17)</f>
        <v/>
      </c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</row>
    <row r="18" ht="14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  <c r="M18" s="194" t="inlineStr">
        <is>
          <t>1o Arbitro</t>
        </is>
      </c>
      <c r="N18" s="194" t="inlineStr">
        <is>
          <t>2o Arbitro</t>
        </is>
      </c>
      <c r="O18" s="194" t="inlineStr">
        <is>
          <t>3o Arbitro/Tirocinante</t>
        </is>
      </c>
      <c r="P18" s="194" t="inlineStr">
        <is>
          <t>Referto</t>
        </is>
      </c>
      <c r="Q18" s="194" t="inlineStr">
        <is>
          <t>Cronometro</t>
        </is>
      </c>
      <c r="R18" s="194" t="inlineStr">
        <is>
          <t>Foglio Tiri</t>
        </is>
      </c>
    </row>
    <row r="19" ht="22" customHeight="1">
      <c r="A19" s="60">
        <f>IF('Calendario A'!A19="","",'Calendario A'!A19)</f>
        <v/>
      </c>
      <c r="B19" s="61">
        <f>IF('Calendario A'!B19="","",'Calendario A'!B19)</f>
        <v/>
      </c>
      <c r="C19" s="62">
        <f>IF('Calendario A'!C19="","",'Calendario A'!C19)</f>
        <v/>
      </c>
      <c r="D19" s="61">
        <f>IF('Calendario A'!D19="","",'Calendario A'!D19)</f>
        <v/>
      </c>
      <c r="E19" s="62">
        <f>IF('Calendario A'!E19="","",'Calendario A'!E19)</f>
        <v/>
      </c>
      <c r="F19" s="63">
        <f>IF('Calendario A'!F19="","",'Calendario A'!F19)</f>
        <v/>
      </c>
      <c r="G19" s="9" t="n"/>
      <c r="H19" s="9" t="n"/>
      <c r="I19" s="10" t="n"/>
      <c r="J19" s="195">
        <f>IF('Calendario A'!J19="","",'Calendario A'!J19)</f>
        <v/>
      </c>
      <c r="K19" s="64" t="inlineStr">
        <is>
          <t>-</t>
        </is>
      </c>
      <c r="L19" s="195">
        <f>IF('Calendario A'!L19="","",'Calendario A'!L19)</f>
        <v/>
      </c>
      <c r="M19" s="196" t="n"/>
      <c r="N19" s="196" t="n"/>
      <c r="O19" s="196" t="n"/>
      <c r="P19" s="196" t="n"/>
      <c r="Q19" s="196" t="n"/>
      <c r="R19" s="196" t="n"/>
    </row>
    <row r="20" ht="15" customHeight="1">
      <c r="A20" s="141" t="n"/>
      <c r="B20" s="69">
        <f>IF('Calendario A'!B20="","",'Calendario A'!B20)</f>
        <v/>
      </c>
      <c r="C20" s="9" t="n"/>
      <c r="D20" s="9" t="n"/>
      <c r="E20" s="9" t="n"/>
      <c r="F20" s="9" t="n"/>
      <c r="G20" s="9" t="n"/>
      <c r="H20" s="10" t="n"/>
      <c r="I20" s="62">
        <f>IF('Calendario A'!I20="","",'Calendario A'!I20)</f>
        <v/>
      </c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</row>
    <row r="21" ht="14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  <c r="M21" s="194" t="inlineStr">
        <is>
          <t>1o Arbitro</t>
        </is>
      </c>
      <c r="N21" s="194" t="inlineStr">
        <is>
          <t>2o Arbitro</t>
        </is>
      </c>
      <c r="O21" s="194" t="inlineStr">
        <is>
          <t>3o Arbitro/Tirocinante</t>
        </is>
      </c>
      <c r="P21" s="194" t="inlineStr">
        <is>
          <t>Referto</t>
        </is>
      </c>
      <c r="Q21" s="194" t="inlineStr">
        <is>
          <t>Cronometro</t>
        </is>
      </c>
      <c r="R21" s="194" t="inlineStr">
        <is>
          <t>Foglio Tiri</t>
        </is>
      </c>
    </row>
    <row r="22" ht="22" customHeight="1">
      <c r="A22" s="60">
        <f>IF('Calendario A'!A22="","",'Calendario A'!A22)</f>
        <v/>
      </c>
      <c r="B22" s="61">
        <f>IF('Calendario A'!B22="","",'Calendario A'!B22)</f>
        <v/>
      </c>
      <c r="C22" s="62">
        <f>IF('Calendario A'!C22="","",'Calendario A'!C22)</f>
        <v/>
      </c>
      <c r="D22" s="61">
        <f>IF('Calendario A'!D22="","",'Calendario A'!D22)</f>
        <v/>
      </c>
      <c r="E22" s="62">
        <f>IF('Calendario A'!E22="","",'Calendario A'!E22)</f>
        <v/>
      </c>
      <c r="F22" s="63">
        <f>IF('Calendario A'!F22="","",'Calendario A'!F22)</f>
        <v/>
      </c>
      <c r="G22" s="9" t="n"/>
      <c r="H22" s="9" t="n"/>
      <c r="I22" s="10" t="n"/>
      <c r="J22" s="195">
        <f>IF('Calendario A'!J22="","",'Calendario A'!J22)</f>
        <v/>
      </c>
      <c r="K22" s="64" t="inlineStr">
        <is>
          <t>-</t>
        </is>
      </c>
      <c r="L22" s="195">
        <f>IF('Calendario A'!L22="","",'Calendario A'!L22)</f>
        <v/>
      </c>
      <c r="M22" s="196" t="n"/>
      <c r="N22" s="196" t="n"/>
      <c r="O22" s="196" t="n"/>
      <c r="P22" s="196" t="n"/>
      <c r="Q22" s="196" t="n"/>
      <c r="R22" s="196" t="n"/>
    </row>
    <row r="23" ht="15" customHeight="1">
      <c r="A23" s="141" t="n"/>
      <c r="B23" s="69">
        <f>IF('Calendario A'!B23="","",'Calendario A'!B23)</f>
        <v/>
      </c>
      <c r="C23" s="9" t="n"/>
      <c r="D23" s="9" t="n"/>
      <c r="E23" s="9" t="n"/>
      <c r="F23" s="9" t="n"/>
      <c r="G23" s="9" t="n"/>
      <c r="H23" s="10" t="n"/>
      <c r="I23" s="62">
        <f>IF('Calendario A'!I23="","",'Calendario A'!I23)</f>
        <v/>
      </c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</row>
    <row r="25" ht="20" customHeight="1">
      <c r="A25" s="55">
        <f>IF('Calendario A'!A25="","",'Calendario A'!A25)</f>
        <v/>
      </c>
      <c r="B25" s="56">
        <f>IF('Calendario A'!B25="","",'Calendario A'!B25)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  <c r="M25" s="193" t="inlineStr">
        <is>
          <t>ARBITRI</t>
        </is>
      </c>
      <c r="N25" s="9" t="n"/>
      <c r="O25" s="10" t="n"/>
      <c r="P25" s="193" t="inlineStr">
        <is>
          <t>UFFICIALI DI CAMPO</t>
        </is>
      </c>
      <c r="Q25" s="9" t="n"/>
      <c r="R25" s="10" t="n"/>
    </row>
    <row r="26" ht="14" customHeight="1">
      <c r="A26" s="58" t="inlineStr">
        <is>
          <t>Gara N.</t>
        </is>
      </c>
      <c r="B26" s="58" t="inlineStr">
        <is>
          <t>Squadra A</t>
        </is>
      </c>
      <c r="C26" s="10" t="n"/>
      <c r="D26" s="58" t="inlineStr">
        <is>
          <t>Squadra B</t>
        </is>
      </c>
      <c r="E26" s="10" t="n"/>
      <c r="F26" s="58" t="inlineStr">
        <is>
          <t>Giorno</t>
        </is>
      </c>
      <c r="G26" s="58" t="inlineStr">
        <is>
          <t>Data</t>
        </is>
      </c>
      <c r="H26" s="58" t="inlineStr">
        <is>
          <t>Ora</t>
        </is>
      </c>
      <c r="I26" s="10" t="n"/>
      <c r="J26" s="58" t="inlineStr">
        <is>
          <t>Risultato</t>
        </is>
      </c>
      <c r="K26" s="9" t="n"/>
      <c r="L26" s="10" t="n"/>
      <c r="M26" s="194" t="inlineStr">
        <is>
          <t>1o Arbitro</t>
        </is>
      </c>
      <c r="N26" s="194" t="inlineStr">
        <is>
          <t>2o Arbitro</t>
        </is>
      </c>
      <c r="O26" s="194" t="inlineStr">
        <is>
          <t>3o Arbitro/Tirocinante</t>
        </is>
      </c>
      <c r="P26" s="194" t="inlineStr">
        <is>
          <t>Referto</t>
        </is>
      </c>
      <c r="Q26" s="194" t="inlineStr">
        <is>
          <t>Cronometro</t>
        </is>
      </c>
      <c r="R26" s="194" t="inlineStr">
        <is>
          <t>Foglio Tiri</t>
        </is>
      </c>
    </row>
    <row r="27" ht="22" customHeight="1">
      <c r="A27" s="60">
        <f>IF('Calendario A'!A27="","",'Calendario A'!A27)</f>
        <v/>
      </c>
      <c r="B27" s="61">
        <f>IF('Calendario A'!B27="","",'Calendario A'!B27)</f>
        <v/>
      </c>
      <c r="C27" s="62">
        <f>IF('Calendario A'!C27="","",'Calendario A'!C27)</f>
        <v/>
      </c>
      <c r="D27" s="61">
        <f>IF('Calendario A'!D27="","",'Calendario A'!D27)</f>
        <v/>
      </c>
      <c r="E27" s="62">
        <f>IF('Calendario A'!E27="","",'Calendario A'!E27)</f>
        <v/>
      </c>
      <c r="F27" s="63">
        <f>IF('Calendario A'!F27="","",'Calendario A'!F27)</f>
        <v/>
      </c>
      <c r="G27" s="9" t="n"/>
      <c r="H27" s="9" t="n"/>
      <c r="I27" s="10" t="n"/>
      <c r="J27" s="195">
        <f>IF('Calendario A'!J27="","",'Calendario A'!J27)</f>
        <v/>
      </c>
      <c r="K27" s="64" t="inlineStr">
        <is>
          <t>-</t>
        </is>
      </c>
      <c r="L27" s="195">
        <f>IF('Calendario A'!L27="","",'Calendario A'!L27)</f>
        <v/>
      </c>
      <c r="M27" s="196" t="n"/>
      <c r="N27" s="196" t="n"/>
      <c r="O27" s="196" t="n"/>
      <c r="P27" s="196" t="n"/>
      <c r="Q27" s="196" t="n"/>
      <c r="R27" s="196" t="n"/>
    </row>
    <row r="28" ht="15" customHeight="1">
      <c r="A28" s="141" t="n"/>
      <c r="B28" s="69">
        <f>IF('Calendario A'!B28="","",'Calendario A'!B28)</f>
        <v/>
      </c>
      <c r="C28" s="9" t="n"/>
      <c r="D28" s="9" t="n"/>
      <c r="E28" s="9" t="n"/>
      <c r="F28" s="9" t="n"/>
      <c r="G28" s="9" t="n"/>
      <c r="H28" s="10" t="n"/>
      <c r="I28" s="62">
        <f>IF('Calendario A'!I28="","",'Calendario A'!I28)</f>
        <v/>
      </c>
      <c r="J28" s="141" t="n"/>
      <c r="K28" s="141" t="n"/>
      <c r="L28" s="141" t="n"/>
      <c r="M28" s="141" t="n"/>
      <c r="N28" s="141" t="n"/>
      <c r="O28" s="141" t="n"/>
      <c r="P28" s="141" t="n"/>
      <c r="Q28" s="141" t="n"/>
      <c r="R28" s="141" t="n"/>
    </row>
    <row r="29" ht="14" customHeight="1">
      <c r="A29" s="58" t="inlineStr">
        <is>
          <t>Gara N.</t>
        </is>
      </c>
      <c r="B29" s="58" t="inlineStr">
        <is>
          <t>Squadra A</t>
        </is>
      </c>
      <c r="C29" s="10" t="n"/>
      <c r="D29" s="58" t="inlineStr">
        <is>
          <t>Squadra B</t>
        </is>
      </c>
      <c r="E29" s="10" t="n"/>
      <c r="F29" s="58" t="inlineStr">
        <is>
          <t>Giorno</t>
        </is>
      </c>
      <c r="G29" s="58" t="inlineStr">
        <is>
          <t>Data</t>
        </is>
      </c>
      <c r="H29" s="58" t="inlineStr">
        <is>
          <t>Ora</t>
        </is>
      </c>
      <c r="I29" s="10" t="n"/>
      <c r="J29" s="58" t="inlineStr">
        <is>
          <t>Risultato</t>
        </is>
      </c>
      <c r="K29" s="9" t="n"/>
      <c r="L29" s="10" t="n"/>
      <c r="M29" s="194" t="inlineStr">
        <is>
          <t>1o Arbitro</t>
        </is>
      </c>
      <c r="N29" s="194" t="inlineStr">
        <is>
          <t>2o Arbitro</t>
        </is>
      </c>
      <c r="O29" s="194" t="inlineStr">
        <is>
          <t>3o Arbitro/Tirocinante</t>
        </is>
      </c>
      <c r="P29" s="194" t="inlineStr">
        <is>
          <t>Referto</t>
        </is>
      </c>
      <c r="Q29" s="194" t="inlineStr">
        <is>
          <t>Cronometro</t>
        </is>
      </c>
      <c r="R29" s="194" t="inlineStr">
        <is>
          <t>Foglio Tiri</t>
        </is>
      </c>
    </row>
    <row r="30" ht="22" customHeight="1">
      <c r="A30" s="60">
        <f>IF('Calendario A'!A30="","",'Calendario A'!A30)</f>
        <v/>
      </c>
      <c r="B30" s="61">
        <f>IF('Calendario A'!B30="","",'Calendario A'!B30)</f>
        <v/>
      </c>
      <c r="C30" s="62">
        <f>IF('Calendario A'!C30="","",'Calendario A'!C30)</f>
        <v/>
      </c>
      <c r="D30" s="61">
        <f>IF('Calendario A'!D30="","",'Calendario A'!D30)</f>
        <v/>
      </c>
      <c r="E30" s="62">
        <f>IF('Calendario A'!E30="","",'Calendario A'!E30)</f>
        <v/>
      </c>
      <c r="F30" s="63">
        <f>IF('Calendario A'!F30="","",'Calendario A'!F30)</f>
        <v/>
      </c>
      <c r="G30" s="9" t="n"/>
      <c r="H30" s="9" t="n"/>
      <c r="I30" s="10" t="n"/>
      <c r="J30" s="195">
        <f>IF('Calendario A'!J30="","",'Calendario A'!J30)</f>
        <v/>
      </c>
      <c r="K30" s="64" t="inlineStr">
        <is>
          <t>-</t>
        </is>
      </c>
      <c r="L30" s="195">
        <f>IF('Calendario A'!L30="","",'Calendario A'!L30)</f>
        <v/>
      </c>
      <c r="M30" s="196" t="n"/>
      <c r="N30" s="196" t="n"/>
      <c r="O30" s="196" t="n"/>
      <c r="P30" s="196" t="n"/>
      <c r="Q30" s="196" t="n"/>
      <c r="R30" s="196" t="n"/>
    </row>
    <row r="31" ht="15" customHeight="1">
      <c r="A31" s="141" t="n"/>
      <c r="B31" s="69">
        <f>IF('Calendario A'!B31="","",'Calendario A'!B31)</f>
        <v/>
      </c>
      <c r="C31" s="9" t="n"/>
      <c r="D31" s="9" t="n"/>
      <c r="E31" s="9" t="n"/>
      <c r="F31" s="9" t="n"/>
      <c r="G31" s="9" t="n"/>
      <c r="H31" s="10" t="n"/>
      <c r="I31" s="62">
        <f>IF('Calendario A'!I31="","",'Calendario A'!I31)</f>
        <v/>
      </c>
      <c r="J31" s="141" t="n"/>
      <c r="K31" s="141" t="n"/>
      <c r="L31" s="141" t="n"/>
      <c r="M31" s="141" t="n"/>
      <c r="N31" s="141" t="n"/>
      <c r="O31" s="141" t="n"/>
      <c r="P31" s="141" t="n"/>
      <c r="Q31" s="141" t="n"/>
      <c r="R31" s="141" t="n"/>
    </row>
    <row r="32" ht="14" customHeight="1">
      <c r="A32" s="58" t="inlineStr">
        <is>
          <t>Gara N.</t>
        </is>
      </c>
      <c r="B32" s="58" t="inlineStr">
        <is>
          <t>Squadra A</t>
        </is>
      </c>
      <c r="C32" s="10" t="n"/>
      <c r="D32" s="58" t="inlineStr">
        <is>
          <t>Squadra B</t>
        </is>
      </c>
      <c r="E32" s="10" t="n"/>
      <c r="F32" s="58" t="inlineStr">
        <is>
          <t>Giorno</t>
        </is>
      </c>
      <c r="G32" s="58" t="inlineStr">
        <is>
          <t>Data</t>
        </is>
      </c>
      <c r="H32" s="58" t="inlineStr">
        <is>
          <t>Ora</t>
        </is>
      </c>
      <c r="I32" s="10" t="n"/>
      <c r="J32" s="58" t="inlineStr">
        <is>
          <t>Risultato</t>
        </is>
      </c>
      <c r="K32" s="9" t="n"/>
      <c r="L32" s="10" t="n"/>
      <c r="M32" s="194" t="inlineStr">
        <is>
          <t>1o Arbitro</t>
        </is>
      </c>
      <c r="N32" s="194" t="inlineStr">
        <is>
          <t>2o Arbitro</t>
        </is>
      </c>
      <c r="O32" s="194" t="inlineStr">
        <is>
          <t>3o Arbitro/Tirocinante</t>
        </is>
      </c>
      <c r="P32" s="194" t="inlineStr">
        <is>
          <t>Referto</t>
        </is>
      </c>
      <c r="Q32" s="194" t="inlineStr">
        <is>
          <t>Cronometro</t>
        </is>
      </c>
      <c r="R32" s="194" t="inlineStr">
        <is>
          <t>Foglio Tiri</t>
        </is>
      </c>
    </row>
    <row r="33" ht="22" customHeight="1">
      <c r="A33" s="60">
        <f>IF('Calendario A'!A33="","",'Calendario A'!A33)</f>
        <v/>
      </c>
      <c r="B33" s="61">
        <f>IF('Calendario A'!B33="","",'Calendario A'!B33)</f>
        <v/>
      </c>
      <c r="C33" s="62">
        <f>IF('Calendario A'!C33="","",'Calendario A'!C33)</f>
        <v/>
      </c>
      <c r="D33" s="61">
        <f>IF('Calendario A'!D33="","",'Calendario A'!D33)</f>
        <v/>
      </c>
      <c r="E33" s="62">
        <f>IF('Calendario A'!E33="","",'Calendario A'!E33)</f>
        <v/>
      </c>
      <c r="F33" s="63">
        <f>IF('Calendario A'!F33="","",'Calendario A'!F33)</f>
        <v/>
      </c>
      <c r="G33" s="9" t="n"/>
      <c r="H33" s="9" t="n"/>
      <c r="I33" s="10" t="n"/>
      <c r="J33" s="195">
        <f>IF('Calendario A'!J33="","",'Calendario A'!J33)</f>
        <v/>
      </c>
      <c r="K33" s="64" t="inlineStr">
        <is>
          <t>-</t>
        </is>
      </c>
      <c r="L33" s="195">
        <f>IF('Calendario A'!L33="","",'Calendario A'!L33)</f>
        <v/>
      </c>
      <c r="M33" s="196" t="n"/>
      <c r="N33" s="196" t="n"/>
      <c r="O33" s="196" t="n"/>
      <c r="P33" s="196" t="n"/>
      <c r="Q33" s="196" t="n"/>
      <c r="R33" s="196" t="n"/>
    </row>
    <row r="34" ht="15" customHeight="1">
      <c r="A34" s="141" t="n"/>
      <c r="B34" s="69">
        <f>IF('Calendario A'!B34="","",'Calendario A'!B34)</f>
        <v/>
      </c>
      <c r="C34" s="9" t="n"/>
      <c r="D34" s="9" t="n"/>
      <c r="E34" s="9" t="n"/>
      <c r="F34" s="9" t="n"/>
      <c r="G34" s="9" t="n"/>
      <c r="H34" s="10" t="n"/>
      <c r="I34" s="62">
        <f>IF('Calendario A'!I34="","",'Calendario A'!I34)</f>
        <v/>
      </c>
      <c r="J34" s="141" t="n"/>
      <c r="K34" s="141" t="n"/>
      <c r="L34" s="141" t="n"/>
      <c r="M34" s="141" t="n"/>
      <c r="N34" s="141" t="n"/>
      <c r="O34" s="141" t="n"/>
      <c r="P34" s="141" t="n"/>
      <c r="Q34" s="141" t="n"/>
      <c r="R34" s="141" t="n"/>
    </row>
    <row r="35" ht="14" customHeight="1">
      <c r="A35" s="58" t="inlineStr">
        <is>
          <t>Gara N.</t>
        </is>
      </c>
      <c r="B35" s="58" t="inlineStr">
        <is>
          <t>Squadra A</t>
        </is>
      </c>
      <c r="C35" s="10" t="n"/>
      <c r="D35" s="58" t="inlineStr">
        <is>
          <t>Squadra B</t>
        </is>
      </c>
      <c r="E35" s="10" t="n"/>
      <c r="F35" s="58" t="inlineStr">
        <is>
          <t>Giorno</t>
        </is>
      </c>
      <c r="G35" s="58" t="inlineStr">
        <is>
          <t>Data</t>
        </is>
      </c>
      <c r="H35" s="58" t="inlineStr">
        <is>
          <t>Ora</t>
        </is>
      </c>
      <c r="I35" s="10" t="n"/>
      <c r="J35" s="58" t="inlineStr">
        <is>
          <t>Risultato</t>
        </is>
      </c>
      <c r="K35" s="9" t="n"/>
      <c r="L35" s="10" t="n"/>
      <c r="M35" s="194" t="inlineStr">
        <is>
          <t>1o Arbitro</t>
        </is>
      </c>
      <c r="N35" s="194" t="inlineStr">
        <is>
          <t>2o Arbitro</t>
        </is>
      </c>
      <c r="O35" s="194" t="inlineStr">
        <is>
          <t>3o Arbitro/Tirocinante</t>
        </is>
      </c>
      <c r="P35" s="194" t="inlineStr">
        <is>
          <t>Referto</t>
        </is>
      </c>
      <c r="Q35" s="194" t="inlineStr">
        <is>
          <t>Cronometro</t>
        </is>
      </c>
      <c r="R35" s="194" t="inlineStr">
        <is>
          <t>Foglio Tiri</t>
        </is>
      </c>
    </row>
    <row r="36" ht="22" customHeight="1">
      <c r="A36" s="60">
        <f>IF('Calendario A'!A36="","",'Calendario A'!A36)</f>
        <v/>
      </c>
      <c r="B36" s="61">
        <f>IF('Calendario A'!B36="","",'Calendario A'!B36)</f>
        <v/>
      </c>
      <c r="C36" s="62">
        <f>IF('Calendario A'!C36="","",'Calendario A'!C36)</f>
        <v/>
      </c>
      <c r="D36" s="61">
        <f>IF('Calendario A'!D36="","",'Calendario A'!D36)</f>
        <v/>
      </c>
      <c r="E36" s="62">
        <f>IF('Calendario A'!E36="","",'Calendario A'!E36)</f>
        <v/>
      </c>
      <c r="F36" s="63">
        <f>IF('Calendario A'!F36="","",'Calendario A'!F36)</f>
        <v/>
      </c>
      <c r="G36" s="9" t="n"/>
      <c r="H36" s="9" t="n"/>
      <c r="I36" s="10" t="n"/>
      <c r="J36" s="195">
        <f>IF('Calendario A'!J36="","",'Calendario A'!J36)</f>
        <v/>
      </c>
      <c r="K36" s="64" t="inlineStr">
        <is>
          <t>-</t>
        </is>
      </c>
      <c r="L36" s="195">
        <f>IF('Calendario A'!L36="","",'Calendario A'!L36)</f>
        <v/>
      </c>
      <c r="M36" s="196" t="n"/>
      <c r="N36" s="196" t="n"/>
      <c r="O36" s="196" t="n"/>
      <c r="P36" s="196" t="n"/>
      <c r="Q36" s="196" t="n"/>
      <c r="R36" s="196" t="n"/>
    </row>
    <row r="37" ht="15" customHeight="1">
      <c r="A37" s="141" t="n"/>
      <c r="B37" s="69">
        <f>IF('Calendario A'!B37="","",'Calendario A'!B37)</f>
        <v/>
      </c>
      <c r="C37" s="9" t="n"/>
      <c r="D37" s="9" t="n"/>
      <c r="E37" s="9" t="n"/>
      <c r="F37" s="9" t="n"/>
      <c r="G37" s="9" t="n"/>
      <c r="H37" s="10" t="n"/>
      <c r="I37" s="62">
        <f>IF('Calendario A'!I37="","",'Calendario A'!I37)</f>
        <v/>
      </c>
      <c r="J37" s="141" t="n"/>
      <c r="K37" s="141" t="n"/>
      <c r="L37" s="141" t="n"/>
      <c r="M37" s="141" t="n"/>
      <c r="N37" s="141" t="n"/>
      <c r="O37" s="141" t="n"/>
      <c r="P37" s="141" t="n"/>
      <c r="Q37" s="141" t="n"/>
      <c r="R37" s="141" t="n"/>
    </row>
    <row r="38" ht="14" customHeight="1">
      <c r="A38" s="58" t="inlineStr">
        <is>
          <t>Gara N.</t>
        </is>
      </c>
      <c r="B38" s="58" t="inlineStr">
        <is>
          <t>Squadra A</t>
        </is>
      </c>
      <c r="C38" s="10" t="n"/>
      <c r="D38" s="58" t="inlineStr">
        <is>
          <t>Squadra B</t>
        </is>
      </c>
      <c r="E38" s="10" t="n"/>
      <c r="F38" s="58" t="inlineStr">
        <is>
          <t>Giorno</t>
        </is>
      </c>
      <c r="G38" s="58" t="inlineStr">
        <is>
          <t>Data</t>
        </is>
      </c>
      <c r="H38" s="58" t="inlineStr">
        <is>
          <t>Ora</t>
        </is>
      </c>
      <c r="I38" s="10" t="n"/>
      <c r="J38" s="58" t="inlineStr">
        <is>
          <t>Risultato</t>
        </is>
      </c>
      <c r="K38" s="9" t="n"/>
      <c r="L38" s="10" t="n"/>
      <c r="M38" s="194" t="inlineStr">
        <is>
          <t>1o Arbitro</t>
        </is>
      </c>
      <c r="N38" s="194" t="inlineStr">
        <is>
          <t>2o Arbitro</t>
        </is>
      </c>
      <c r="O38" s="194" t="inlineStr">
        <is>
          <t>3o Arbitro/Tirocinante</t>
        </is>
      </c>
      <c r="P38" s="194" t="inlineStr">
        <is>
          <t>Referto</t>
        </is>
      </c>
      <c r="Q38" s="194" t="inlineStr">
        <is>
          <t>Cronometro</t>
        </is>
      </c>
      <c r="R38" s="194" t="inlineStr">
        <is>
          <t>Foglio Tiri</t>
        </is>
      </c>
    </row>
    <row r="39" ht="22" customHeight="1">
      <c r="A39" s="60">
        <f>IF('Calendario A'!A39="","",'Calendario A'!A39)</f>
        <v/>
      </c>
      <c r="B39" s="61">
        <f>IF('Calendario A'!B39="","",'Calendario A'!B39)</f>
        <v/>
      </c>
      <c r="C39" s="62">
        <f>IF('Calendario A'!C39="","",'Calendario A'!C39)</f>
        <v/>
      </c>
      <c r="D39" s="61">
        <f>IF('Calendario A'!D39="","",'Calendario A'!D39)</f>
        <v/>
      </c>
      <c r="E39" s="62">
        <f>IF('Calendario A'!E39="","",'Calendario A'!E39)</f>
        <v/>
      </c>
      <c r="F39" s="63">
        <f>IF('Calendario A'!F39="","",'Calendario A'!F39)</f>
        <v/>
      </c>
      <c r="G39" s="9" t="n"/>
      <c r="H39" s="9" t="n"/>
      <c r="I39" s="10" t="n"/>
      <c r="J39" s="195">
        <f>IF('Calendario A'!J39="","",'Calendario A'!J39)</f>
        <v/>
      </c>
      <c r="K39" s="64" t="inlineStr">
        <is>
          <t>-</t>
        </is>
      </c>
      <c r="L39" s="195">
        <f>IF('Calendario A'!L39="","",'Calendario A'!L39)</f>
        <v/>
      </c>
      <c r="M39" s="196" t="n"/>
      <c r="N39" s="196" t="n"/>
      <c r="O39" s="196" t="n"/>
      <c r="P39" s="196" t="n"/>
      <c r="Q39" s="196" t="n"/>
      <c r="R39" s="196" t="n"/>
    </row>
    <row r="40" ht="15" customHeight="1">
      <c r="A40" s="141" t="n"/>
      <c r="B40" s="69">
        <f>IF('Calendario A'!B40="","",'Calendario A'!B40)</f>
        <v/>
      </c>
      <c r="C40" s="9" t="n"/>
      <c r="D40" s="9" t="n"/>
      <c r="E40" s="9" t="n"/>
      <c r="F40" s="9" t="n"/>
      <c r="G40" s="9" t="n"/>
      <c r="H40" s="10" t="n"/>
      <c r="I40" s="62">
        <f>IF('Calendario A'!I40="","",'Calendario A'!I40)</f>
        <v/>
      </c>
      <c r="J40" s="141" t="n"/>
      <c r="K40" s="141" t="n"/>
      <c r="L40" s="141" t="n"/>
      <c r="M40" s="141" t="n"/>
      <c r="N40" s="141" t="n"/>
      <c r="O40" s="141" t="n"/>
      <c r="P40" s="141" t="n"/>
      <c r="Q40" s="141" t="n"/>
      <c r="R40" s="141" t="n"/>
    </row>
    <row r="42" ht="20" customHeight="1">
      <c r="A42" s="55">
        <f>IF('Calendario A'!A42="","",'Calendario A'!A42)</f>
        <v/>
      </c>
      <c r="B42" s="56">
        <f>IF('Calendario A'!B42="","",'Calendario A'!B42)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  <c r="M42" s="193" t="inlineStr">
        <is>
          <t>ARBITRI</t>
        </is>
      </c>
      <c r="N42" s="9" t="n"/>
      <c r="O42" s="10" t="n"/>
      <c r="P42" s="193" t="inlineStr">
        <is>
          <t>UFFICIALI DI CAMPO</t>
        </is>
      </c>
      <c r="Q42" s="9" t="n"/>
      <c r="R42" s="10" t="n"/>
    </row>
    <row r="43" ht="14" customHeight="1">
      <c r="A43" s="58" t="inlineStr">
        <is>
          <t>Gara N.</t>
        </is>
      </c>
      <c r="B43" s="58" t="inlineStr">
        <is>
          <t>Squadra A</t>
        </is>
      </c>
      <c r="C43" s="10" t="n"/>
      <c r="D43" s="58" t="inlineStr">
        <is>
          <t>Squadra B</t>
        </is>
      </c>
      <c r="E43" s="10" t="n"/>
      <c r="F43" s="58" t="inlineStr">
        <is>
          <t>Giorno</t>
        </is>
      </c>
      <c r="G43" s="58" t="inlineStr">
        <is>
          <t>Data</t>
        </is>
      </c>
      <c r="H43" s="58" t="inlineStr">
        <is>
          <t>Ora</t>
        </is>
      </c>
      <c r="I43" s="10" t="n"/>
      <c r="J43" s="58" t="inlineStr">
        <is>
          <t>Risultato</t>
        </is>
      </c>
      <c r="K43" s="9" t="n"/>
      <c r="L43" s="10" t="n"/>
      <c r="M43" s="194" t="inlineStr">
        <is>
          <t>1o Arbitro</t>
        </is>
      </c>
      <c r="N43" s="194" t="inlineStr">
        <is>
          <t>2o Arbitro</t>
        </is>
      </c>
      <c r="O43" s="194" t="inlineStr">
        <is>
          <t>3o Arbitro/Tirocinante</t>
        </is>
      </c>
      <c r="P43" s="194" t="inlineStr">
        <is>
          <t>Referto</t>
        </is>
      </c>
      <c r="Q43" s="194" t="inlineStr">
        <is>
          <t>Cronometro</t>
        </is>
      </c>
      <c r="R43" s="194" t="inlineStr">
        <is>
          <t>Foglio Tiri</t>
        </is>
      </c>
    </row>
    <row r="44" ht="22" customHeight="1">
      <c r="A44" s="60">
        <f>IF('Calendario A'!A44="","",'Calendario A'!A44)</f>
        <v/>
      </c>
      <c r="B44" s="61">
        <f>IF('Calendario A'!B44="","",'Calendario A'!B44)</f>
        <v/>
      </c>
      <c r="C44" s="62">
        <f>IF('Calendario A'!C44="","",'Calendario A'!C44)</f>
        <v/>
      </c>
      <c r="D44" s="61">
        <f>IF('Calendario A'!D44="","",'Calendario A'!D44)</f>
        <v/>
      </c>
      <c r="E44" s="62">
        <f>IF('Calendario A'!E44="","",'Calendario A'!E44)</f>
        <v/>
      </c>
      <c r="F44" s="63">
        <f>IF('Calendario A'!F44="","",'Calendario A'!F44)</f>
        <v/>
      </c>
      <c r="G44" s="9" t="n"/>
      <c r="H44" s="9" t="n"/>
      <c r="I44" s="10" t="n"/>
      <c r="J44" s="195">
        <f>IF('Calendario A'!J44="","",'Calendario A'!J44)</f>
        <v/>
      </c>
      <c r="K44" s="64" t="inlineStr">
        <is>
          <t>-</t>
        </is>
      </c>
      <c r="L44" s="195">
        <f>IF('Calendario A'!L44="","",'Calendario A'!L44)</f>
        <v/>
      </c>
      <c r="M44" s="196" t="n"/>
      <c r="N44" s="196" t="n"/>
      <c r="O44" s="196" t="n"/>
      <c r="P44" s="196" t="n"/>
      <c r="Q44" s="196" t="n"/>
      <c r="R44" s="196" t="n"/>
    </row>
    <row r="45" ht="15" customHeight="1">
      <c r="A45" s="141" t="n"/>
      <c r="B45" s="69">
        <f>IF('Calendario A'!B45="","",'Calendario A'!B45)</f>
        <v/>
      </c>
      <c r="C45" s="9" t="n"/>
      <c r="D45" s="9" t="n"/>
      <c r="E45" s="9" t="n"/>
      <c r="F45" s="9" t="n"/>
      <c r="G45" s="9" t="n"/>
      <c r="H45" s="10" t="n"/>
      <c r="I45" s="62">
        <f>IF('Calendario A'!I45="","",'Calendario A'!I45)</f>
        <v/>
      </c>
      <c r="J45" s="141" t="n"/>
      <c r="K45" s="141" t="n"/>
      <c r="L45" s="141" t="n"/>
      <c r="M45" s="141" t="n"/>
      <c r="N45" s="141" t="n"/>
      <c r="O45" s="141" t="n"/>
      <c r="P45" s="141" t="n"/>
      <c r="Q45" s="141" t="n"/>
      <c r="R45" s="141" t="n"/>
    </row>
    <row r="46" ht="14" customHeight="1">
      <c r="A46" s="58" t="inlineStr">
        <is>
          <t>Gara N.</t>
        </is>
      </c>
      <c r="B46" s="58" t="inlineStr">
        <is>
          <t>Squadra A</t>
        </is>
      </c>
      <c r="C46" s="10" t="n"/>
      <c r="D46" s="58" t="inlineStr">
        <is>
          <t>Squadra B</t>
        </is>
      </c>
      <c r="E46" s="10" t="n"/>
      <c r="F46" s="58" t="inlineStr">
        <is>
          <t>Giorno</t>
        </is>
      </c>
      <c r="G46" s="58" t="inlineStr">
        <is>
          <t>Data</t>
        </is>
      </c>
      <c r="H46" s="58" t="inlineStr">
        <is>
          <t>Ora</t>
        </is>
      </c>
      <c r="I46" s="10" t="n"/>
      <c r="J46" s="58" t="inlineStr">
        <is>
          <t>Risultato</t>
        </is>
      </c>
      <c r="K46" s="9" t="n"/>
      <c r="L46" s="10" t="n"/>
      <c r="M46" s="194" t="inlineStr">
        <is>
          <t>1o Arbitro</t>
        </is>
      </c>
      <c r="N46" s="194" t="inlineStr">
        <is>
          <t>2o Arbitro</t>
        </is>
      </c>
      <c r="O46" s="194" t="inlineStr">
        <is>
          <t>3o Arbitro/Tirocinante</t>
        </is>
      </c>
      <c r="P46" s="194" t="inlineStr">
        <is>
          <t>Referto</t>
        </is>
      </c>
      <c r="Q46" s="194" t="inlineStr">
        <is>
          <t>Cronometro</t>
        </is>
      </c>
      <c r="R46" s="194" t="inlineStr">
        <is>
          <t>Foglio Tiri</t>
        </is>
      </c>
    </row>
    <row r="47" ht="22" customHeight="1">
      <c r="A47" s="60">
        <f>IF('Calendario A'!A47="","",'Calendario A'!A47)</f>
        <v/>
      </c>
      <c r="B47" s="61">
        <f>IF('Calendario A'!B47="","",'Calendario A'!B47)</f>
        <v/>
      </c>
      <c r="C47" s="62">
        <f>IF('Calendario A'!C47="","",'Calendario A'!C47)</f>
        <v/>
      </c>
      <c r="D47" s="61">
        <f>IF('Calendario A'!D47="","",'Calendario A'!D47)</f>
        <v/>
      </c>
      <c r="E47" s="62">
        <f>IF('Calendario A'!E47="","",'Calendario A'!E47)</f>
        <v/>
      </c>
      <c r="F47" s="63">
        <f>IF('Calendario A'!F47="","",'Calendario A'!F47)</f>
        <v/>
      </c>
      <c r="G47" s="9" t="n"/>
      <c r="H47" s="9" t="n"/>
      <c r="I47" s="10" t="n"/>
      <c r="J47" s="195">
        <f>IF('Calendario A'!J47="","",'Calendario A'!J47)</f>
        <v/>
      </c>
      <c r="K47" s="64" t="inlineStr">
        <is>
          <t>-</t>
        </is>
      </c>
      <c r="L47" s="195">
        <f>IF('Calendario A'!L47="","",'Calendario A'!L47)</f>
        <v/>
      </c>
      <c r="M47" s="196" t="n"/>
      <c r="N47" s="196" t="n"/>
      <c r="O47" s="196" t="n"/>
      <c r="P47" s="196" t="n"/>
      <c r="Q47" s="196" t="n"/>
      <c r="R47" s="196" t="n"/>
    </row>
    <row r="48" ht="15" customHeight="1">
      <c r="A48" s="141" t="n"/>
      <c r="B48" s="69">
        <f>IF('Calendario A'!B48="","",'Calendario A'!B48)</f>
        <v/>
      </c>
      <c r="C48" s="9" t="n"/>
      <c r="D48" s="9" t="n"/>
      <c r="E48" s="9" t="n"/>
      <c r="F48" s="9" t="n"/>
      <c r="G48" s="9" t="n"/>
      <c r="H48" s="10" t="n"/>
      <c r="I48" s="62">
        <f>IF('Calendario A'!I48="","",'Calendario A'!I48)</f>
        <v/>
      </c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41" t="n"/>
    </row>
    <row r="49" ht="14" customHeight="1">
      <c r="A49" s="58" t="inlineStr">
        <is>
          <t>Gara N.</t>
        </is>
      </c>
      <c r="B49" s="58" t="inlineStr">
        <is>
          <t>Squadra A</t>
        </is>
      </c>
      <c r="C49" s="10" t="n"/>
      <c r="D49" s="58" t="inlineStr">
        <is>
          <t>Squadra B</t>
        </is>
      </c>
      <c r="E49" s="10" t="n"/>
      <c r="F49" s="58" t="inlineStr">
        <is>
          <t>Giorno</t>
        </is>
      </c>
      <c r="G49" s="58" t="inlineStr">
        <is>
          <t>Data</t>
        </is>
      </c>
      <c r="H49" s="58" t="inlineStr">
        <is>
          <t>Ora</t>
        </is>
      </c>
      <c r="I49" s="10" t="n"/>
      <c r="J49" s="58" t="inlineStr">
        <is>
          <t>Risultato</t>
        </is>
      </c>
      <c r="K49" s="9" t="n"/>
      <c r="L49" s="10" t="n"/>
      <c r="M49" s="194" t="inlineStr">
        <is>
          <t>1o Arbitro</t>
        </is>
      </c>
      <c r="N49" s="194" t="inlineStr">
        <is>
          <t>2o Arbitro</t>
        </is>
      </c>
      <c r="O49" s="194" t="inlineStr">
        <is>
          <t>3o Arbitro/Tirocinante</t>
        </is>
      </c>
      <c r="P49" s="194" t="inlineStr">
        <is>
          <t>Referto</t>
        </is>
      </c>
      <c r="Q49" s="194" t="inlineStr">
        <is>
          <t>Cronometro</t>
        </is>
      </c>
      <c r="R49" s="194" t="inlineStr">
        <is>
          <t>Foglio Tiri</t>
        </is>
      </c>
    </row>
    <row r="50" ht="22" customHeight="1">
      <c r="A50" s="60">
        <f>IF('Calendario A'!A50="","",'Calendario A'!A50)</f>
        <v/>
      </c>
      <c r="B50" s="61">
        <f>IF('Calendario A'!B50="","",'Calendario A'!B50)</f>
        <v/>
      </c>
      <c r="C50" s="62">
        <f>IF('Calendario A'!C50="","",'Calendario A'!C50)</f>
        <v/>
      </c>
      <c r="D50" s="61">
        <f>IF('Calendario A'!D50="","",'Calendario A'!D50)</f>
        <v/>
      </c>
      <c r="E50" s="62">
        <f>IF('Calendario A'!E50="","",'Calendario A'!E50)</f>
        <v/>
      </c>
      <c r="F50" s="63">
        <f>IF('Calendario A'!F50="","",'Calendario A'!F50)</f>
        <v/>
      </c>
      <c r="G50" s="9" t="n"/>
      <c r="H50" s="9" t="n"/>
      <c r="I50" s="10" t="n"/>
      <c r="J50" s="195">
        <f>IF('Calendario A'!J50="","",'Calendario A'!J50)</f>
        <v/>
      </c>
      <c r="K50" s="64" t="inlineStr">
        <is>
          <t>-</t>
        </is>
      </c>
      <c r="L50" s="195">
        <f>IF('Calendario A'!L50="","",'Calendario A'!L50)</f>
        <v/>
      </c>
      <c r="M50" s="196" t="n"/>
      <c r="N50" s="196" t="n"/>
      <c r="O50" s="196" t="n"/>
      <c r="P50" s="196" t="n"/>
      <c r="Q50" s="196" t="n"/>
      <c r="R50" s="196" t="n"/>
    </row>
    <row r="51" ht="15" customHeight="1">
      <c r="A51" s="141" t="n"/>
      <c r="B51" s="69">
        <f>IF('Calendario A'!B51="","",'Calendario A'!B51)</f>
        <v/>
      </c>
      <c r="C51" s="9" t="n"/>
      <c r="D51" s="9" t="n"/>
      <c r="E51" s="9" t="n"/>
      <c r="F51" s="9" t="n"/>
      <c r="G51" s="9" t="n"/>
      <c r="H51" s="10" t="n"/>
      <c r="I51" s="62">
        <f>IF('Calendario A'!I51="","",'Calendario A'!I51)</f>
        <v/>
      </c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1" t="n"/>
    </row>
    <row r="52" ht="14" customHeight="1">
      <c r="A52" s="58" t="inlineStr">
        <is>
          <t>Gara N.</t>
        </is>
      </c>
      <c r="B52" s="58" t="inlineStr">
        <is>
          <t>Squadra A</t>
        </is>
      </c>
      <c r="C52" s="10" t="n"/>
      <c r="D52" s="58" t="inlineStr">
        <is>
          <t>Squadra B</t>
        </is>
      </c>
      <c r="E52" s="10" t="n"/>
      <c r="F52" s="58" t="inlineStr">
        <is>
          <t>Giorno</t>
        </is>
      </c>
      <c r="G52" s="58" t="inlineStr">
        <is>
          <t>Data</t>
        </is>
      </c>
      <c r="H52" s="58" t="inlineStr">
        <is>
          <t>Ora</t>
        </is>
      </c>
      <c r="I52" s="10" t="n"/>
      <c r="J52" s="58" t="inlineStr">
        <is>
          <t>Risultato</t>
        </is>
      </c>
      <c r="K52" s="9" t="n"/>
      <c r="L52" s="10" t="n"/>
      <c r="M52" s="194" t="inlineStr">
        <is>
          <t>1o Arbitro</t>
        </is>
      </c>
      <c r="N52" s="194" t="inlineStr">
        <is>
          <t>2o Arbitro</t>
        </is>
      </c>
      <c r="O52" s="194" t="inlineStr">
        <is>
          <t>3o Arbitro/Tirocinante</t>
        </is>
      </c>
      <c r="P52" s="194" t="inlineStr">
        <is>
          <t>Referto</t>
        </is>
      </c>
      <c r="Q52" s="194" t="inlineStr">
        <is>
          <t>Cronometro</t>
        </is>
      </c>
      <c r="R52" s="194" t="inlineStr">
        <is>
          <t>Foglio Tiri</t>
        </is>
      </c>
    </row>
    <row r="53" ht="22" customHeight="1">
      <c r="A53" s="60">
        <f>IF('Calendario A'!A53="","",'Calendario A'!A53)</f>
        <v/>
      </c>
      <c r="B53" s="61">
        <f>IF('Calendario A'!B53="","",'Calendario A'!B53)</f>
        <v/>
      </c>
      <c r="C53" s="62">
        <f>IF('Calendario A'!C53="","",'Calendario A'!C53)</f>
        <v/>
      </c>
      <c r="D53" s="61">
        <f>IF('Calendario A'!D53="","",'Calendario A'!D53)</f>
        <v/>
      </c>
      <c r="E53" s="62">
        <f>IF('Calendario A'!E53="","",'Calendario A'!E53)</f>
        <v/>
      </c>
      <c r="F53" s="63">
        <f>IF('Calendario A'!F53="","",'Calendario A'!F53)</f>
        <v/>
      </c>
      <c r="G53" s="9" t="n"/>
      <c r="H53" s="9" t="n"/>
      <c r="I53" s="10" t="n"/>
      <c r="J53" s="195">
        <f>IF('Calendario A'!J53="","",'Calendario A'!J53)</f>
        <v/>
      </c>
      <c r="K53" s="64" t="inlineStr">
        <is>
          <t>-</t>
        </is>
      </c>
      <c r="L53" s="195">
        <f>IF('Calendario A'!L53="","",'Calendario A'!L53)</f>
        <v/>
      </c>
      <c r="M53" s="196" t="n"/>
      <c r="N53" s="196" t="n"/>
      <c r="O53" s="196" t="n"/>
      <c r="P53" s="196" t="n"/>
      <c r="Q53" s="196" t="n"/>
      <c r="R53" s="196" t="n"/>
    </row>
    <row r="54" ht="15" customHeight="1">
      <c r="A54" s="141" t="n"/>
      <c r="B54" s="69">
        <f>IF('Calendario A'!B54="","",'Calendario A'!B54)</f>
        <v/>
      </c>
      <c r="C54" s="9" t="n"/>
      <c r="D54" s="9" t="n"/>
      <c r="E54" s="9" t="n"/>
      <c r="F54" s="9" t="n"/>
      <c r="G54" s="9" t="n"/>
      <c r="H54" s="10" t="n"/>
      <c r="I54" s="62">
        <f>IF('Calendario A'!I54="","",'Calendario A'!I54)</f>
        <v/>
      </c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</row>
    <row r="55" ht="14" customHeight="1">
      <c r="A55" s="58" t="inlineStr">
        <is>
          <t>Gara N.</t>
        </is>
      </c>
      <c r="B55" s="58" t="inlineStr">
        <is>
          <t>Squadra A</t>
        </is>
      </c>
      <c r="C55" s="10" t="n"/>
      <c r="D55" s="58" t="inlineStr">
        <is>
          <t>Squadra B</t>
        </is>
      </c>
      <c r="E55" s="10" t="n"/>
      <c r="F55" s="58" t="inlineStr">
        <is>
          <t>Giorno</t>
        </is>
      </c>
      <c r="G55" s="58" t="inlineStr">
        <is>
          <t>Data</t>
        </is>
      </c>
      <c r="H55" s="58" t="inlineStr">
        <is>
          <t>Ora</t>
        </is>
      </c>
      <c r="I55" s="10" t="n"/>
      <c r="J55" s="58" t="inlineStr">
        <is>
          <t>Risultato</t>
        </is>
      </c>
      <c r="K55" s="9" t="n"/>
      <c r="L55" s="10" t="n"/>
      <c r="M55" s="194" t="inlineStr">
        <is>
          <t>1o Arbitro</t>
        </is>
      </c>
      <c r="N55" s="194" t="inlineStr">
        <is>
          <t>2o Arbitro</t>
        </is>
      </c>
      <c r="O55" s="194" t="inlineStr">
        <is>
          <t>3o Arbitro/Tirocinante</t>
        </is>
      </c>
      <c r="P55" s="194" t="inlineStr">
        <is>
          <t>Referto</t>
        </is>
      </c>
      <c r="Q55" s="194" t="inlineStr">
        <is>
          <t>Cronometro</t>
        </is>
      </c>
      <c r="R55" s="194" t="inlineStr">
        <is>
          <t>Foglio Tiri</t>
        </is>
      </c>
    </row>
    <row r="56" ht="22" customHeight="1">
      <c r="A56" s="60">
        <f>IF('Calendario A'!A56="","",'Calendario A'!A56)</f>
        <v/>
      </c>
      <c r="B56" s="61">
        <f>IF('Calendario A'!B56="","",'Calendario A'!B56)</f>
        <v/>
      </c>
      <c r="C56" s="62">
        <f>IF('Calendario A'!C56="","",'Calendario A'!C56)</f>
        <v/>
      </c>
      <c r="D56" s="61">
        <f>IF('Calendario A'!D56="","",'Calendario A'!D56)</f>
        <v/>
      </c>
      <c r="E56" s="62">
        <f>IF('Calendario A'!E56="","",'Calendario A'!E56)</f>
        <v/>
      </c>
      <c r="F56" s="63">
        <f>IF('Calendario A'!F56="","",'Calendario A'!F56)</f>
        <v/>
      </c>
      <c r="G56" s="9" t="n"/>
      <c r="H56" s="9" t="n"/>
      <c r="I56" s="10" t="n"/>
      <c r="J56" s="195">
        <f>IF('Calendario A'!J56="","",'Calendario A'!J56)</f>
        <v/>
      </c>
      <c r="K56" s="64" t="inlineStr">
        <is>
          <t>-</t>
        </is>
      </c>
      <c r="L56" s="195">
        <f>IF('Calendario A'!L56="","",'Calendario A'!L56)</f>
        <v/>
      </c>
      <c r="M56" s="196" t="n"/>
      <c r="N56" s="196" t="n"/>
      <c r="O56" s="196" t="n"/>
      <c r="P56" s="196" t="n"/>
      <c r="Q56" s="196" t="n"/>
      <c r="R56" s="196" t="n"/>
    </row>
    <row r="57" ht="15" customHeight="1">
      <c r="A57" s="141" t="n"/>
      <c r="B57" s="69">
        <f>IF('Calendario A'!B57="","",'Calendario A'!B57)</f>
        <v/>
      </c>
      <c r="C57" s="9" t="n"/>
      <c r="D57" s="9" t="n"/>
      <c r="E57" s="9" t="n"/>
      <c r="F57" s="9" t="n"/>
      <c r="G57" s="9" t="n"/>
      <c r="H57" s="10" t="n"/>
      <c r="I57" s="62">
        <f>IF('Calendario A'!I57="","",'Calendario A'!I57)</f>
        <v/>
      </c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</row>
    <row r="59" ht="20" customHeight="1">
      <c r="A59" s="55">
        <f>IF('Calendario A'!A59="","",'Calendario A'!A59)</f>
        <v/>
      </c>
      <c r="B59" s="56">
        <f>IF('Calendario A'!B59="","",'Calendario A'!B59)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  <c r="M59" s="193" t="inlineStr">
        <is>
          <t>ARBITRI</t>
        </is>
      </c>
      <c r="N59" s="9" t="n"/>
      <c r="O59" s="10" t="n"/>
      <c r="P59" s="193" t="inlineStr">
        <is>
          <t>UFFICIALI DI CAMPO</t>
        </is>
      </c>
      <c r="Q59" s="9" t="n"/>
      <c r="R59" s="10" t="n"/>
    </row>
    <row r="60" ht="14" customHeight="1">
      <c r="A60" s="58" t="inlineStr">
        <is>
          <t>Gara N.</t>
        </is>
      </c>
      <c r="B60" s="58" t="inlineStr">
        <is>
          <t>Squadra A</t>
        </is>
      </c>
      <c r="C60" s="10" t="n"/>
      <c r="D60" s="58" t="inlineStr">
        <is>
          <t>Squadra B</t>
        </is>
      </c>
      <c r="E60" s="10" t="n"/>
      <c r="F60" s="58" t="inlineStr">
        <is>
          <t>Giorno</t>
        </is>
      </c>
      <c r="G60" s="58" t="inlineStr">
        <is>
          <t>Data</t>
        </is>
      </c>
      <c r="H60" s="58" t="inlineStr">
        <is>
          <t>Ora</t>
        </is>
      </c>
      <c r="I60" s="10" t="n"/>
      <c r="J60" s="58" t="inlineStr">
        <is>
          <t>Risultato</t>
        </is>
      </c>
      <c r="K60" s="9" t="n"/>
      <c r="L60" s="10" t="n"/>
      <c r="M60" s="194" t="inlineStr">
        <is>
          <t>1o Arbitro</t>
        </is>
      </c>
      <c r="N60" s="194" t="inlineStr">
        <is>
          <t>2o Arbitro</t>
        </is>
      </c>
      <c r="O60" s="194" t="inlineStr">
        <is>
          <t>3o Arbitro/Tirocinante</t>
        </is>
      </c>
      <c r="P60" s="194" t="inlineStr">
        <is>
          <t>Referto</t>
        </is>
      </c>
      <c r="Q60" s="194" t="inlineStr">
        <is>
          <t>Cronometro</t>
        </is>
      </c>
      <c r="R60" s="194" t="inlineStr">
        <is>
          <t>Foglio Tiri</t>
        </is>
      </c>
    </row>
    <row r="61" ht="22" customHeight="1">
      <c r="A61" s="60">
        <f>IF('Calendario A'!A61="","",'Calendario A'!A61)</f>
        <v/>
      </c>
      <c r="B61" s="61">
        <f>IF('Calendario A'!B61="","",'Calendario A'!B61)</f>
        <v/>
      </c>
      <c r="C61" s="62">
        <f>IF('Calendario A'!C61="","",'Calendario A'!C61)</f>
        <v/>
      </c>
      <c r="D61" s="61">
        <f>IF('Calendario A'!D61="","",'Calendario A'!D61)</f>
        <v/>
      </c>
      <c r="E61" s="62">
        <f>IF('Calendario A'!E61="","",'Calendario A'!E61)</f>
        <v/>
      </c>
      <c r="F61" s="63">
        <f>IF('Calendario A'!F61="","",'Calendario A'!F61)</f>
        <v/>
      </c>
      <c r="G61" s="9" t="n"/>
      <c r="H61" s="9" t="n"/>
      <c r="I61" s="10" t="n"/>
      <c r="J61" s="195">
        <f>IF('Calendario A'!J61="","",'Calendario A'!J61)</f>
        <v/>
      </c>
      <c r="K61" s="64" t="inlineStr">
        <is>
          <t>-</t>
        </is>
      </c>
      <c r="L61" s="195">
        <f>IF('Calendario A'!L61="","",'Calendario A'!L61)</f>
        <v/>
      </c>
      <c r="M61" s="196" t="n"/>
      <c r="N61" s="196" t="n"/>
      <c r="O61" s="196" t="n"/>
      <c r="P61" s="196" t="n"/>
      <c r="Q61" s="196" t="n"/>
      <c r="R61" s="196" t="n"/>
    </row>
    <row r="62" ht="15" customHeight="1">
      <c r="A62" s="141" t="n"/>
      <c r="B62" s="69">
        <f>IF('Calendario A'!B62="","",'Calendario A'!B62)</f>
        <v/>
      </c>
      <c r="C62" s="9" t="n"/>
      <c r="D62" s="9" t="n"/>
      <c r="E62" s="9" t="n"/>
      <c r="F62" s="9" t="n"/>
      <c r="G62" s="9" t="n"/>
      <c r="H62" s="10" t="n"/>
      <c r="I62" s="62">
        <f>IF('Calendario A'!I62="","",'Calendario A'!I62)</f>
        <v/>
      </c>
      <c r="J62" s="141" t="n"/>
      <c r="K62" s="141" t="n"/>
      <c r="L62" s="141" t="n"/>
      <c r="M62" s="141" t="n"/>
      <c r="N62" s="141" t="n"/>
      <c r="O62" s="141" t="n"/>
      <c r="P62" s="141" t="n"/>
      <c r="Q62" s="141" t="n"/>
      <c r="R62" s="141" t="n"/>
    </row>
    <row r="63" ht="14" customHeight="1">
      <c r="A63" s="58" t="inlineStr">
        <is>
          <t>Gara N.</t>
        </is>
      </c>
      <c r="B63" s="58" t="inlineStr">
        <is>
          <t>Squadra A</t>
        </is>
      </c>
      <c r="C63" s="10" t="n"/>
      <c r="D63" s="58" t="inlineStr">
        <is>
          <t>Squadra B</t>
        </is>
      </c>
      <c r="E63" s="10" t="n"/>
      <c r="F63" s="58" t="inlineStr">
        <is>
          <t>Giorno</t>
        </is>
      </c>
      <c r="G63" s="58" t="inlineStr">
        <is>
          <t>Data</t>
        </is>
      </c>
      <c r="H63" s="58" t="inlineStr">
        <is>
          <t>Ora</t>
        </is>
      </c>
      <c r="I63" s="10" t="n"/>
      <c r="J63" s="58" t="inlineStr">
        <is>
          <t>Risultato</t>
        </is>
      </c>
      <c r="K63" s="9" t="n"/>
      <c r="L63" s="10" t="n"/>
      <c r="M63" s="194" t="inlineStr">
        <is>
          <t>1o Arbitro</t>
        </is>
      </c>
      <c r="N63" s="194" t="inlineStr">
        <is>
          <t>2o Arbitro</t>
        </is>
      </c>
      <c r="O63" s="194" t="inlineStr">
        <is>
          <t>3o Arbitro/Tirocinante</t>
        </is>
      </c>
      <c r="P63" s="194" t="inlineStr">
        <is>
          <t>Referto</t>
        </is>
      </c>
      <c r="Q63" s="194" t="inlineStr">
        <is>
          <t>Cronometro</t>
        </is>
      </c>
      <c r="R63" s="194" t="inlineStr">
        <is>
          <t>Foglio Tiri</t>
        </is>
      </c>
    </row>
    <row r="64" ht="22" customHeight="1">
      <c r="A64" s="60">
        <f>IF('Calendario A'!A64="","",'Calendario A'!A64)</f>
        <v/>
      </c>
      <c r="B64" s="61">
        <f>IF('Calendario A'!B64="","",'Calendario A'!B64)</f>
        <v/>
      </c>
      <c r="C64" s="62">
        <f>IF('Calendario A'!C64="","",'Calendario A'!C64)</f>
        <v/>
      </c>
      <c r="D64" s="61">
        <f>IF('Calendario A'!D64="","",'Calendario A'!D64)</f>
        <v/>
      </c>
      <c r="E64" s="62">
        <f>IF('Calendario A'!E64="","",'Calendario A'!E64)</f>
        <v/>
      </c>
      <c r="F64" s="63">
        <f>IF('Calendario A'!F64="","",'Calendario A'!F64)</f>
        <v/>
      </c>
      <c r="G64" s="9" t="n"/>
      <c r="H64" s="9" t="n"/>
      <c r="I64" s="10" t="n"/>
      <c r="J64" s="195">
        <f>IF('Calendario A'!J64="","",'Calendario A'!J64)</f>
        <v/>
      </c>
      <c r="K64" s="64" t="inlineStr">
        <is>
          <t>-</t>
        </is>
      </c>
      <c r="L64" s="195">
        <f>IF('Calendario A'!L64="","",'Calendario A'!L64)</f>
        <v/>
      </c>
      <c r="M64" s="196" t="n"/>
      <c r="N64" s="196" t="n"/>
      <c r="O64" s="196" t="n"/>
      <c r="P64" s="196" t="n"/>
      <c r="Q64" s="196" t="n"/>
      <c r="R64" s="196" t="n"/>
    </row>
    <row r="65" ht="15" customHeight="1">
      <c r="A65" s="141" t="n"/>
      <c r="B65" s="69">
        <f>IF('Calendario A'!B65="","",'Calendario A'!B65)</f>
        <v/>
      </c>
      <c r="C65" s="9" t="n"/>
      <c r="D65" s="9" t="n"/>
      <c r="E65" s="9" t="n"/>
      <c r="F65" s="9" t="n"/>
      <c r="G65" s="9" t="n"/>
      <c r="H65" s="10" t="n"/>
      <c r="I65" s="62">
        <f>IF('Calendario A'!I65="","",'Calendario A'!I65)</f>
        <v/>
      </c>
      <c r="J65" s="141" t="n"/>
      <c r="K65" s="141" t="n"/>
      <c r="L65" s="141" t="n"/>
      <c r="M65" s="141" t="n"/>
      <c r="N65" s="141" t="n"/>
      <c r="O65" s="141" t="n"/>
      <c r="P65" s="141" t="n"/>
      <c r="Q65" s="141" t="n"/>
      <c r="R65" s="141" t="n"/>
    </row>
    <row r="66" ht="14" customHeight="1">
      <c r="A66" s="58" t="inlineStr">
        <is>
          <t>Gara N.</t>
        </is>
      </c>
      <c r="B66" s="58" t="inlineStr">
        <is>
          <t>Squadra A</t>
        </is>
      </c>
      <c r="C66" s="10" t="n"/>
      <c r="D66" s="58" t="inlineStr">
        <is>
          <t>Squadra B</t>
        </is>
      </c>
      <c r="E66" s="10" t="n"/>
      <c r="F66" s="58" t="inlineStr">
        <is>
          <t>Giorno</t>
        </is>
      </c>
      <c r="G66" s="58" t="inlineStr">
        <is>
          <t>Data</t>
        </is>
      </c>
      <c r="H66" s="58" t="inlineStr">
        <is>
          <t>Ora</t>
        </is>
      </c>
      <c r="I66" s="10" t="n"/>
      <c r="J66" s="58" t="inlineStr">
        <is>
          <t>Risultato</t>
        </is>
      </c>
      <c r="K66" s="9" t="n"/>
      <c r="L66" s="10" t="n"/>
      <c r="M66" s="194" t="inlineStr">
        <is>
          <t>1o Arbitro</t>
        </is>
      </c>
      <c r="N66" s="194" t="inlineStr">
        <is>
          <t>2o Arbitro</t>
        </is>
      </c>
      <c r="O66" s="194" t="inlineStr">
        <is>
          <t>3o Arbitro/Tirocinante</t>
        </is>
      </c>
      <c r="P66" s="194" t="inlineStr">
        <is>
          <t>Referto</t>
        </is>
      </c>
      <c r="Q66" s="194" t="inlineStr">
        <is>
          <t>Cronometro</t>
        </is>
      </c>
      <c r="R66" s="194" t="inlineStr">
        <is>
          <t>Foglio Tiri</t>
        </is>
      </c>
    </row>
    <row r="67" ht="22" customHeight="1">
      <c r="A67" s="60">
        <f>IF('Calendario A'!A67="","",'Calendario A'!A67)</f>
        <v/>
      </c>
      <c r="B67" s="61">
        <f>IF('Calendario A'!B67="","",'Calendario A'!B67)</f>
        <v/>
      </c>
      <c r="C67" s="62">
        <f>IF('Calendario A'!C67="","",'Calendario A'!C67)</f>
        <v/>
      </c>
      <c r="D67" s="61">
        <f>IF('Calendario A'!D67="","",'Calendario A'!D67)</f>
        <v/>
      </c>
      <c r="E67" s="62">
        <f>IF('Calendario A'!E67="","",'Calendario A'!E67)</f>
        <v/>
      </c>
      <c r="F67" s="63">
        <f>IF('Calendario A'!F67="","",'Calendario A'!F67)</f>
        <v/>
      </c>
      <c r="G67" s="9" t="n"/>
      <c r="H67" s="9" t="n"/>
      <c r="I67" s="10" t="n"/>
      <c r="J67" s="195">
        <f>IF('Calendario A'!J67="","",'Calendario A'!J67)</f>
        <v/>
      </c>
      <c r="K67" s="64" t="inlineStr">
        <is>
          <t>-</t>
        </is>
      </c>
      <c r="L67" s="195">
        <f>IF('Calendario A'!L67="","",'Calendario A'!L67)</f>
        <v/>
      </c>
      <c r="M67" s="196" t="n"/>
      <c r="N67" s="196" t="n"/>
      <c r="O67" s="196" t="n"/>
      <c r="P67" s="196" t="n"/>
      <c r="Q67" s="196" t="n"/>
      <c r="R67" s="196" t="n"/>
    </row>
    <row r="68" ht="15" customHeight="1">
      <c r="A68" s="141" t="n"/>
      <c r="B68" s="69">
        <f>IF('Calendario A'!B68="","",'Calendario A'!B68)</f>
        <v/>
      </c>
      <c r="C68" s="9" t="n"/>
      <c r="D68" s="9" t="n"/>
      <c r="E68" s="9" t="n"/>
      <c r="F68" s="9" t="n"/>
      <c r="G68" s="9" t="n"/>
      <c r="H68" s="10" t="n"/>
      <c r="I68" s="62">
        <f>IF('Calendario A'!I68="","",'Calendario A'!I68)</f>
        <v/>
      </c>
      <c r="J68" s="141" t="n"/>
      <c r="K68" s="141" t="n"/>
      <c r="L68" s="141" t="n"/>
      <c r="M68" s="141" t="n"/>
      <c r="N68" s="141" t="n"/>
      <c r="O68" s="141" t="n"/>
      <c r="P68" s="141" t="n"/>
      <c r="Q68" s="141" t="n"/>
      <c r="R68" s="141" t="n"/>
    </row>
    <row r="69" ht="14" customHeight="1">
      <c r="A69" s="58" t="inlineStr">
        <is>
          <t>Gara N.</t>
        </is>
      </c>
      <c r="B69" s="58" t="inlineStr">
        <is>
          <t>Squadra A</t>
        </is>
      </c>
      <c r="C69" s="10" t="n"/>
      <c r="D69" s="58" t="inlineStr">
        <is>
          <t>Squadra B</t>
        </is>
      </c>
      <c r="E69" s="10" t="n"/>
      <c r="F69" s="58" t="inlineStr">
        <is>
          <t>Giorno</t>
        </is>
      </c>
      <c r="G69" s="58" t="inlineStr">
        <is>
          <t>Data</t>
        </is>
      </c>
      <c r="H69" s="58" t="inlineStr">
        <is>
          <t>Ora</t>
        </is>
      </c>
      <c r="I69" s="10" t="n"/>
      <c r="J69" s="58" t="inlineStr">
        <is>
          <t>Risultato</t>
        </is>
      </c>
      <c r="K69" s="9" t="n"/>
      <c r="L69" s="10" t="n"/>
      <c r="M69" s="194" t="inlineStr">
        <is>
          <t>1o Arbitro</t>
        </is>
      </c>
      <c r="N69" s="194" t="inlineStr">
        <is>
          <t>2o Arbitro</t>
        </is>
      </c>
      <c r="O69" s="194" t="inlineStr">
        <is>
          <t>3o Arbitro/Tirocinante</t>
        </is>
      </c>
      <c r="P69" s="194" t="inlineStr">
        <is>
          <t>Referto</t>
        </is>
      </c>
      <c r="Q69" s="194" t="inlineStr">
        <is>
          <t>Cronometro</t>
        </is>
      </c>
      <c r="R69" s="194" t="inlineStr">
        <is>
          <t>Foglio Tiri</t>
        </is>
      </c>
    </row>
    <row r="70" ht="22" customHeight="1">
      <c r="A70" s="60">
        <f>IF('Calendario A'!A70="","",'Calendario A'!A70)</f>
        <v/>
      </c>
      <c r="B70" s="61">
        <f>IF('Calendario A'!B70="","",'Calendario A'!B70)</f>
        <v/>
      </c>
      <c r="C70" s="62">
        <f>IF('Calendario A'!C70="","",'Calendario A'!C70)</f>
        <v/>
      </c>
      <c r="D70" s="61">
        <f>IF('Calendario A'!D70="","",'Calendario A'!D70)</f>
        <v/>
      </c>
      <c r="E70" s="62">
        <f>IF('Calendario A'!E70="","",'Calendario A'!E70)</f>
        <v/>
      </c>
      <c r="F70" s="63">
        <f>IF('Calendario A'!F70="","",'Calendario A'!F70)</f>
        <v/>
      </c>
      <c r="G70" s="9" t="n"/>
      <c r="H70" s="9" t="n"/>
      <c r="I70" s="10" t="n"/>
      <c r="J70" s="195">
        <f>IF('Calendario A'!J70="","",'Calendario A'!J70)</f>
        <v/>
      </c>
      <c r="K70" s="64" t="inlineStr">
        <is>
          <t>-</t>
        </is>
      </c>
      <c r="L70" s="195">
        <f>IF('Calendario A'!L70="","",'Calendario A'!L70)</f>
        <v/>
      </c>
      <c r="M70" s="196" t="n"/>
      <c r="N70" s="196" t="n"/>
      <c r="O70" s="196" t="n"/>
      <c r="P70" s="196" t="n"/>
      <c r="Q70" s="196" t="n"/>
      <c r="R70" s="196" t="n"/>
    </row>
    <row r="71" ht="15" customHeight="1">
      <c r="A71" s="141" t="n"/>
      <c r="B71" s="69">
        <f>IF('Calendario A'!B71="","",'Calendario A'!B71)</f>
        <v/>
      </c>
      <c r="C71" s="9" t="n"/>
      <c r="D71" s="9" t="n"/>
      <c r="E71" s="9" t="n"/>
      <c r="F71" s="9" t="n"/>
      <c r="G71" s="9" t="n"/>
      <c r="H71" s="10" t="n"/>
      <c r="I71" s="62">
        <f>IF('Calendario A'!I71="","",'Calendario A'!I71)</f>
        <v/>
      </c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</row>
    <row r="72" ht="14" customHeight="1">
      <c r="A72" s="58" t="inlineStr">
        <is>
          <t>Gara N.</t>
        </is>
      </c>
      <c r="B72" s="58" t="inlineStr">
        <is>
          <t>Squadra A</t>
        </is>
      </c>
      <c r="C72" s="10" t="n"/>
      <c r="D72" s="58" t="inlineStr">
        <is>
          <t>Squadra B</t>
        </is>
      </c>
      <c r="E72" s="10" t="n"/>
      <c r="F72" s="58" t="inlineStr">
        <is>
          <t>Giorno</t>
        </is>
      </c>
      <c r="G72" s="58" t="inlineStr">
        <is>
          <t>Data</t>
        </is>
      </c>
      <c r="H72" s="58" t="inlineStr">
        <is>
          <t>Ora</t>
        </is>
      </c>
      <c r="I72" s="10" t="n"/>
      <c r="J72" s="58" t="inlineStr">
        <is>
          <t>Risultato</t>
        </is>
      </c>
      <c r="K72" s="9" t="n"/>
      <c r="L72" s="10" t="n"/>
      <c r="M72" s="194" t="inlineStr">
        <is>
          <t>1o Arbitro</t>
        </is>
      </c>
      <c r="N72" s="194" t="inlineStr">
        <is>
          <t>2o Arbitro</t>
        </is>
      </c>
      <c r="O72" s="194" t="inlineStr">
        <is>
          <t>3o Arbitro/Tirocinante</t>
        </is>
      </c>
      <c r="P72" s="194" t="inlineStr">
        <is>
          <t>Referto</t>
        </is>
      </c>
      <c r="Q72" s="194" t="inlineStr">
        <is>
          <t>Cronometro</t>
        </is>
      </c>
      <c r="R72" s="194" t="inlineStr">
        <is>
          <t>Foglio Tiri</t>
        </is>
      </c>
    </row>
    <row r="73" ht="22" customHeight="1">
      <c r="A73" s="60">
        <f>IF('Calendario A'!A73="","",'Calendario A'!A73)</f>
        <v/>
      </c>
      <c r="B73" s="61">
        <f>IF('Calendario A'!B73="","",'Calendario A'!B73)</f>
        <v/>
      </c>
      <c r="C73" s="62">
        <f>IF('Calendario A'!C73="","",'Calendario A'!C73)</f>
        <v/>
      </c>
      <c r="D73" s="61">
        <f>IF('Calendario A'!D73="","",'Calendario A'!D73)</f>
        <v/>
      </c>
      <c r="E73" s="62">
        <f>IF('Calendario A'!E73="","",'Calendario A'!E73)</f>
        <v/>
      </c>
      <c r="F73" s="63">
        <f>IF('Calendario A'!F73="","",'Calendario A'!F73)</f>
        <v/>
      </c>
      <c r="G73" s="9" t="n"/>
      <c r="H73" s="9" t="n"/>
      <c r="I73" s="10" t="n"/>
      <c r="J73" s="195">
        <f>IF('Calendario A'!J73="","",'Calendario A'!J73)</f>
        <v/>
      </c>
      <c r="K73" s="64" t="inlineStr">
        <is>
          <t>-</t>
        </is>
      </c>
      <c r="L73" s="195">
        <f>IF('Calendario A'!L73="","",'Calendario A'!L73)</f>
        <v/>
      </c>
      <c r="M73" s="196" t="n"/>
      <c r="N73" s="196" t="n"/>
      <c r="O73" s="196" t="n"/>
      <c r="P73" s="196" t="n"/>
      <c r="Q73" s="196" t="n"/>
      <c r="R73" s="196" t="n"/>
    </row>
    <row r="74" ht="15" customHeight="1">
      <c r="A74" s="141" t="n"/>
      <c r="B74" s="69">
        <f>IF('Calendario A'!B74="","",'Calendario A'!B74)</f>
        <v/>
      </c>
      <c r="C74" s="9" t="n"/>
      <c r="D74" s="9" t="n"/>
      <c r="E74" s="9" t="n"/>
      <c r="F74" s="9" t="n"/>
      <c r="G74" s="9" t="n"/>
      <c r="H74" s="10" t="n"/>
      <c r="I74" s="62">
        <f>IF('Calendario A'!I74="","",'Calendario A'!I74)</f>
        <v/>
      </c>
      <c r="J74" s="141" t="n"/>
      <c r="K74" s="141" t="n"/>
      <c r="L74" s="141" t="n"/>
      <c r="M74" s="141" t="n"/>
      <c r="N74" s="141" t="n"/>
      <c r="O74" s="141" t="n"/>
      <c r="P74" s="141" t="n"/>
      <c r="Q74" s="141" t="n"/>
      <c r="R74" s="141" t="n"/>
    </row>
    <row r="76" ht="20" customHeight="1">
      <c r="A76" s="55">
        <f>IF('Calendario A'!A76="","",'Calendario A'!A76)</f>
        <v/>
      </c>
      <c r="B76" s="56">
        <f>IF('Calendario A'!B76="","",'Calendario A'!B76)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  <c r="M76" s="193" t="inlineStr">
        <is>
          <t>ARBITRI</t>
        </is>
      </c>
      <c r="N76" s="9" t="n"/>
      <c r="O76" s="10" t="n"/>
      <c r="P76" s="193" t="inlineStr">
        <is>
          <t>UFFICIALI DI CAMPO</t>
        </is>
      </c>
      <c r="Q76" s="9" t="n"/>
      <c r="R76" s="10" t="n"/>
    </row>
    <row r="77" ht="14" customHeight="1">
      <c r="A77" s="58" t="inlineStr">
        <is>
          <t>Gara N.</t>
        </is>
      </c>
      <c r="B77" s="58" t="inlineStr">
        <is>
          <t>Squadra A</t>
        </is>
      </c>
      <c r="C77" s="10" t="n"/>
      <c r="D77" s="58" t="inlineStr">
        <is>
          <t>Squadra B</t>
        </is>
      </c>
      <c r="E77" s="10" t="n"/>
      <c r="F77" s="58" t="inlineStr">
        <is>
          <t>Giorno</t>
        </is>
      </c>
      <c r="G77" s="58" t="inlineStr">
        <is>
          <t>Data</t>
        </is>
      </c>
      <c r="H77" s="58" t="inlineStr">
        <is>
          <t>Ora</t>
        </is>
      </c>
      <c r="I77" s="10" t="n"/>
      <c r="J77" s="58" t="inlineStr">
        <is>
          <t>Risultato</t>
        </is>
      </c>
      <c r="K77" s="9" t="n"/>
      <c r="L77" s="10" t="n"/>
      <c r="M77" s="194" t="inlineStr">
        <is>
          <t>1o Arbitro</t>
        </is>
      </c>
      <c r="N77" s="194" t="inlineStr">
        <is>
          <t>2o Arbitro</t>
        </is>
      </c>
      <c r="O77" s="194" t="inlineStr">
        <is>
          <t>3o Arbitro/Tirocinante</t>
        </is>
      </c>
      <c r="P77" s="194" t="inlineStr">
        <is>
          <t>Referto</t>
        </is>
      </c>
      <c r="Q77" s="194" t="inlineStr">
        <is>
          <t>Cronometro</t>
        </is>
      </c>
      <c r="R77" s="194" t="inlineStr">
        <is>
          <t>Foglio Tiri</t>
        </is>
      </c>
    </row>
    <row r="78" ht="22" customHeight="1">
      <c r="A78" s="60">
        <f>IF('Calendario A'!A78="","",'Calendario A'!A78)</f>
        <v/>
      </c>
      <c r="B78" s="61">
        <f>IF('Calendario A'!B78="","",'Calendario A'!B78)</f>
        <v/>
      </c>
      <c r="C78" s="62">
        <f>IF('Calendario A'!C78="","",'Calendario A'!C78)</f>
        <v/>
      </c>
      <c r="D78" s="61">
        <f>IF('Calendario A'!D78="","",'Calendario A'!D78)</f>
        <v/>
      </c>
      <c r="E78" s="62">
        <f>IF('Calendario A'!E78="","",'Calendario A'!E78)</f>
        <v/>
      </c>
      <c r="F78" s="63">
        <f>IF('Calendario A'!F78="","",'Calendario A'!F78)</f>
        <v/>
      </c>
      <c r="G78" s="9" t="n"/>
      <c r="H78" s="9" t="n"/>
      <c r="I78" s="10" t="n"/>
      <c r="J78" s="195">
        <f>IF('Calendario A'!J78="","",'Calendario A'!J78)</f>
        <v/>
      </c>
      <c r="K78" s="64" t="inlineStr">
        <is>
          <t>-</t>
        </is>
      </c>
      <c r="L78" s="195">
        <f>IF('Calendario A'!L78="","",'Calendario A'!L78)</f>
        <v/>
      </c>
      <c r="M78" s="196" t="n"/>
      <c r="N78" s="196" t="n"/>
      <c r="O78" s="196" t="n"/>
      <c r="P78" s="196" t="n"/>
      <c r="Q78" s="196" t="n"/>
      <c r="R78" s="196" t="n"/>
    </row>
    <row r="79" ht="15" customHeight="1">
      <c r="A79" s="141" t="n"/>
      <c r="B79" s="69">
        <f>IF('Calendario A'!B79="","",'Calendario A'!B79)</f>
        <v/>
      </c>
      <c r="C79" s="9" t="n"/>
      <c r="D79" s="9" t="n"/>
      <c r="E79" s="9" t="n"/>
      <c r="F79" s="9" t="n"/>
      <c r="G79" s="9" t="n"/>
      <c r="H79" s="10" t="n"/>
      <c r="I79" s="62">
        <f>IF('Calendario A'!I79="","",'Calendario A'!I79)</f>
        <v/>
      </c>
      <c r="J79" s="141" t="n"/>
      <c r="K79" s="141" t="n"/>
      <c r="L79" s="141" t="n"/>
      <c r="M79" s="141" t="n"/>
      <c r="N79" s="141" t="n"/>
      <c r="O79" s="141" t="n"/>
      <c r="P79" s="141" t="n"/>
      <c r="Q79" s="141" t="n"/>
      <c r="R79" s="141" t="n"/>
    </row>
    <row r="80" ht="14" customHeight="1">
      <c r="A80" s="58" t="inlineStr">
        <is>
          <t>Gara N.</t>
        </is>
      </c>
      <c r="B80" s="58" t="inlineStr">
        <is>
          <t>Squadra A</t>
        </is>
      </c>
      <c r="C80" s="10" t="n"/>
      <c r="D80" s="58" t="inlineStr">
        <is>
          <t>Squadra B</t>
        </is>
      </c>
      <c r="E80" s="10" t="n"/>
      <c r="F80" s="58" t="inlineStr">
        <is>
          <t>Giorno</t>
        </is>
      </c>
      <c r="G80" s="58" t="inlineStr">
        <is>
          <t>Data</t>
        </is>
      </c>
      <c r="H80" s="58" t="inlineStr">
        <is>
          <t>Ora</t>
        </is>
      </c>
      <c r="I80" s="10" t="n"/>
      <c r="J80" s="58" t="inlineStr">
        <is>
          <t>Risultato</t>
        </is>
      </c>
      <c r="K80" s="9" t="n"/>
      <c r="L80" s="10" t="n"/>
      <c r="M80" s="194" t="inlineStr">
        <is>
          <t>1o Arbitro</t>
        </is>
      </c>
      <c r="N80" s="194" t="inlineStr">
        <is>
          <t>2o Arbitro</t>
        </is>
      </c>
      <c r="O80" s="194" t="inlineStr">
        <is>
          <t>3o Arbitro/Tirocinante</t>
        </is>
      </c>
      <c r="P80" s="194" t="inlineStr">
        <is>
          <t>Referto</t>
        </is>
      </c>
      <c r="Q80" s="194" t="inlineStr">
        <is>
          <t>Cronometro</t>
        </is>
      </c>
      <c r="R80" s="194" t="inlineStr">
        <is>
          <t>Foglio Tiri</t>
        </is>
      </c>
    </row>
    <row r="81" ht="22" customHeight="1">
      <c r="A81" s="60">
        <f>IF('Calendario A'!A81="","",'Calendario A'!A81)</f>
        <v/>
      </c>
      <c r="B81" s="61">
        <f>IF('Calendario A'!B81="","",'Calendario A'!B81)</f>
        <v/>
      </c>
      <c r="C81" s="62">
        <f>IF('Calendario A'!C81="","",'Calendario A'!C81)</f>
        <v/>
      </c>
      <c r="D81" s="61">
        <f>IF('Calendario A'!D81="","",'Calendario A'!D81)</f>
        <v/>
      </c>
      <c r="E81" s="62">
        <f>IF('Calendario A'!E81="","",'Calendario A'!E81)</f>
        <v/>
      </c>
      <c r="F81" s="63">
        <f>IF('Calendario A'!F81="","",'Calendario A'!F81)</f>
        <v/>
      </c>
      <c r="G81" s="9" t="n"/>
      <c r="H81" s="9" t="n"/>
      <c r="I81" s="10" t="n"/>
      <c r="J81" s="195">
        <f>IF('Calendario A'!J81="","",'Calendario A'!J81)</f>
        <v/>
      </c>
      <c r="K81" s="64" t="inlineStr">
        <is>
          <t>-</t>
        </is>
      </c>
      <c r="L81" s="195">
        <f>IF('Calendario A'!L81="","",'Calendario A'!L81)</f>
        <v/>
      </c>
      <c r="M81" s="196" t="n"/>
      <c r="N81" s="196" t="n"/>
      <c r="O81" s="196" t="n"/>
      <c r="P81" s="196" t="n"/>
      <c r="Q81" s="196" t="n"/>
      <c r="R81" s="196" t="n"/>
    </row>
    <row r="82" ht="15" customHeight="1">
      <c r="A82" s="141" t="n"/>
      <c r="B82" s="69">
        <f>IF('Calendario A'!B82="","",'Calendario A'!B82)</f>
        <v/>
      </c>
      <c r="C82" s="9" t="n"/>
      <c r="D82" s="9" t="n"/>
      <c r="E82" s="9" t="n"/>
      <c r="F82" s="9" t="n"/>
      <c r="G82" s="9" t="n"/>
      <c r="H82" s="10" t="n"/>
      <c r="I82" s="62">
        <f>IF('Calendario A'!I82="","",'Calendario A'!I82)</f>
        <v/>
      </c>
      <c r="J82" s="141" t="n"/>
      <c r="K82" s="141" t="n"/>
      <c r="L82" s="141" t="n"/>
      <c r="M82" s="141" t="n"/>
      <c r="N82" s="141" t="n"/>
      <c r="O82" s="141" t="n"/>
      <c r="P82" s="141" t="n"/>
      <c r="Q82" s="141" t="n"/>
      <c r="R82" s="141" t="n"/>
    </row>
    <row r="83" ht="14" customHeight="1">
      <c r="A83" s="58" t="inlineStr">
        <is>
          <t>Gara N.</t>
        </is>
      </c>
      <c r="B83" s="58" t="inlineStr">
        <is>
          <t>Squadra A</t>
        </is>
      </c>
      <c r="C83" s="10" t="n"/>
      <c r="D83" s="58" t="inlineStr">
        <is>
          <t>Squadra B</t>
        </is>
      </c>
      <c r="E83" s="10" t="n"/>
      <c r="F83" s="58" t="inlineStr">
        <is>
          <t>Giorno</t>
        </is>
      </c>
      <c r="G83" s="58" t="inlineStr">
        <is>
          <t>Data</t>
        </is>
      </c>
      <c r="H83" s="58" t="inlineStr">
        <is>
          <t>Ora</t>
        </is>
      </c>
      <c r="I83" s="10" t="n"/>
      <c r="J83" s="58" t="inlineStr">
        <is>
          <t>Risultato</t>
        </is>
      </c>
      <c r="K83" s="9" t="n"/>
      <c r="L83" s="10" t="n"/>
      <c r="M83" s="194" t="inlineStr">
        <is>
          <t>1o Arbitro</t>
        </is>
      </c>
      <c r="N83" s="194" t="inlineStr">
        <is>
          <t>2o Arbitro</t>
        </is>
      </c>
      <c r="O83" s="194" t="inlineStr">
        <is>
          <t>3o Arbitro/Tirocinante</t>
        </is>
      </c>
      <c r="P83" s="194" t="inlineStr">
        <is>
          <t>Referto</t>
        </is>
      </c>
      <c r="Q83" s="194" t="inlineStr">
        <is>
          <t>Cronometro</t>
        </is>
      </c>
      <c r="R83" s="194" t="inlineStr">
        <is>
          <t>Foglio Tiri</t>
        </is>
      </c>
    </row>
    <row r="84" ht="22" customHeight="1">
      <c r="A84" s="60">
        <f>IF('Calendario A'!A84="","",'Calendario A'!A84)</f>
        <v/>
      </c>
      <c r="B84" s="61">
        <f>IF('Calendario A'!B84="","",'Calendario A'!B84)</f>
        <v/>
      </c>
      <c r="C84" s="62">
        <f>IF('Calendario A'!C84="","",'Calendario A'!C84)</f>
        <v/>
      </c>
      <c r="D84" s="61">
        <f>IF('Calendario A'!D84="","",'Calendario A'!D84)</f>
        <v/>
      </c>
      <c r="E84" s="62">
        <f>IF('Calendario A'!E84="","",'Calendario A'!E84)</f>
        <v/>
      </c>
      <c r="F84" s="63">
        <f>IF('Calendario A'!F84="","",'Calendario A'!F84)</f>
        <v/>
      </c>
      <c r="G84" s="9" t="n"/>
      <c r="H84" s="9" t="n"/>
      <c r="I84" s="10" t="n"/>
      <c r="J84" s="195">
        <f>IF('Calendario A'!J84="","",'Calendario A'!J84)</f>
        <v/>
      </c>
      <c r="K84" s="64" t="inlineStr">
        <is>
          <t>-</t>
        </is>
      </c>
      <c r="L84" s="195">
        <f>IF('Calendario A'!L84="","",'Calendario A'!L84)</f>
        <v/>
      </c>
      <c r="M84" s="196" t="n"/>
      <c r="N84" s="196" t="n"/>
      <c r="O84" s="196" t="n"/>
      <c r="P84" s="196" t="n"/>
      <c r="Q84" s="196" t="n"/>
      <c r="R84" s="196" t="n"/>
    </row>
    <row r="85" ht="15" customHeight="1">
      <c r="A85" s="141" t="n"/>
      <c r="B85" s="69">
        <f>IF('Calendario A'!B85="","",'Calendario A'!B85)</f>
        <v/>
      </c>
      <c r="C85" s="9" t="n"/>
      <c r="D85" s="9" t="n"/>
      <c r="E85" s="9" t="n"/>
      <c r="F85" s="9" t="n"/>
      <c r="G85" s="9" t="n"/>
      <c r="H85" s="10" t="n"/>
      <c r="I85" s="62">
        <f>IF('Calendario A'!I85="","",'Calendario A'!I85)</f>
        <v/>
      </c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</row>
    <row r="86" ht="14" customHeight="1">
      <c r="A86" s="58" t="inlineStr">
        <is>
          <t>Gara N.</t>
        </is>
      </c>
      <c r="B86" s="58" t="inlineStr">
        <is>
          <t>Squadra A</t>
        </is>
      </c>
      <c r="C86" s="10" t="n"/>
      <c r="D86" s="58" t="inlineStr">
        <is>
          <t>Squadra B</t>
        </is>
      </c>
      <c r="E86" s="10" t="n"/>
      <c r="F86" s="58" t="inlineStr">
        <is>
          <t>Giorno</t>
        </is>
      </c>
      <c r="G86" s="58" t="inlineStr">
        <is>
          <t>Data</t>
        </is>
      </c>
      <c r="H86" s="58" t="inlineStr">
        <is>
          <t>Ora</t>
        </is>
      </c>
      <c r="I86" s="10" t="n"/>
      <c r="J86" s="58" t="inlineStr">
        <is>
          <t>Risultato</t>
        </is>
      </c>
      <c r="K86" s="9" t="n"/>
      <c r="L86" s="10" t="n"/>
      <c r="M86" s="194" t="inlineStr">
        <is>
          <t>1o Arbitro</t>
        </is>
      </c>
      <c r="N86" s="194" t="inlineStr">
        <is>
          <t>2o Arbitro</t>
        </is>
      </c>
      <c r="O86" s="194" t="inlineStr">
        <is>
          <t>3o Arbitro/Tirocinante</t>
        </is>
      </c>
      <c r="P86" s="194" t="inlineStr">
        <is>
          <t>Referto</t>
        </is>
      </c>
      <c r="Q86" s="194" t="inlineStr">
        <is>
          <t>Cronometro</t>
        </is>
      </c>
      <c r="R86" s="194" t="inlineStr">
        <is>
          <t>Foglio Tiri</t>
        </is>
      </c>
    </row>
    <row r="87" ht="22" customHeight="1">
      <c r="A87" s="60">
        <f>IF('Calendario A'!A87="","",'Calendario A'!A87)</f>
        <v/>
      </c>
      <c r="B87" s="61">
        <f>IF('Calendario A'!B87="","",'Calendario A'!B87)</f>
        <v/>
      </c>
      <c r="C87" s="62">
        <f>IF('Calendario A'!C87="","",'Calendario A'!C87)</f>
        <v/>
      </c>
      <c r="D87" s="61">
        <f>IF('Calendario A'!D87="","",'Calendario A'!D87)</f>
        <v/>
      </c>
      <c r="E87" s="62">
        <f>IF('Calendario A'!E87="","",'Calendario A'!E87)</f>
        <v/>
      </c>
      <c r="F87" s="63">
        <f>IF('Calendario A'!F87="","",'Calendario A'!F87)</f>
        <v/>
      </c>
      <c r="G87" s="9" t="n"/>
      <c r="H87" s="9" t="n"/>
      <c r="I87" s="10" t="n"/>
      <c r="J87" s="195">
        <f>IF('Calendario A'!J87="","",'Calendario A'!J87)</f>
        <v/>
      </c>
      <c r="K87" s="64" t="inlineStr">
        <is>
          <t>-</t>
        </is>
      </c>
      <c r="L87" s="195">
        <f>IF('Calendario A'!L87="","",'Calendario A'!L87)</f>
        <v/>
      </c>
      <c r="M87" s="196" t="n"/>
      <c r="N87" s="196" t="n"/>
      <c r="O87" s="196" t="n"/>
      <c r="P87" s="196" t="n"/>
      <c r="Q87" s="196" t="n"/>
      <c r="R87" s="196" t="n"/>
    </row>
    <row r="88" ht="15" customHeight="1">
      <c r="A88" s="141" t="n"/>
      <c r="B88" s="69">
        <f>IF('Calendario A'!B88="","",'Calendario A'!B88)</f>
        <v/>
      </c>
      <c r="C88" s="9" t="n"/>
      <c r="D88" s="9" t="n"/>
      <c r="E88" s="9" t="n"/>
      <c r="F88" s="9" t="n"/>
      <c r="G88" s="9" t="n"/>
      <c r="H88" s="10" t="n"/>
      <c r="I88" s="62">
        <f>IF('Calendario A'!I88="","",'Calendario A'!I88)</f>
        <v/>
      </c>
      <c r="J88" s="141" t="n"/>
      <c r="K88" s="141" t="n"/>
      <c r="L88" s="141" t="n"/>
      <c r="M88" s="141" t="n"/>
      <c r="N88" s="141" t="n"/>
      <c r="O88" s="141" t="n"/>
      <c r="P88" s="141" t="n"/>
      <c r="Q88" s="141" t="n"/>
      <c r="R88" s="141" t="n"/>
    </row>
    <row r="89" ht="14" customHeight="1">
      <c r="A89" s="58" t="inlineStr">
        <is>
          <t>Gara N.</t>
        </is>
      </c>
      <c r="B89" s="58" t="inlineStr">
        <is>
          <t>Squadra A</t>
        </is>
      </c>
      <c r="C89" s="10" t="n"/>
      <c r="D89" s="58" t="inlineStr">
        <is>
          <t>Squadra B</t>
        </is>
      </c>
      <c r="E89" s="10" t="n"/>
      <c r="F89" s="58" t="inlineStr">
        <is>
          <t>Giorno</t>
        </is>
      </c>
      <c r="G89" s="58" t="inlineStr">
        <is>
          <t>Data</t>
        </is>
      </c>
      <c r="H89" s="58" t="inlineStr">
        <is>
          <t>Ora</t>
        </is>
      </c>
      <c r="I89" s="10" t="n"/>
      <c r="J89" s="58" t="inlineStr">
        <is>
          <t>Risultato</t>
        </is>
      </c>
      <c r="K89" s="9" t="n"/>
      <c r="L89" s="10" t="n"/>
      <c r="M89" s="194" t="inlineStr">
        <is>
          <t>1o Arbitro</t>
        </is>
      </c>
      <c r="N89" s="194" t="inlineStr">
        <is>
          <t>2o Arbitro</t>
        </is>
      </c>
      <c r="O89" s="194" t="inlineStr">
        <is>
          <t>3o Arbitro/Tirocinante</t>
        </is>
      </c>
      <c r="P89" s="194" t="inlineStr">
        <is>
          <t>Referto</t>
        </is>
      </c>
      <c r="Q89" s="194" t="inlineStr">
        <is>
          <t>Cronometro</t>
        </is>
      </c>
      <c r="R89" s="194" t="inlineStr">
        <is>
          <t>Foglio Tiri</t>
        </is>
      </c>
    </row>
    <row r="90" ht="22" customHeight="1">
      <c r="A90" s="60">
        <f>IF('Calendario A'!A90="","",'Calendario A'!A90)</f>
        <v/>
      </c>
      <c r="B90" s="61">
        <f>IF('Calendario A'!B90="","",'Calendario A'!B90)</f>
        <v/>
      </c>
      <c r="C90" s="62">
        <f>IF('Calendario A'!C90="","",'Calendario A'!C90)</f>
        <v/>
      </c>
      <c r="D90" s="61">
        <f>IF('Calendario A'!D90="","",'Calendario A'!D90)</f>
        <v/>
      </c>
      <c r="E90" s="62">
        <f>IF('Calendario A'!E90="","",'Calendario A'!E90)</f>
        <v/>
      </c>
      <c r="F90" s="63">
        <f>IF('Calendario A'!F90="","",'Calendario A'!F90)</f>
        <v/>
      </c>
      <c r="G90" s="9" t="n"/>
      <c r="H90" s="9" t="n"/>
      <c r="I90" s="10" t="n"/>
      <c r="J90" s="195">
        <f>IF('Calendario A'!J90="","",'Calendario A'!J90)</f>
        <v/>
      </c>
      <c r="K90" s="64" t="inlineStr">
        <is>
          <t>-</t>
        </is>
      </c>
      <c r="L90" s="195">
        <f>IF('Calendario A'!L90="","",'Calendario A'!L90)</f>
        <v/>
      </c>
      <c r="M90" s="196" t="n"/>
      <c r="N90" s="196" t="n"/>
      <c r="O90" s="196" t="n"/>
      <c r="P90" s="196" t="n"/>
      <c r="Q90" s="196" t="n"/>
      <c r="R90" s="196" t="n"/>
    </row>
    <row r="91" ht="15" customHeight="1">
      <c r="A91" s="141" t="n"/>
      <c r="B91" s="69">
        <f>IF('Calendario A'!B91="","",'Calendario A'!B91)</f>
        <v/>
      </c>
      <c r="C91" s="9" t="n"/>
      <c r="D91" s="9" t="n"/>
      <c r="E91" s="9" t="n"/>
      <c r="F91" s="9" t="n"/>
      <c r="G91" s="9" t="n"/>
      <c r="H91" s="10" t="n"/>
      <c r="I91" s="62">
        <f>IF('Calendario A'!I91="","",'Calendario A'!I91)</f>
        <v/>
      </c>
      <c r="J91" s="141" t="n"/>
      <c r="K91" s="141" t="n"/>
      <c r="L91" s="141" t="n"/>
      <c r="M91" s="141" t="n"/>
      <c r="N91" s="141" t="n"/>
      <c r="O91" s="141" t="n"/>
      <c r="P91" s="141" t="n"/>
      <c r="Q91" s="141" t="n"/>
      <c r="R91" s="141" t="n"/>
    </row>
    <row r="93" ht="20" customHeight="1">
      <c r="A93" s="55">
        <f>IF('Calendario A'!A93="","",'Calendario A'!A93)</f>
        <v/>
      </c>
      <c r="B93" s="56">
        <f>IF('Calendario A'!B93="","",'Calendario A'!B93)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  <c r="M93" s="193" t="inlineStr">
        <is>
          <t>ARBITRI</t>
        </is>
      </c>
      <c r="N93" s="9" t="n"/>
      <c r="O93" s="10" t="n"/>
      <c r="P93" s="193" t="inlineStr">
        <is>
          <t>UFFICIALI DI CAMPO</t>
        </is>
      </c>
      <c r="Q93" s="9" t="n"/>
      <c r="R93" s="10" t="n"/>
    </row>
    <row r="94" ht="14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  <c r="M94" s="194" t="inlineStr">
        <is>
          <t>1o Arbitro</t>
        </is>
      </c>
      <c r="N94" s="194" t="inlineStr">
        <is>
          <t>2o Arbitro</t>
        </is>
      </c>
      <c r="O94" s="194" t="inlineStr">
        <is>
          <t>3o Arbitro/Tirocinante</t>
        </is>
      </c>
      <c r="P94" s="194" t="inlineStr">
        <is>
          <t>Referto</t>
        </is>
      </c>
      <c r="Q94" s="194" t="inlineStr">
        <is>
          <t>Cronometro</t>
        </is>
      </c>
      <c r="R94" s="194" t="inlineStr">
        <is>
          <t>Foglio Tiri</t>
        </is>
      </c>
    </row>
    <row r="95" ht="22" customHeight="1">
      <c r="A95" s="60">
        <f>IF('Calendario A'!A95="","",'Calendario A'!A95)</f>
        <v/>
      </c>
      <c r="B95" s="61">
        <f>IF('Calendario A'!B95="","",'Calendario A'!B95)</f>
        <v/>
      </c>
      <c r="C95" s="62">
        <f>IF('Calendario A'!C95="","",'Calendario A'!C95)</f>
        <v/>
      </c>
      <c r="D95" s="61">
        <f>IF('Calendario A'!D95="","",'Calendario A'!D95)</f>
        <v/>
      </c>
      <c r="E95" s="62">
        <f>IF('Calendario A'!E95="","",'Calendario A'!E95)</f>
        <v/>
      </c>
      <c r="F95" s="63">
        <f>IF('Calendario A'!F95="","",'Calendario A'!F95)</f>
        <v/>
      </c>
      <c r="G95" s="9" t="n"/>
      <c r="H95" s="9" t="n"/>
      <c r="I95" s="10" t="n"/>
      <c r="J95" s="195">
        <f>IF('Calendario A'!J95="","",'Calendario A'!J95)</f>
        <v/>
      </c>
      <c r="K95" s="64" t="inlineStr">
        <is>
          <t>-</t>
        </is>
      </c>
      <c r="L95" s="195">
        <f>IF('Calendario A'!L95="","",'Calendario A'!L95)</f>
        <v/>
      </c>
      <c r="M95" s="196" t="n"/>
      <c r="N95" s="196" t="n"/>
      <c r="O95" s="196" t="n"/>
      <c r="P95" s="196" t="n"/>
      <c r="Q95" s="196" t="n"/>
      <c r="R95" s="196" t="n"/>
    </row>
    <row r="96" ht="15" customHeight="1">
      <c r="A96" s="141" t="n"/>
      <c r="B96" s="69">
        <f>IF('Calendario A'!B96="","",'Calendario A'!B96)</f>
        <v/>
      </c>
      <c r="C96" s="9" t="n"/>
      <c r="D96" s="9" t="n"/>
      <c r="E96" s="9" t="n"/>
      <c r="F96" s="9" t="n"/>
      <c r="G96" s="9" t="n"/>
      <c r="H96" s="10" t="n"/>
      <c r="I96" s="62">
        <f>IF('Calendario A'!I96="","",'Calendario A'!I96)</f>
        <v/>
      </c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</row>
    <row r="97" ht="14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  <c r="M97" s="194" t="inlineStr">
        <is>
          <t>1o Arbitro</t>
        </is>
      </c>
      <c r="N97" s="194" t="inlineStr">
        <is>
          <t>2o Arbitro</t>
        </is>
      </c>
      <c r="O97" s="194" t="inlineStr">
        <is>
          <t>3o Arbitro/Tirocinante</t>
        </is>
      </c>
      <c r="P97" s="194" t="inlineStr">
        <is>
          <t>Referto</t>
        </is>
      </c>
      <c r="Q97" s="194" t="inlineStr">
        <is>
          <t>Cronometro</t>
        </is>
      </c>
      <c r="R97" s="194" t="inlineStr">
        <is>
          <t>Foglio Tiri</t>
        </is>
      </c>
    </row>
    <row r="98" ht="22" customHeight="1">
      <c r="A98" s="60">
        <f>IF('Calendario A'!A98="","",'Calendario A'!A98)</f>
        <v/>
      </c>
      <c r="B98" s="61">
        <f>IF('Calendario A'!B98="","",'Calendario A'!B98)</f>
        <v/>
      </c>
      <c r="C98" s="62">
        <f>IF('Calendario A'!C98="","",'Calendario A'!C98)</f>
        <v/>
      </c>
      <c r="D98" s="61">
        <f>IF('Calendario A'!D98="","",'Calendario A'!D98)</f>
        <v/>
      </c>
      <c r="E98" s="62">
        <f>IF('Calendario A'!E98="","",'Calendario A'!E98)</f>
        <v/>
      </c>
      <c r="F98" s="63">
        <f>IF('Calendario A'!F98="","",'Calendario A'!F98)</f>
        <v/>
      </c>
      <c r="G98" s="9" t="n"/>
      <c r="H98" s="9" t="n"/>
      <c r="I98" s="10" t="n"/>
      <c r="J98" s="195">
        <f>IF('Calendario A'!J98="","",'Calendario A'!J98)</f>
        <v/>
      </c>
      <c r="K98" s="64" t="inlineStr">
        <is>
          <t>-</t>
        </is>
      </c>
      <c r="L98" s="195">
        <f>IF('Calendario A'!L98="","",'Calendario A'!L98)</f>
        <v/>
      </c>
      <c r="M98" s="196" t="n"/>
      <c r="N98" s="196" t="n"/>
      <c r="O98" s="196" t="n"/>
      <c r="P98" s="196" t="n"/>
      <c r="Q98" s="196" t="n"/>
      <c r="R98" s="196" t="n"/>
    </row>
    <row r="99" ht="15" customHeight="1">
      <c r="A99" s="141" t="n"/>
      <c r="B99" s="69">
        <f>IF('Calendario A'!B99="","",'Calendario A'!B99)</f>
        <v/>
      </c>
      <c r="C99" s="9" t="n"/>
      <c r="D99" s="9" t="n"/>
      <c r="E99" s="9" t="n"/>
      <c r="F99" s="9" t="n"/>
      <c r="G99" s="9" t="n"/>
      <c r="H99" s="10" t="n"/>
      <c r="I99" s="62">
        <f>IF('Calendario A'!I99="","",'Calendario A'!I99)</f>
        <v/>
      </c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</row>
    <row r="100" ht="14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  <c r="M100" s="194" t="inlineStr">
        <is>
          <t>1o Arbitro</t>
        </is>
      </c>
      <c r="N100" s="194" t="inlineStr">
        <is>
          <t>2o Arbitro</t>
        </is>
      </c>
      <c r="O100" s="194" t="inlineStr">
        <is>
          <t>3o Arbitro/Tirocinante</t>
        </is>
      </c>
      <c r="P100" s="194" t="inlineStr">
        <is>
          <t>Referto</t>
        </is>
      </c>
      <c r="Q100" s="194" t="inlineStr">
        <is>
          <t>Cronometro</t>
        </is>
      </c>
      <c r="R100" s="194" t="inlineStr">
        <is>
          <t>Foglio Tiri</t>
        </is>
      </c>
    </row>
    <row r="101" ht="22" customHeight="1">
      <c r="A101" s="60">
        <f>IF('Calendario A'!A101="","",'Calendario A'!A101)</f>
        <v/>
      </c>
      <c r="B101" s="61">
        <f>IF('Calendario A'!B101="","",'Calendario A'!B101)</f>
        <v/>
      </c>
      <c r="C101" s="62">
        <f>IF('Calendario A'!C101="","",'Calendario A'!C101)</f>
        <v/>
      </c>
      <c r="D101" s="61">
        <f>IF('Calendario A'!D101="","",'Calendario A'!D101)</f>
        <v/>
      </c>
      <c r="E101" s="62">
        <f>IF('Calendario A'!E101="","",'Calendario A'!E101)</f>
        <v/>
      </c>
      <c r="F101" s="63">
        <f>IF('Calendario A'!F101="","",'Calendario A'!F101)</f>
        <v/>
      </c>
      <c r="G101" s="9" t="n"/>
      <c r="H101" s="9" t="n"/>
      <c r="I101" s="10" t="n"/>
      <c r="J101" s="195">
        <f>IF('Calendario A'!J101="","",'Calendario A'!J101)</f>
        <v/>
      </c>
      <c r="K101" s="64" t="inlineStr">
        <is>
          <t>-</t>
        </is>
      </c>
      <c r="L101" s="195">
        <f>IF('Calendario A'!L101="","",'Calendario A'!L101)</f>
        <v/>
      </c>
      <c r="M101" s="196" t="n"/>
      <c r="N101" s="196" t="n"/>
      <c r="O101" s="196" t="n"/>
      <c r="P101" s="196" t="n"/>
      <c r="Q101" s="196" t="n"/>
      <c r="R101" s="196" t="n"/>
    </row>
    <row r="102" ht="15" customHeight="1">
      <c r="A102" s="141" t="n"/>
      <c r="B102" s="69">
        <f>IF('Calendario A'!B102="","",'Calendario A'!B102)</f>
        <v/>
      </c>
      <c r="C102" s="9" t="n"/>
      <c r="D102" s="9" t="n"/>
      <c r="E102" s="9" t="n"/>
      <c r="F102" s="9" t="n"/>
      <c r="G102" s="9" t="n"/>
      <c r="H102" s="10" t="n"/>
      <c r="I102" s="62">
        <f>IF('Calendario A'!I102="","",'Calendario A'!I102)</f>
        <v/>
      </c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</row>
    <row r="103" ht="14" customHeight="1">
      <c r="A103" s="58" t="inlineStr">
        <is>
          <t>Gara N.</t>
        </is>
      </c>
      <c r="B103" s="58" t="inlineStr">
        <is>
          <t>Squadra A</t>
        </is>
      </c>
      <c r="C103" s="10" t="n"/>
      <c r="D103" s="58" t="inlineStr">
        <is>
          <t>Squadra B</t>
        </is>
      </c>
      <c r="E103" s="10" t="n"/>
      <c r="F103" s="58" t="inlineStr">
        <is>
          <t>Giorno</t>
        </is>
      </c>
      <c r="G103" s="58" t="inlineStr">
        <is>
          <t>Data</t>
        </is>
      </c>
      <c r="H103" s="58" t="inlineStr">
        <is>
          <t>Ora</t>
        </is>
      </c>
      <c r="I103" s="10" t="n"/>
      <c r="J103" s="58" t="inlineStr">
        <is>
          <t>Risultato</t>
        </is>
      </c>
      <c r="K103" s="9" t="n"/>
      <c r="L103" s="10" t="n"/>
      <c r="M103" s="194" t="inlineStr">
        <is>
          <t>1o Arbitro</t>
        </is>
      </c>
      <c r="N103" s="194" t="inlineStr">
        <is>
          <t>2o Arbitro</t>
        </is>
      </c>
      <c r="O103" s="194" t="inlineStr">
        <is>
          <t>3o Arbitro/Tirocinante</t>
        </is>
      </c>
      <c r="P103" s="194" t="inlineStr">
        <is>
          <t>Referto</t>
        </is>
      </c>
      <c r="Q103" s="194" t="inlineStr">
        <is>
          <t>Cronometro</t>
        </is>
      </c>
      <c r="R103" s="194" t="inlineStr">
        <is>
          <t>Foglio Tiri</t>
        </is>
      </c>
    </row>
    <row r="104" ht="22" customHeight="1">
      <c r="A104" s="60">
        <f>IF('Calendario A'!A104="","",'Calendario A'!A104)</f>
        <v/>
      </c>
      <c r="B104" s="61">
        <f>IF('Calendario A'!B104="","",'Calendario A'!B104)</f>
        <v/>
      </c>
      <c r="C104" s="62">
        <f>IF('Calendario A'!C104="","",'Calendario A'!C104)</f>
        <v/>
      </c>
      <c r="D104" s="61">
        <f>IF('Calendario A'!D104="","",'Calendario A'!D104)</f>
        <v/>
      </c>
      <c r="E104" s="62">
        <f>IF('Calendario A'!E104="","",'Calendario A'!E104)</f>
        <v/>
      </c>
      <c r="F104" s="63">
        <f>IF('Calendario A'!F104="","",'Calendario A'!F104)</f>
        <v/>
      </c>
      <c r="G104" s="9" t="n"/>
      <c r="H104" s="9" t="n"/>
      <c r="I104" s="10" t="n"/>
      <c r="J104" s="195">
        <f>IF('Calendario A'!J104="","",'Calendario A'!J104)</f>
        <v/>
      </c>
      <c r="K104" s="64" t="inlineStr">
        <is>
          <t>-</t>
        </is>
      </c>
      <c r="L104" s="195">
        <f>IF('Calendario A'!L104="","",'Calendario A'!L104)</f>
        <v/>
      </c>
      <c r="M104" s="196" t="n"/>
      <c r="N104" s="196" t="n"/>
      <c r="O104" s="196" t="n"/>
      <c r="P104" s="196" t="n"/>
      <c r="Q104" s="196" t="n"/>
      <c r="R104" s="196" t="n"/>
    </row>
    <row r="105" ht="15" customHeight="1">
      <c r="A105" s="141" t="n"/>
      <c r="B105" s="69">
        <f>IF('Calendario A'!B105="","",'Calendario A'!B105)</f>
        <v/>
      </c>
      <c r="C105" s="9" t="n"/>
      <c r="D105" s="9" t="n"/>
      <c r="E105" s="9" t="n"/>
      <c r="F105" s="9" t="n"/>
      <c r="G105" s="9" t="n"/>
      <c r="H105" s="10" t="n"/>
      <c r="I105" s="62">
        <f>IF('Calendario A'!I105="","",'Calendario A'!I105)</f>
        <v/>
      </c>
      <c r="J105" s="141" t="n"/>
      <c r="K105" s="141" t="n"/>
      <c r="L105" s="141" t="n"/>
      <c r="M105" s="141" t="n"/>
      <c r="N105" s="141" t="n"/>
      <c r="O105" s="141" t="n"/>
      <c r="P105" s="141" t="n"/>
      <c r="Q105" s="141" t="n"/>
      <c r="R105" s="141" t="n"/>
    </row>
    <row r="106" ht="14" customHeight="1">
      <c r="A106" s="58" t="inlineStr">
        <is>
          <t>Gara N.</t>
        </is>
      </c>
      <c r="B106" s="58" t="inlineStr">
        <is>
          <t>Squadra A</t>
        </is>
      </c>
      <c r="C106" s="10" t="n"/>
      <c r="D106" s="58" t="inlineStr">
        <is>
          <t>Squadra B</t>
        </is>
      </c>
      <c r="E106" s="10" t="n"/>
      <c r="F106" s="58" t="inlineStr">
        <is>
          <t>Giorno</t>
        </is>
      </c>
      <c r="G106" s="58" t="inlineStr">
        <is>
          <t>Data</t>
        </is>
      </c>
      <c r="H106" s="58" t="inlineStr">
        <is>
          <t>Ora</t>
        </is>
      </c>
      <c r="I106" s="10" t="n"/>
      <c r="J106" s="58" t="inlineStr">
        <is>
          <t>Risultato</t>
        </is>
      </c>
      <c r="K106" s="9" t="n"/>
      <c r="L106" s="10" t="n"/>
      <c r="M106" s="194" t="inlineStr">
        <is>
          <t>1o Arbitro</t>
        </is>
      </c>
      <c r="N106" s="194" t="inlineStr">
        <is>
          <t>2o Arbitro</t>
        </is>
      </c>
      <c r="O106" s="194" t="inlineStr">
        <is>
          <t>3o Arbitro/Tirocinante</t>
        </is>
      </c>
      <c r="P106" s="194" t="inlineStr">
        <is>
          <t>Referto</t>
        </is>
      </c>
      <c r="Q106" s="194" t="inlineStr">
        <is>
          <t>Cronometro</t>
        </is>
      </c>
      <c r="R106" s="194" t="inlineStr">
        <is>
          <t>Foglio Tiri</t>
        </is>
      </c>
    </row>
    <row r="107" ht="22" customHeight="1">
      <c r="A107" s="60">
        <f>IF('Calendario A'!A107="","",'Calendario A'!A107)</f>
        <v/>
      </c>
      <c r="B107" s="61">
        <f>IF('Calendario A'!B107="","",'Calendario A'!B107)</f>
        <v/>
      </c>
      <c r="C107" s="62">
        <f>IF('Calendario A'!C107="","",'Calendario A'!C107)</f>
        <v/>
      </c>
      <c r="D107" s="61">
        <f>IF('Calendario A'!D107="","",'Calendario A'!D107)</f>
        <v/>
      </c>
      <c r="E107" s="62">
        <f>IF('Calendario A'!E107="","",'Calendario A'!E107)</f>
        <v/>
      </c>
      <c r="F107" s="63">
        <f>IF('Calendario A'!F107="","",'Calendario A'!F107)</f>
        <v/>
      </c>
      <c r="G107" s="9" t="n"/>
      <c r="H107" s="9" t="n"/>
      <c r="I107" s="10" t="n"/>
      <c r="J107" s="195">
        <f>IF('Calendario A'!J107="","",'Calendario A'!J107)</f>
        <v/>
      </c>
      <c r="K107" s="64" t="inlineStr">
        <is>
          <t>-</t>
        </is>
      </c>
      <c r="L107" s="195">
        <f>IF('Calendario A'!L107="","",'Calendario A'!L107)</f>
        <v/>
      </c>
      <c r="M107" s="196" t="n"/>
      <c r="N107" s="196" t="n"/>
      <c r="O107" s="196" t="n"/>
      <c r="P107" s="196" t="n"/>
      <c r="Q107" s="196" t="n"/>
      <c r="R107" s="196" t="n"/>
    </row>
    <row r="108" ht="15" customHeight="1">
      <c r="A108" s="141" t="n"/>
      <c r="B108" s="69">
        <f>IF('Calendario A'!B108="","",'Calendario A'!B108)</f>
        <v/>
      </c>
      <c r="C108" s="9" t="n"/>
      <c r="D108" s="9" t="n"/>
      <c r="E108" s="9" t="n"/>
      <c r="F108" s="9" t="n"/>
      <c r="G108" s="9" t="n"/>
      <c r="H108" s="10" t="n"/>
      <c r="I108" s="62">
        <f>IF('Calendario A'!I108="","",'Calendario A'!I108)</f>
        <v/>
      </c>
      <c r="J108" s="141" t="n"/>
      <c r="K108" s="141" t="n"/>
      <c r="L108" s="141" t="n"/>
      <c r="M108" s="141" t="n"/>
      <c r="N108" s="141" t="n"/>
      <c r="O108" s="141" t="n"/>
      <c r="P108" s="141" t="n"/>
      <c r="Q108" s="141" t="n"/>
      <c r="R108" s="141" t="n"/>
    </row>
    <row r="110" ht="20" customHeight="1">
      <c r="A110" s="55">
        <f>IF('Calendario A'!A110="","",'Calendario A'!A110)</f>
        <v/>
      </c>
      <c r="B110" s="56">
        <f>IF('Calendario A'!B110="","",'Calendario A'!B110)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  <c r="M110" s="193" t="inlineStr">
        <is>
          <t>ARBITRI</t>
        </is>
      </c>
      <c r="N110" s="9" t="n"/>
      <c r="O110" s="10" t="n"/>
      <c r="P110" s="193" t="inlineStr">
        <is>
          <t>UFFICIALI DI CAMPO</t>
        </is>
      </c>
      <c r="Q110" s="9" t="n"/>
      <c r="R110" s="10" t="n"/>
    </row>
    <row r="111" ht="14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  <c r="M111" s="194" t="inlineStr">
        <is>
          <t>1o Arbitro</t>
        </is>
      </c>
      <c r="N111" s="194" t="inlineStr">
        <is>
          <t>2o Arbitro</t>
        </is>
      </c>
      <c r="O111" s="194" t="inlineStr">
        <is>
          <t>3o Arbitro/Tirocinante</t>
        </is>
      </c>
      <c r="P111" s="194" t="inlineStr">
        <is>
          <t>Referto</t>
        </is>
      </c>
      <c r="Q111" s="194" t="inlineStr">
        <is>
          <t>Cronometro</t>
        </is>
      </c>
      <c r="R111" s="194" t="inlineStr">
        <is>
          <t>Foglio Tiri</t>
        </is>
      </c>
    </row>
    <row r="112" ht="22" customHeight="1">
      <c r="A112" s="60">
        <f>IF('Calendario A'!A112="","",'Calendario A'!A112)</f>
        <v/>
      </c>
      <c r="B112" s="61">
        <f>IF('Calendario A'!B112="","",'Calendario A'!B112)</f>
        <v/>
      </c>
      <c r="C112" s="62">
        <f>IF('Calendario A'!C112="","",'Calendario A'!C112)</f>
        <v/>
      </c>
      <c r="D112" s="61">
        <f>IF('Calendario A'!D112="","",'Calendario A'!D112)</f>
        <v/>
      </c>
      <c r="E112" s="62">
        <f>IF('Calendario A'!E112="","",'Calendario A'!E112)</f>
        <v/>
      </c>
      <c r="F112" s="63">
        <f>IF('Calendario A'!F112="","",'Calendario A'!F112)</f>
        <v/>
      </c>
      <c r="G112" s="9" t="n"/>
      <c r="H112" s="9" t="n"/>
      <c r="I112" s="10" t="n"/>
      <c r="J112" s="195">
        <f>IF('Calendario A'!J112="","",'Calendario A'!J112)</f>
        <v/>
      </c>
      <c r="K112" s="64" t="inlineStr">
        <is>
          <t>-</t>
        </is>
      </c>
      <c r="L112" s="195">
        <f>IF('Calendario A'!L112="","",'Calendario A'!L112)</f>
        <v/>
      </c>
      <c r="M112" s="196" t="n"/>
      <c r="N112" s="196" t="n"/>
      <c r="O112" s="196" t="n"/>
      <c r="P112" s="196" t="n"/>
      <c r="Q112" s="196" t="n"/>
      <c r="R112" s="196" t="n"/>
    </row>
    <row r="113" ht="15" customHeight="1">
      <c r="A113" s="141" t="n"/>
      <c r="B113" s="69">
        <f>IF('Calendario A'!B113="","",'Calendario A'!B113)</f>
        <v/>
      </c>
      <c r="C113" s="9" t="n"/>
      <c r="D113" s="9" t="n"/>
      <c r="E113" s="9" t="n"/>
      <c r="F113" s="9" t="n"/>
      <c r="G113" s="9" t="n"/>
      <c r="H113" s="10" t="n"/>
      <c r="I113" s="62">
        <f>IF('Calendario A'!I113="","",'Calendario A'!I113)</f>
        <v/>
      </c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</row>
    <row r="114" ht="14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  <c r="M114" s="194" t="inlineStr">
        <is>
          <t>1o Arbitro</t>
        </is>
      </c>
      <c r="N114" s="194" t="inlineStr">
        <is>
          <t>2o Arbitro</t>
        </is>
      </c>
      <c r="O114" s="194" t="inlineStr">
        <is>
          <t>3o Arbitro/Tirocinante</t>
        </is>
      </c>
      <c r="P114" s="194" t="inlineStr">
        <is>
          <t>Referto</t>
        </is>
      </c>
      <c r="Q114" s="194" t="inlineStr">
        <is>
          <t>Cronometro</t>
        </is>
      </c>
      <c r="R114" s="194" t="inlineStr">
        <is>
          <t>Foglio Tiri</t>
        </is>
      </c>
    </row>
    <row r="115" ht="22" customHeight="1">
      <c r="A115" s="60">
        <f>IF('Calendario A'!A115="","",'Calendario A'!A115)</f>
        <v/>
      </c>
      <c r="B115" s="61">
        <f>IF('Calendario A'!B115="","",'Calendario A'!B115)</f>
        <v/>
      </c>
      <c r="C115" s="62">
        <f>IF('Calendario A'!C115="","",'Calendario A'!C115)</f>
        <v/>
      </c>
      <c r="D115" s="61">
        <f>IF('Calendario A'!D115="","",'Calendario A'!D115)</f>
        <v/>
      </c>
      <c r="E115" s="62">
        <f>IF('Calendario A'!E115="","",'Calendario A'!E115)</f>
        <v/>
      </c>
      <c r="F115" s="63">
        <f>IF('Calendario A'!F115="","",'Calendario A'!F115)</f>
        <v/>
      </c>
      <c r="G115" s="9" t="n"/>
      <c r="H115" s="9" t="n"/>
      <c r="I115" s="10" t="n"/>
      <c r="J115" s="195">
        <f>IF('Calendario A'!J115="","",'Calendario A'!J115)</f>
        <v/>
      </c>
      <c r="K115" s="64" t="inlineStr">
        <is>
          <t>-</t>
        </is>
      </c>
      <c r="L115" s="195">
        <f>IF('Calendario A'!L115="","",'Calendario A'!L115)</f>
        <v/>
      </c>
      <c r="M115" s="196" t="n"/>
      <c r="N115" s="196" t="n"/>
      <c r="O115" s="196" t="n"/>
      <c r="P115" s="196" t="n"/>
      <c r="Q115" s="196" t="n"/>
      <c r="R115" s="196" t="n"/>
    </row>
    <row r="116" ht="15" customHeight="1">
      <c r="A116" s="141" t="n"/>
      <c r="B116" s="69">
        <f>IF('Calendario A'!B116="","",'Calendario A'!B116)</f>
        <v/>
      </c>
      <c r="C116" s="9" t="n"/>
      <c r="D116" s="9" t="n"/>
      <c r="E116" s="9" t="n"/>
      <c r="F116" s="9" t="n"/>
      <c r="G116" s="9" t="n"/>
      <c r="H116" s="10" t="n"/>
      <c r="I116" s="62">
        <f>IF('Calendario A'!I116="","",'Calendario A'!I116)</f>
        <v/>
      </c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</row>
    <row r="117" ht="14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  <c r="M117" s="194" t="inlineStr">
        <is>
          <t>1o Arbitro</t>
        </is>
      </c>
      <c r="N117" s="194" t="inlineStr">
        <is>
          <t>2o Arbitro</t>
        </is>
      </c>
      <c r="O117" s="194" t="inlineStr">
        <is>
          <t>3o Arbitro/Tirocinante</t>
        </is>
      </c>
      <c r="P117" s="194" t="inlineStr">
        <is>
          <t>Referto</t>
        </is>
      </c>
      <c r="Q117" s="194" t="inlineStr">
        <is>
          <t>Cronometro</t>
        </is>
      </c>
      <c r="R117" s="194" t="inlineStr">
        <is>
          <t>Foglio Tiri</t>
        </is>
      </c>
    </row>
    <row r="118" ht="22" customHeight="1">
      <c r="A118" s="60">
        <f>IF('Calendario A'!A118="","",'Calendario A'!A118)</f>
        <v/>
      </c>
      <c r="B118" s="61">
        <f>IF('Calendario A'!B118="","",'Calendario A'!B118)</f>
        <v/>
      </c>
      <c r="C118" s="62">
        <f>IF('Calendario A'!C118="","",'Calendario A'!C118)</f>
        <v/>
      </c>
      <c r="D118" s="61">
        <f>IF('Calendario A'!D118="","",'Calendario A'!D118)</f>
        <v/>
      </c>
      <c r="E118" s="62">
        <f>IF('Calendario A'!E118="","",'Calendario A'!E118)</f>
        <v/>
      </c>
      <c r="F118" s="63">
        <f>IF('Calendario A'!F118="","",'Calendario A'!F118)</f>
        <v/>
      </c>
      <c r="G118" s="9" t="n"/>
      <c r="H118" s="9" t="n"/>
      <c r="I118" s="10" t="n"/>
      <c r="J118" s="195">
        <f>IF('Calendario A'!J118="","",'Calendario A'!J118)</f>
        <v/>
      </c>
      <c r="K118" s="64" t="inlineStr">
        <is>
          <t>-</t>
        </is>
      </c>
      <c r="L118" s="195">
        <f>IF('Calendario A'!L118="","",'Calendario A'!L118)</f>
        <v/>
      </c>
      <c r="M118" s="196" t="n"/>
      <c r="N118" s="196" t="n"/>
      <c r="O118" s="196" t="n"/>
      <c r="P118" s="196" t="n"/>
      <c r="Q118" s="196" t="n"/>
      <c r="R118" s="196" t="n"/>
    </row>
    <row r="119" ht="15" customHeight="1">
      <c r="A119" s="141" t="n"/>
      <c r="B119" s="69">
        <f>IF('Calendario A'!B119="","",'Calendario A'!B119)</f>
        <v/>
      </c>
      <c r="C119" s="9" t="n"/>
      <c r="D119" s="9" t="n"/>
      <c r="E119" s="9" t="n"/>
      <c r="F119" s="9" t="n"/>
      <c r="G119" s="9" t="n"/>
      <c r="H119" s="10" t="n"/>
      <c r="I119" s="62">
        <f>IF('Calendario A'!I119="","",'Calendario A'!I119)</f>
        <v/>
      </c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</row>
    <row r="120" ht="14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  <c r="M120" s="194" t="inlineStr">
        <is>
          <t>1o Arbitro</t>
        </is>
      </c>
      <c r="N120" s="194" t="inlineStr">
        <is>
          <t>2o Arbitro</t>
        </is>
      </c>
      <c r="O120" s="194" t="inlineStr">
        <is>
          <t>3o Arbitro/Tirocinante</t>
        </is>
      </c>
      <c r="P120" s="194" t="inlineStr">
        <is>
          <t>Referto</t>
        </is>
      </c>
      <c r="Q120" s="194" t="inlineStr">
        <is>
          <t>Cronometro</t>
        </is>
      </c>
      <c r="R120" s="194" t="inlineStr">
        <is>
          <t>Foglio Tiri</t>
        </is>
      </c>
    </row>
    <row r="121" ht="22" customHeight="1">
      <c r="A121" s="60">
        <f>IF('Calendario A'!A121="","",'Calendario A'!A121)</f>
        <v/>
      </c>
      <c r="B121" s="61">
        <f>IF('Calendario A'!B121="","",'Calendario A'!B121)</f>
        <v/>
      </c>
      <c r="C121" s="62">
        <f>IF('Calendario A'!C121="","",'Calendario A'!C121)</f>
        <v/>
      </c>
      <c r="D121" s="61">
        <f>IF('Calendario A'!D121="","",'Calendario A'!D121)</f>
        <v/>
      </c>
      <c r="E121" s="62">
        <f>IF('Calendario A'!E121="","",'Calendario A'!E121)</f>
        <v/>
      </c>
      <c r="F121" s="63">
        <f>IF('Calendario A'!F121="","",'Calendario A'!F121)</f>
        <v/>
      </c>
      <c r="G121" s="9" t="n"/>
      <c r="H121" s="9" t="n"/>
      <c r="I121" s="10" t="n"/>
      <c r="J121" s="195">
        <f>IF('Calendario A'!J121="","",'Calendario A'!J121)</f>
        <v/>
      </c>
      <c r="K121" s="64" t="inlineStr">
        <is>
          <t>-</t>
        </is>
      </c>
      <c r="L121" s="195">
        <f>IF('Calendario A'!L121="","",'Calendario A'!L121)</f>
        <v/>
      </c>
      <c r="M121" s="196" t="n"/>
      <c r="N121" s="196" t="n"/>
      <c r="O121" s="196" t="n"/>
      <c r="P121" s="196" t="n"/>
      <c r="Q121" s="196" t="n"/>
      <c r="R121" s="196" t="n"/>
    </row>
    <row r="122" ht="15" customHeight="1">
      <c r="A122" s="141" t="n"/>
      <c r="B122" s="69">
        <f>IF('Calendario A'!B122="","",'Calendario A'!B122)</f>
        <v/>
      </c>
      <c r="C122" s="9" t="n"/>
      <c r="D122" s="9" t="n"/>
      <c r="E122" s="9" t="n"/>
      <c r="F122" s="9" t="n"/>
      <c r="G122" s="9" t="n"/>
      <c r="H122" s="10" t="n"/>
      <c r="I122" s="62">
        <f>IF('Calendario A'!I122="","",'Calendario A'!I122)</f>
        <v/>
      </c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</row>
    <row r="123" ht="14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  <c r="M123" s="194" t="inlineStr">
        <is>
          <t>1o Arbitro</t>
        </is>
      </c>
      <c r="N123" s="194" t="inlineStr">
        <is>
          <t>2o Arbitro</t>
        </is>
      </c>
      <c r="O123" s="194" t="inlineStr">
        <is>
          <t>3o Arbitro/Tirocinante</t>
        </is>
      </c>
      <c r="P123" s="194" t="inlineStr">
        <is>
          <t>Referto</t>
        </is>
      </c>
      <c r="Q123" s="194" t="inlineStr">
        <is>
          <t>Cronometro</t>
        </is>
      </c>
      <c r="R123" s="194" t="inlineStr">
        <is>
          <t>Foglio Tiri</t>
        </is>
      </c>
    </row>
    <row r="124" ht="22" customHeight="1">
      <c r="A124" s="60">
        <f>IF('Calendario A'!A124="","",'Calendario A'!A124)</f>
        <v/>
      </c>
      <c r="B124" s="61">
        <f>IF('Calendario A'!B124="","",'Calendario A'!B124)</f>
        <v/>
      </c>
      <c r="C124" s="62">
        <f>IF('Calendario A'!C124="","",'Calendario A'!C124)</f>
        <v/>
      </c>
      <c r="D124" s="61">
        <f>IF('Calendario A'!D124="","",'Calendario A'!D124)</f>
        <v/>
      </c>
      <c r="E124" s="62">
        <f>IF('Calendario A'!E124="","",'Calendario A'!E124)</f>
        <v/>
      </c>
      <c r="F124" s="63">
        <f>IF('Calendario A'!F124="","",'Calendario A'!F124)</f>
        <v/>
      </c>
      <c r="G124" s="9" t="n"/>
      <c r="H124" s="9" t="n"/>
      <c r="I124" s="10" t="n"/>
      <c r="J124" s="195">
        <f>IF('Calendario A'!J124="","",'Calendario A'!J124)</f>
        <v/>
      </c>
      <c r="K124" s="64" t="inlineStr">
        <is>
          <t>-</t>
        </is>
      </c>
      <c r="L124" s="195">
        <f>IF('Calendario A'!L124="","",'Calendario A'!L124)</f>
        <v/>
      </c>
      <c r="M124" s="196" t="n"/>
      <c r="N124" s="196" t="n"/>
      <c r="O124" s="196" t="n"/>
      <c r="P124" s="196" t="n"/>
      <c r="Q124" s="196" t="n"/>
      <c r="R124" s="196" t="n"/>
    </row>
    <row r="125" ht="15" customHeight="1">
      <c r="A125" s="141" t="n"/>
      <c r="B125" s="69">
        <f>IF('Calendario A'!B125="","",'Calendario A'!B125)</f>
        <v/>
      </c>
      <c r="C125" s="9" t="n"/>
      <c r="D125" s="9" t="n"/>
      <c r="E125" s="9" t="n"/>
      <c r="F125" s="9" t="n"/>
      <c r="G125" s="9" t="n"/>
      <c r="H125" s="10" t="n"/>
      <c r="I125" s="62">
        <f>IF('Calendario A'!I125="","",'Calendario A'!I125)</f>
        <v/>
      </c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</row>
    <row r="127" ht="20" customHeight="1">
      <c r="A127" s="55">
        <f>IF('Calendario A'!A127="","",'Calendario A'!A127)</f>
        <v/>
      </c>
      <c r="B127" s="56">
        <f>IF('Calendario A'!B127="","",'Calendario A'!B127)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  <c r="M127" s="193" t="inlineStr">
        <is>
          <t>ARBITRI</t>
        </is>
      </c>
      <c r="N127" s="9" t="n"/>
      <c r="O127" s="10" t="n"/>
      <c r="P127" s="193" t="inlineStr">
        <is>
          <t>UFFICIALI DI CAMPO</t>
        </is>
      </c>
      <c r="Q127" s="9" t="n"/>
      <c r="R127" s="10" t="n"/>
    </row>
    <row r="128" ht="14" customHeight="1">
      <c r="A128" s="58" t="inlineStr">
        <is>
          <t>Gara N.</t>
        </is>
      </c>
      <c r="B128" s="58" t="inlineStr">
        <is>
          <t>Squadra A</t>
        </is>
      </c>
      <c r="C128" s="10" t="n"/>
      <c r="D128" s="58" t="inlineStr">
        <is>
          <t>Squadra B</t>
        </is>
      </c>
      <c r="E128" s="10" t="n"/>
      <c r="F128" s="58" t="inlineStr">
        <is>
          <t>Giorno</t>
        </is>
      </c>
      <c r="G128" s="58" t="inlineStr">
        <is>
          <t>Data</t>
        </is>
      </c>
      <c r="H128" s="58" t="inlineStr">
        <is>
          <t>Ora</t>
        </is>
      </c>
      <c r="I128" s="10" t="n"/>
      <c r="J128" s="58" t="inlineStr">
        <is>
          <t>Risultato</t>
        </is>
      </c>
      <c r="K128" s="9" t="n"/>
      <c r="L128" s="10" t="n"/>
      <c r="M128" s="194" t="inlineStr">
        <is>
          <t>1o Arbitro</t>
        </is>
      </c>
      <c r="N128" s="194" t="inlineStr">
        <is>
          <t>2o Arbitro</t>
        </is>
      </c>
      <c r="O128" s="194" t="inlineStr">
        <is>
          <t>3o Arbitro/Tirocinante</t>
        </is>
      </c>
      <c r="P128" s="194" t="inlineStr">
        <is>
          <t>Referto</t>
        </is>
      </c>
      <c r="Q128" s="194" t="inlineStr">
        <is>
          <t>Cronometro</t>
        </is>
      </c>
      <c r="R128" s="194" t="inlineStr">
        <is>
          <t>Foglio Tiri</t>
        </is>
      </c>
    </row>
    <row r="129" ht="22" customHeight="1">
      <c r="A129" s="60">
        <f>IF('Calendario A'!A129="","",'Calendario A'!A129)</f>
        <v/>
      </c>
      <c r="B129" s="61">
        <f>IF('Calendario A'!B129="","",'Calendario A'!B129)</f>
        <v/>
      </c>
      <c r="C129" s="62">
        <f>IF('Calendario A'!C129="","",'Calendario A'!C129)</f>
        <v/>
      </c>
      <c r="D129" s="61">
        <f>IF('Calendario A'!D129="","",'Calendario A'!D129)</f>
        <v/>
      </c>
      <c r="E129" s="62">
        <f>IF('Calendario A'!E129="","",'Calendario A'!E129)</f>
        <v/>
      </c>
      <c r="F129" s="63">
        <f>IF('Calendario A'!F129="","",'Calendario A'!F129)</f>
        <v/>
      </c>
      <c r="G129" s="9" t="n"/>
      <c r="H129" s="9" t="n"/>
      <c r="I129" s="10" t="n"/>
      <c r="J129" s="195">
        <f>IF('Calendario A'!J129="","",'Calendario A'!J129)</f>
        <v/>
      </c>
      <c r="K129" s="64" t="inlineStr">
        <is>
          <t>-</t>
        </is>
      </c>
      <c r="L129" s="195">
        <f>IF('Calendario A'!L129="","",'Calendario A'!L129)</f>
        <v/>
      </c>
      <c r="M129" s="196" t="n"/>
      <c r="N129" s="196" t="n"/>
      <c r="O129" s="196" t="n"/>
      <c r="P129" s="196" t="n"/>
      <c r="Q129" s="196" t="n"/>
      <c r="R129" s="196" t="n"/>
    </row>
    <row r="130" ht="15" customHeight="1">
      <c r="A130" s="141" t="n"/>
      <c r="B130" s="69">
        <f>IF('Calendario A'!B130="","",'Calendario A'!B130)</f>
        <v/>
      </c>
      <c r="C130" s="9" t="n"/>
      <c r="D130" s="9" t="n"/>
      <c r="E130" s="9" t="n"/>
      <c r="F130" s="9" t="n"/>
      <c r="G130" s="9" t="n"/>
      <c r="H130" s="10" t="n"/>
      <c r="I130" s="62">
        <f>IF('Calendario A'!I130="","",'Calendario A'!I130)</f>
        <v/>
      </c>
      <c r="J130" s="141" t="n"/>
      <c r="K130" s="141" t="n"/>
      <c r="L130" s="141" t="n"/>
      <c r="M130" s="141" t="n"/>
      <c r="N130" s="141" t="n"/>
      <c r="O130" s="141" t="n"/>
      <c r="P130" s="141" t="n"/>
      <c r="Q130" s="141" t="n"/>
      <c r="R130" s="141" t="n"/>
    </row>
    <row r="131" ht="14" customHeight="1">
      <c r="A131" s="58" t="inlineStr">
        <is>
          <t>Gara N.</t>
        </is>
      </c>
      <c r="B131" s="58" t="inlineStr">
        <is>
          <t>Squadra A</t>
        </is>
      </c>
      <c r="C131" s="10" t="n"/>
      <c r="D131" s="58" t="inlineStr">
        <is>
          <t>Squadra B</t>
        </is>
      </c>
      <c r="E131" s="10" t="n"/>
      <c r="F131" s="58" t="inlineStr">
        <is>
          <t>Giorno</t>
        </is>
      </c>
      <c r="G131" s="58" t="inlineStr">
        <is>
          <t>Data</t>
        </is>
      </c>
      <c r="H131" s="58" t="inlineStr">
        <is>
          <t>Ora</t>
        </is>
      </c>
      <c r="I131" s="10" t="n"/>
      <c r="J131" s="58" t="inlineStr">
        <is>
          <t>Risultato</t>
        </is>
      </c>
      <c r="K131" s="9" t="n"/>
      <c r="L131" s="10" t="n"/>
      <c r="M131" s="194" t="inlineStr">
        <is>
          <t>1o Arbitro</t>
        </is>
      </c>
      <c r="N131" s="194" t="inlineStr">
        <is>
          <t>2o Arbitro</t>
        </is>
      </c>
      <c r="O131" s="194" t="inlineStr">
        <is>
          <t>3o Arbitro/Tirocinante</t>
        </is>
      </c>
      <c r="P131" s="194" t="inlineStr">
        <is>
          <t>Referto</t>
        </is>
      </c>
      <c r="Q131" s="194" t="inlineStr">
        <is>
          <t>Cronometro</t>
        </is>
      </c>
      <c r="R131" s="194" t="inlineStr">
        <is>
          <t>Foglio Tiri</t>
        </is>
      </c>
    </row>
    <row r="132" ht="22" customHeight="1">
      <c r="A132" s="60">
        <f>IF('Calendario A'!A132="","",'Calendario A'!A132)</f>
        <v/>
      </c>
      <c r="B132" s="61">
        <f>IF('Calendario A'!B132="","",'Calendario A'!B132)</f>
        <v/>
      </c>
      <c r="C132" s="62">
        <f>IF('Calendario A'!C132="","",'Calendario A'!C132)</f>
        <v/>
      </c>
      <c r="D132" s="61">
        <f>IF('Calendario A'!D132="","",'Calendario A'!D132)</f>
        <v/>
      </c>
      <c r="E132" s="62">
        <f>IF('Calendario A'!E132="","",'Calendario A'!E132)</f>
        <v/>
      </c>
      <c r="F132" s="63">
        <f>IF('Calendario A'!F132="","",'Calendario A'!F132)</f>
        <v/>
      </c>
      <c r="G132" s="9" t="n"/>
      <c r="H132" s="9" t="n"/>
      <c r="I132" s="10" t="n"/>
      <c r="J132" s="195">
        <f>IF('Calendario A'!J132="","",'Calendario A'!J132)</f>
        <v/>
      </c>
      <c r="K132" s="64" t="inlineStr">
        <is>
          <t>-</t>
        </is>
      </c>
      <c r="L132" s="195">
        <f>IF('Calendario A'!L132="","",'Calendario A'!L132)</f>
        <v/>
      </c>
      <c r="M132" s="196" t="n"/>
      <c r="N132" s="196" t="n"/>
      <c r="O132" s="196" t="n"/>
      <c r="P132" s="196" t="n"/>
      <c r="Q132" s="196" t="n"/>
      <c r="R132" s="196" t="n"/>
    </row>
    <row r="133" ht="15" customHeight="1">
      <c r="A133" s="141" t="n"/>
      <c r="B133" s="69">
        <f>IF('Calendario A'!B133="","",'Calendario A'!B133)</f>
        <v/>
      </c>
      <c r="C133" s="9" t="n"/>
      <c r="D133" s="9" t="n"/>
      <c r="E133" s="9" t="n"/>
      <c r="F133" s="9" t="n"/>
      <c r="G133" s="9" t="n"/>
      <c r="H133" s="10" t="n"/>
      <c r="I133" s="62">
        <f>IF('Calendario A'!I133="","",'Calendario A'!I133)</f>
        <v/>
      </c>
      <c r="J133" s="141" t="n"/>
      <c r="K133" s="141" t="n"/>
      <c r="L133" s="141" t="n"/>
      <c r="M133" s="141" t="n"/>
      <c r="N133" s="141" t="n"/>
      <c r="O133" s="141" t="n"/>
      <c r="P133" s="141" t="n"/>
      <c r="Q133" s="141" t="n"/>
      <c r="R133" s="141" t="n"/>
    </row>
    <row r="134" ht="14" customHeight="1">
      <c r="A134" s="58" t="inlineStr">
        <is>
          <t>Gara N.</t>
        </is>
      </c>
      <c r="B134" s="58" t="inlineStr">
        <is>
          <t>Squadra A</t>
        </is>
      </c>
      <c r="C134" s="10" t="n"/>
      <c r="D134" s="58" t="inlineStr">
        <is>
          <t>Squadra B</t>
        </is>
      </c>
      <c r="E134" s="10" t="n"/>
      <c r="F134" s="58" t="inlineStr">
        <is>
          <t>Giorno</t>
        </is>
      </c>
      <c r="G134" s="58" t="inlineStr">
        <is>
          <t>Data</t>
        </is>
      </c>
      <c r="H134" s="58" t="inlineStr">
        <is>
          <t>Ora</t>
        </is>
      </c>
      <c r="I134" s="10" t="n"/>
      <c r="J134" s="58" t="inlineStr">
        <is>
          <t>Risultato</t>
        </is>
      </c>
      <c r="K134" s="9" t="n"/>
      <c r="L134" s="10" t="n"/>
      <c r="M134" s="194" t="inlineStr">
        <is>
          <t>1o Arbitro</t>
        </is>
      </c>
      <c r="N134" s="194" t="inlineStr">
        <is>
          <t>2o Arbitro</t>
        </is>
      </c>
      <c r="O134" s="194" t="inlineStr">
        <is>
          <t>3o Arbitro/Tirocinante</t>
        </is>
      </c>
      <c r="P134" s="194" t="inlineStr">
        <is>
          <t>Referto</t>
        </is>
      </c>
      <c r="Q134" s="194" t="inlineStr">
        <is>
          <t>Cronometro</t>
        </is>
      </c>
      <c r="R134" s="194" t="inlineStr">
        <is>
          <t>Foglio Tiri</t>
        </is>
      </c>
    </row>
    <row r="135" ht="22" customHeight="1">
      <c r="A135" s="60">
        <f>IF('Calendario A'!A135="","",'Calendario A'!A135)</f>
        <v/>
      </c>
      <c r="B135" s="61">
        <f>IF('Calendario A'!B135="","",'Calendario A'!B135)</f>
        <v/>
      </c>
      <c r="C135" s="62">
        <f>IF('Calendario A'!C135="","",'Calendario A'!C135)</f>
        <v/>
      </c>
      <c r="D135" s="61">
        <f>IF('Calendario A'!D135="","",'Calendario A'!D135)</f>
        <v/>
      </c>
      <c r="E135" s="62">
        <f>IF('Calendario A'!E135="","",'Calendario A'!E135)</f>
        <v/>
      </c>
      <c r="F135" s="63">
        <f>IF('Calendario A'!F135="","",'Calendario A'!F135)</f>
        <v/>
      </c>
      <c r="G135" s="9" t="n"/>
      <c r="H135" s="9" t="n"/>
      <c r="I135" s="10" t="n"/>
      <c r="J135" s="195">
        <f>IF('Calendario A'!J135="","",'Calendario A'!J135)</f>
        <v/>
      </c>
      <c r="K135" s="64" t="inlineStr">
        <is>
          <t>-</t>
        </is>
      </c>
      <c r="L135" s="195">
        <f>IF('Calendario A'!L135="","",'Calendario A'!L135)</f>
        <v/>
      </c>
      <c r="M135" s="196" t="n"/>
      <c r="N135" s="196" t="n"/>
      <c r="O135" s="196" t="n"/>
      <c r="P135" s="196" t="n"/>
      <c r="Q135" s="196" t="n"/>
      <c r="R135" s="196" t="n"/>
    </row>
    <row r="136" ht="15" customHeight="1">
      <c r="A136" s="141" t="n"/>
      <c r="B136" s="69">
        <f>IF('Calendario A'!B136="","",'Calendario A'!B136)</f>
        <v/>
      </c>
      <c r="C136" s="9" t="n"/>
      <c r="D136" s="9" t="n"/>
      <c r="E136" s="9" t="n"/>
      <c r="F136" s="9" t="n"/>
      <c r="G136" s="9" t="n"/>
      <c r="H136" s="10" t="n"/>
      <c r="I136" s="62">
        <f>IF('Calendario A'!I136="","",'Calendario A'!I136)</f>
        <v/>
      </c>
      <c r="J136" s="141" t="n"/>
      <c r="K136" s="141" t="n"/>
      <c r="L136" s="141" t="n"/>
      <c r="M136" s="141" t="n"/>
      <c r="N136" s="141" t="n"/>
      <c r="O136" s="141" t="n"/>
      <c r="P136" s="141" t="n"/>
      <c r="Q136" s="141" t="n"/>
      <c r="R136" s="141" t="n"/>
    </row>
    <row r="137" ht="14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  <c r="M137" s="194" t="inlineStr">
        <is>
          <t>1o Arbitro</t>
        </is>
      </c>
      <c r="N137" s="194" t="inlineStr">
        <is>
          <t>2o Arbitro</t>
        </is>
      </c>
      <c r="O137" s="194" t="inlineStr">
        <is>
          <t>3o Arbitro/Tirocinante</t>
        </is>
      </c>
      <c r="P137" s="194" t="inlineStr">
        <is>
          <t>Referto</t>
        </is>
      </c>
      <c r="Q137" s="194" t="inlineStr">
        <is>
          <t>Cronometro</t>
        </is>
      </c>
      <c r="R137" s="194" t="inlineStr">
        <is>
          <t>Foglio Tiri</t>
        </is>
      </c>
    </row>
    <row r="138" ht="22" customHeight="1">
      <c r="A138" s="60">
        <f>IF('Calendario A'!A138="","",'Calendario A'!A138)</f>
        <v/>
      </c>
      <c r="B138" s="61">
        <f>IF('Calendario A'!B138="","",'Calendario A'!B138)</f>
        <v/>
      </c>
      <c r="C138" s="62">
        <f>IF('Calendario A'!C138="","",'Calendario A'!C138)</f>
        <v/>
      </c>
      <c r="D138" s="61">
        <f>IF('Calendario A'!D138="","",'Calendario A'!D138)</f>
        <v/>
      </c>
      <c r="E138" s="62">
        <f>IF('Calendario A'!E138="","",'Calendario A'!E138)</f>
        <v/>
      </c>
      <c r="F138" s="63">
        <f>IF('Calendario A'!F138="","",'Calendario A'!F138)</f>
        <v/>
      </c>
      <c r="G138" s="9" t="n"/>
      <c r="H138" s="9" t="n"/>
      <c r="I138" s="10" t="n"/>
      <c r="J138" s="195">
        <f>IF('Calendario A'!J138="","",'Calendario A'!J138)</f>
        <v/>
      </c>
      <c r="K138" s="64" t="inlineStr">
        <is>
          <t>-</t>
        </is>
      </c>
      <c r="L138" s="195">
        <f>IF('Calendario A'!L138="","",'Calendario A'!L138)</f>
        <v/>
      </c>
      <c r="M138" s="196" t="n"/>
      <c r="N138" s="196" t="n"/>
      <c r="O138" s="196" t="n"/>
      <c r="P138" s="196" t="n"/>
      <c r="Q138" s="196" t="n"/>
      <c r="R138" s="196" t="n"/>
    </row>
    <row r="139" ht="15" customHeight="1">
      <c r="A139" s="141" t="n"/>
      <c r="B139" s="69">
        <f>IF('Calendario A'!B139="","",'Calendario A'!B139)</f>
        <v/>
      </c>
      <c r="C139" s="9" t="n"/>
      <c r="D139" s="9" t="n"/>
      <c r="E139" s="9" t="n"/>
      <c r="F139" s="9" t="n"/>
      <c r="G139" s="9" t="n"/>
      <c r="H139" s="10" t="n"/>
      <c r="I139" s="62">
        <f>IF('Calendario A'!I139="","",'Calendario A'!I139)</f>
        <v/>
      </c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</row>
    <row r="140" ht="14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  <c r="M140" s="194" t="inlineStr">
        <is>
          <t>1o Arbitro</t>
        </is>
      </c>
      <c r="N140" s="194" t="inlineStr">
        <is>
          <t>2o Arbitro</t>
        </is>
      </c>
      <c r="O140" s="194" t="inlineStr">
        <is>
          <t>3o Arbitro/Tirocinante</t>
        </is>
      </c>
      <c r="P140" s="194" t="inlineStr">
        <is>
          <t>Referto</t>
        </is>
      </c>
      <c r="Q140" s="194" t="inlineStr">
        <is>
          <t>Cronometro</t>
        </is>
      </c>
      <c r="R140" s="194" t="inlineStr">
        <is>
          <t>Foglio Tiri</t>
        </is>
      </c>
    </row>
    <row r="141" ht="22" customHeight="1">
      <c r="A141" s="60">
        <f>IF('Calendario A'!A141="","",'Calendario A'!A141)</f>
        <v/>
      </c>
      <c r="B141" s="61">
        <f>IF('Calendario A'!B141="","",'Calendario A'!B141)</f>
        <v/>
      </c>
      <c r="C141" s="62">
        <f>IF('Calendario A'!C141="","",'Calendario A'!C141)</f>
        <v/>
      </c>
      <c r="D141" s="61">
        <f>IF('Calendario A'!D141="","",'Calendario A'!D141)</f>
        <v/>
      </c>
      <c r="E141" s="62">
        <f>IF('Calendario A'!E141="","",'Calendario A'!E141)</f>
        <v/>
      </c>
      <c r="F141" s="63">
        <f>IF('Calendario A'!F141="","",'Calendario A'!F141)</f>
        <v/>
      </c>
      <c r="G141" s="9" t="n"/>
      <c r="H141" s="9" t="n"/>
      <c r="I141" s="10" t="n"/>
      <c r="J141" s="195">
        <f>IF('Calendario A'!J141="","",'Calendario A'!J141)</f>
        <v/>
      </c>
      <c r="K141" s="64" t="inlineStr">
        <is>
          <t>-</t>
        </is>
      </c>
      <c r="L141" s="195">
        <f>IF('Calendario A'!L141="","",'Calendario A'!L141)</f>
        <v/>
      </c>
      <c r="M141" s="196" t="n"/>
      <c r="N141" s="196" t="n"/>
      <c r="O141" s="196" t="n"/>
      <c r="P141" s="196" t="n"/>
      <c r="Q141" s="196" t="n"/>
      <c r="R141" s="196" t="n"/>
    </row>
    <row r="142" ht="15" customHeight="1">
      <c r="A142" s="141" t="n"/>
      <c r="B142" s="69">
        <f>IF('Calendario A'!B142="","",'Calendario A'!B142)</f>
        <v/>
      </c>
      <c r="C142" s="9" t="n"/>
      <c r="D142" s="9" t="n"/>
      <c r="E142" s="9" t="n"/>
      <c r="F142" s="9" t="n"/>
      <c r="G142" s="9" t="n"/>
      <c r="H142" s="10" t="n"/>
      <c r="I142" s="62">
        <f>IF('Calendario A'!I142="","",'Calendario A'!I142)</f>
        <v/>
      </c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</row>
    <row r="144" ht="20" customHeight="1">
      <c r="A144" s="55">
        <f>IF('Calendario A'!A144="","",'Calendario A'!A144)</f>
        <v/>
      </c>
      <c r="B144" s="56">
        <f>IF('Calendario A'!B144="","",'Calendario A'!B144)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  <c r="M144" s="193" t="inlineStr">
        <is>
          <t>ARBITRI</t>
        </is>
      </c>
      <c r="N144" s="9" t="n"/>
      <c r="O144" s="10" t="n"/>
      <c r="P144" s="193" t="inlineStr">
        <is>
          <t>UFFICIALI DI CAMPO</t>
        </is>
      </c>
      <c r="Q144" s="9" t="n"/>
      <c r="R144" s="10" t="n"/>
    </row>
    <row r="145" ht="14" customHeight="1">
      <c r="A145" s="58" t="inlineStr">
        <is>
          <t>Gara N.</t>
        </is>
      </c>
      <c r="B145" s="58" t="inlineStr">
        <is>
          <t>Squadra A</t>
        </is>
      </c>
      <c r="C145" s="10" t="n"/>
      <c r="D145" s="58" t="inlineStr">
        <is>
          <t>Squadra B</t>
        </is>
      </c>
      <c r="E145" s="10" t="n"/>
      <c r="F145" s="58" t="inlineStr">
        <is>
          <t>Giorno</t>
        </is>
      </c>
      <c r="G145" s="58" t="inlineStr">
        <is>
          <t>Data</t>
        </is>
      </c>
      <c r="H145" s="58" t="inlineStr">
        <is>
          <t>Ora</t>
        </is>
      </c>
      <c r="I145" s="10" t="n"/>
      <c r="J145" s="58" t="inlineStr">
        <is>
          <t>Risultato</t>
        </is>
      </c>
      <c r="K145" s="9" t="n"/>
      <c r="L145" s="10" t="n"/>
      <c r="M145" s="194" t="inlineStr">
        <is>
          <t>1o Arbitro</t>
        </is>
      </c>
      <c r="N145" s="194" t="inlineStr">
        <is>
          <t>2o Arbitro</t>
        </is>
      </c>
      <c r="O145" s="194" t="inlineStr">
        <is>
          <t>3o Arbitro/Tirocinante</t>
        </is>
      </c>
      <c r="P145" s="194" t="inlineStr">
        <is>
          <t>Referto</t>
        </is>
      </c>
      <c r="Q145" s="194" t="inlineStr">
        <is>
          <t>Cronometro</t>
        </is>
      </c>
      <c r="R145" s="194" t="inlineStr">
        <is>
          <t>Foglio Tiri</t>
        </is>
      </c>
    </row>
    <row r="146" ht="22" customHeight="1">
      <c r="A146" s="60">
        <f>IF('Calendario A'!A146="","",'Calendario A'!A146)</f>
        <v/>
      </c>
      <c r="B146" s="61">
        <f>IF('Calendario A'!B146="","",'Calendario A'!B146)</f>
        <v/>
      </c>
      <c r="C146" s="62">
        <f>IF('Calendario A'!C146="","",'Calendario A'!C146)</f>
        <v/>
      </c>
      <c r="D146" s="61">
        <f>IF('Calendario A'!D146="","",'Calendario A'!D146)</f>
        <v/>
      </c>
      <c r="E146" s="62">
        <f>IF('Calendario A'!E146="","",'Calendario A'!E146)</f>
        <v/>
      </c>
      <c r="F146" s="63">
        <f>IF('Calendario A'!F146="","",'Calendario A'!F146)</f>
        <v/>
      </c>
      <c r="G146" s="9" t="n"/>
      <c r="H146" s="9" t="n"/>
      <c r="I146" s="10" t="n"/>
      <c r="J146" s="195">
        <f>IF('Calendario A'!J146="","",'Calendario A'!J146)</f>
        <v/>
      </c>
      <c r="K146" s="64" t="inlineStr">
        <is>
          <t>-</t>
        </is>
      </c>
      <c r="L146" s="195">
        <f>IF('Calendario A'!L146="","",'Calendario A'!L146)</f>
        <v/>
      </c>
      <c r="M146" s="196" t="n"/>
      <c r="N146" s="196" t="n"/>
      <c r="O146" s="196" t="n"/>
      <c r="P146" s="196" t="n"/>
      <c r="Q146" s="196" t="n"/>
      <c r="R146" s="196" t="n"/>
    </row>
    <row r="147" ht="15" customHeight="1">
      <c r="A147" s="141" t="n"/>
      <c r="B147" s="69">
        <f>IF('Calendario A'!B147="","",'Calendario A'!B147)</f>
        <v/>
      </c>
      <c r="C147" s="9" t="n"/>
      <c r="D147" s="9" t="n"/>
      <c r="E147" s="9" t="n"/>
      <c r="F147" s="9" t="n"/>
      <c r="G147" s="9" t="n"/>
      <c r="H147" s="10" t="n"/>
      <c r="I147" s="62">
        <f>IF('Calendario A'!I147="","",'Calendario A'!I147)</f>
        <v/>
      </c>
      <c r="J147" s="141" t="n"/>
      <c r="K147" s="141" t="n"/>
      <c r="L147" s="141" t="n"/>
      <c r="M147" s="141" t="n"/>
      <c r="N147" s="141" t="n"/>
      <c r="O147" s="141" t="n"/>
      <c r="P147" s="141" t="n"/>
      <c r="Q147" s="141" t="n"/>
      <c r="R147" s="141" t="n"/>
    </row>
    <row r="148" ht="14" customHeight="1">
      <c r="A148" s="58" t="inlineStr">
        <is>
          <t>Gara N.</t>
        </is>
      </c>
      <c r="B148" s="58" t="inlineStr">
        <is>
          <t>Squadra A</t>
        </is>
      </c>
      <c r="C148" s="10" t="n"/>
      <c r="D148" s="58" t="inlineStr">
        <is>
          <t>Squadra B</t>
        </is>
      </c>
      <c r="E148" s="10" t="n"/>
      <c r="F148" s="58" t="inlineStr">
        <is>
          <t>Giorno</t>
        </is>
      </c>
      <c r="G148" s="58" t="inlineStr">
        <is>
          <t>Data</t>
        </is>
      </c>
      <c r="H148" s="58" t="inlineStr">
        <is>
          <t>Ora</t>
        </is>
      </c>
      <c r="I148" s="10" t="n"/>
      <c r="J148" s="58" t="inlineStr">
        <is>
          <t>Risultato</t>
        </is>
      </c>
      <c r="K148" s="9" t="n"/>
      <c r="L148" s="10" t="n"/>
      <c r="M148" s="194" t="inlineStr">
        <is>
          <t>1o Arbitro</t>
        </is>
      </c>
      <c r="N148" s="194" t="inlineStr">
        <is>
          <t>2o Arbitro</t>
        </is>
      </c>
      <c r="O148" s="194" t="inlineStr">
        <is>
          <t>3o Arbitro/Tirocinante</t>
        </is>
      </c>
      <c r="P148" s="194" t="inlineStr">
        <is>
          <t>Referto</t>
        </is>
      </c>
      <c r="Q148" s="194" t="inlineStr">
        <is>
          <t>Cronometro</t>
        </is>
      </c>
      <c r="R148" s="194" t="inlineStr">
        <is>
          <t>Foglio Tiri</t>
        </is>
      </c>
    </row>
    <row r="149" ht="22" customHeight="1">
      <c r="A149" s="60">
        <f>IF('Calendario A'!A149="","",'Calendario A'!A149)</f>
        <v/>
      </c>
      <c r="B149" s="61">
        <f>IF('Calendario A'!B149="","",'Calendario A'!B149)</f>
        <v/>
      </c>
      <c r="C149" s="62">
        <f>IF('Calendario A'!C149="","",'Calendario A'!C149)</f>
        <v/>
      </c>
      <c r="D149" s="61">
        <f>IF('Calendario A'!D149="","",'Calendario A'!D149)</f>
        <v/>
      </c>
      <c r="E149" s="62">
        <f>IF('Calendario A'!E149="","",'Calendario A'!E149)</f>
        <v/>
      </c>
      <c r="F149" s="63">
        <f>IF('Calendario A'!F149="","",'Calendario A'!F149)</f>
        <v/>
      </c>
      <c r="G149" s="9" t="n"/>
      <c r="H149" s="9" t="n"/>
      <c r="I149" s="10" t="n"/>
      <c r="J149" s="195">
        <f>IF('Calendario A'!J149="","",'Calendario A'!J149)</f>
        <v/>
      </c>
      <c r="K149" s="64" t="inlineStr">
        <is>
          <t>-</t>
        </is>
      </c>
      <c r="L149" s="195">
        <f>IF('Calendario A'!L149="","",'Calendario A'!L149)</f>
        <v/>
      </c>
      <c r="M149" s="196" t="n"/>
      <c r="N149" s="196" t="n"/>
      <c r="O149" s="196" t="n"/>
      <c r="P149" s="196" t="n"/>
      <c r="Q149" s="196" t="n"/>
      <c r="R149" s="196" t="n"/>
    </row>
    <row r="150" ht="15" customHeight="1">
      <c r="A150" s="141" t="n"/>
      <c r="B150" s="69">
        <f>IF('Calendario A'!B150="","",'Calendario A'!B150)</f>
        <v/>
      </c>
      <c r="C150" s="9" t="n"/>
      <c r="D150" s="9" t="n"/>
      <c r="E150" s="9" t="n"/>
      <c r="F150" s="9" t="n"/>
      <c r="G150" s="9" t="n"/>
      <c r="H150" s="10" t="n"/>
      <c r="I150" s="62">
        <f>IF('Calendario A'!I150="","",'Calendario A'!I150)</f>
        <v/>
      </c>
      <c r="J150" s="141" t="n"/>
      <c r="K150" s="141" t="n"/>
      <c r="L150" s="141" t="n"/>
      <c r="M150" s="141" t="n"/>
      <c r="N150" s="141" t="n"/>
      <c r="O150" s="141" t="n"/>
      <c r="P150" s="141" t="n"/>
      <c r="Q150" s="141" t="n"/>
      <c r="R150" s="141" t="n"/>
    </row>
    <row r="151" ht="14" customHeight="1">
      <c r="A151" s="58" t="inlineStr">
        <is>
          <t>Gara N.</t>
        </is>
      </c>
      <c r="B151" s="58" t="inlineStr">
        <is>
          <t>Squadra A</t>
        </is>
      </c>
      <c r="C151" s="10" t="n"/>
      <c r="D151" s="58" t="inlineStr">
        <is>
          <t>Squadra B</t>
        </is>
      </c>
      <c r="E151" s="10" t="n"/>
      <c r="F151" s="58" t="inlineStr">
        <is>
          <t>Giorno</t>
        </is>
      </c>
      <c r="G151" s="58" t="inlineStr">
        <is>
          <t>Data</t>
        </is>
      </c>
      <c r="H151" s="58" t="inlineStr">
        <is>
          <t>Ora</t>
        </is>
      </c>
      <c r="I151" s="10" t="n"/>
      <c r="J151" s="58" t="inlineStr">
        <is>
          <t>Risultato</t>
        </is>
      </c>
      <c r="K151" s="9" t="n"/>
      <c r="L151" s="10" t="n"/>
      <c r="M151" s="194" t="inlineStr">
        <is>
          <t>1o Arbitro</t>
        </is>
      </c>
      <c r="N151" s="194" t="inlineStr">
        <is>
          <t>2o Arbitro</t>
        </is>
      </c>
      <c r="O151" s="194" t="inlineStr">
        <is>
          <t>3o Arbitro/Tirocinante</t>
        </is>
      </c>
      <c r="P151" s="194" t="inlineStr">
        <is>
          <t>Referto</t>
        </is>
      </c>
      <c r="Q151" s="194" t="inlineStr">
        <is>
          <t>Cronometro</t>
        </is>
      </c>
      <c r="R151" s="194" t="inlineStr">
        <is>
          <t>Foglio Tiri</t>
        </is>
      </c>
    </row>
    <row r="152" ht="22" customHeight="1">
      <c r="A152" s="60">
        <f>IF('Calendario A'!A152="","",'Calendario A'!A152)</f>
        <v/>
      </c>
      <c r="B152" s="61">
        <f>IF('Calendario A'!B152="","",'Calendario A'!B152)</f>
        <v/>
      </c>
      <c r="C152" s="62">
        <f>IF('Calendario A'!C152="","",'Calendario A'!C152)</f>
        <v/>
      </c>
      <c r="D152" s="61">
        <f>IF('Calendario A'!D152="","",'Calendario A'!D152)</f>
        <v/>
      </c>
      <c r="E152" s="62">
        <f>IF('Calendario A'!E152="","",'Calendario A'!E152)</f>
        <v/>
      </c>
      <c r="F152" s="63">
        <f>IF('Calendario A'!F152="","",'Calendario A'!F152)</f>
        <v/>
      </c>
      <c r="G152" s="9" t="n"/>
      <c r="H152" s="9" t="n"/>
      <c r="I152" s="10" t="n"/>
      <c r="J152" s="195">
        <f>IF('Calendario A'!J152="","",'Calendario A'!J152)</f>
        <v/>
      </c>
      <c r="K152" s="64" t="inlineStr">
        <is>
          <t>-</t>
        </is>
      </c>
      <c r="L152" s="195">
        <f>IF('Calendario A'!L152="","",'Calendario A'!L152)</f>
        <v/>
      </c>
      <c r="M152" s="196" t="n"/>
      <c r="N152" s="196" t="n"/>
      <c r="O152" s="196" t="n"/>
      <c r="P152" s="196" t="n"/>
      <c r="Q152" s="196" t="n"/>
      <c r="R152" s="196" t="n"/>
    </row>
    <row r="153" ht="15" customHeight="1">
      <c r="A153" s="141" t="n"/>
      <c r="B153" s="69">
        <f>IF('Calendario A'!B153="","",'Calendario A'!B153)</f>
        <v/>
      </c>
      <c r="C153" s="9" t="n"/>
      <c r="D153" s="9" t="n"/>
      <c r="E153" s="9" t="n"/>
      <c r="F153" s="9" t="n"/>
      <c r="G153" s="9" t="n"/>
      <c r="H153" s="10" t="n"/>
      <c r="I153" s="62">
        <f>IF('Calendario A'!I153="","",'Calendario A'!I153)</f>
        <v/>
      </c>
      <c r="J153" s="141" t="n"/>
      <c r="K153" s="141" t="n"/>
      <c r="L153" s="141" t="n"/>
      <c r="M153" s="141" t="n"/>
      <c r="N153" s="141" t="n"/>
      <c r="O153" s="141" t="n"/>
      <c r="P153" s="141" t="n"/>
      <c r="Q153" s="141" t="n"/>
      <c r="R153" s="141" t="n"/>
    </row>
    <row r="154" ht="14" customHeight="1">
      <c r="A154" s="58" t="inlineStr">
        <is>
          <t>Gara N.</t>
        </is>
      </c>
      <c r="B154" s="58" t="inlineStr">
        <is>
          <t>Squadra A</t>
        </is>
      </c>
      <c r="C154" s="10" t="n"/>
      <c r="D154" s="58" t="inlineStr">
        <is>
          <t>Squadra B</t>
        </is>
      </c>
      <c r="E154" s="10" t="n"/>
      <c r="F154" s="58" t="inlineStr">
        <is>
          <t>Giorno</t>
        </is>
      </c>
      <c r="G154" s="58" t="inlineStr">
        <is>
          <t>Data</t>
        </is>
      </c>
      <c r="H154" s="58" t="inlineStr">
        <is>
          <t>Ora</t>
        </is>
      </c>
      <c r="I154" s="10" t="n"/>
      <c r="J154" s="58" t="inlineStr">
        <is>
          <t>Risultato</t>
        </is>
      </c>
      <c r="K154" s="9" t="n"/>
      <c r="L154" s="10" t="n"/>
      <c r="M154" s="194" t="inlineStr">
        <is>
          <t>1o Arbitro</t>
        </is>
      </c>
      <c r="N154" s="194" t="inlineStr">
        <is>
          <t>2o Arbitro</t>
        </is>
      </c>
      <c r="O154" s="194" t="inlineStr">
        <is>
          <t>3o Arbitro/Tirocinante</t>
        </is>
      </c>
      <c r="P154" s="194" t="inlineStr">
        <is>
          <t>Referto</t>
        </is>
      </c>
      <c r="Q154" s="194" t="inlineStr">
        <is>
          <t>Cronometro</t>
        </is>
      </c>
      <c r="R154" s="194" t="inlineStr">
        <is>
          <t>Foglio Tiri</t>
        </is>
      </c>
    </row>
    <row r="155" ht="22" customHeight="1">
      <c r="A155" s="60">
        <f>IF('Calendario A'!A155="","",'Calendario A'!A155)</f>
        <v/>
      </c>
      <c r="B155" s="61">
        <f>IF('Calendario A'!B155="","",'Calendario A'!B155)</f>
        <v/>
      </c>
      <c r="C155" s="62">
        <f>IF('Calendario A'!C155="","",'Calendario A'!C155)</f>
        <v/>
      </c>
      <c r="D155" s="61">
        <f>IF('Calendario A'!D155="","",'Calendario A'!D155)</f>
        <v/>
      </c>
      <c r="E155" s="62">
        <f>IF('Calendario A'!E155="","",'Calendario A'!E155)</f>
        <v/>
      </c>
      <c r="F155" s="63">
        <f>IF('Calendario A'!F155="","",'Calendario A'!F155)</f>
        <v/>
      </c>
      <c r="G155" s="9" t="n"/>
      <c r="H155" s="9" t="n"/>
      <c r="I155" s="10" t="n"/>
      <c r="J155" s="195">
        <f>IF('Calendario A'!J155="","",'Calendario A'!J155)</f>
        <v/>
      </c>
      <c r="K155" s="64" t="inlineStr">
        <is>
          <t>-</t>
        </is>
      </c>
      <c r="L155" s="195">
        <f>IF('Calendario A'!L155="","",'Calendario A'!L155)</f>
        <v/>
      </c>
      <c r="M155" s="196" t="n"/>
      <c r="N155" s="196" t="n"/>
      <c r="O155" s="196" t="n"/>
      <c r="P155" s="196" t="n"/>
      <c r="Q155" s="196" t="n"/>
      <c r="R155" s="196" t="n"/>
    </row>
    <row r="156" ht="15" customHeight="1">
      <c r="A156" s="141" t="n"/>
      <c r="B156" s="69">
        <f>IF('Calendario A'!B156="","",'Calendario A'!B156)</f>
        <v/>
      </c>
      <c r="C156" s="9" t="n"/>
      <c r="D156" s="9" t="n"/>
      <c r="E156" s="9" t="n"/>
      <c r="F156" s="9" t="n"/>
      <c r="G156" s="9" t="n"/>
      <c r="H156" s="10" t="n"/>
      <c r="I156" s="62">
        <f>IF('Calendario A'!I156="","",'Calendario A'!I156)</f>
        <v/>
      </c>
      <c r="J156" s="141" t="n"/>
      <c r="K156" s="141" t="n"/>
      <c r="L156" s="141" t="n"/>
      <c r="M156" s="141" t="n"/>
      <c r="N156" s="141" t="n"/>
      <c r="O156" s="141" t="n"/>
      <c r="P156" s="141" t="n"/>
      <c r="Q156" s="141" t="n"/>
      <c r="R156" s="141" t="n"/>
    </row>
    <row r="157" ht="14" customHeight="1">
      <c r="A157" s="58" t="inlineStr">
        <is>
          <t>Gara N.</t>
        </is>
      </c>
      <c r="B157" s="58" t="inlineStr">
        <is>
          <t>Squadra A</t>
        </is>
      </c>
      <c r="C157" s="10" t="n"/>
      <c r="D157" s="58" t="inlineStr">
        <is>
          <t>Squadra B</t>
        </is>
      </c>
      <c r="E157" s="10" t="n"/>
      <c r="F157" s="58" t="inlineStr">
        <is>
          <t>Giorno</t>
        </is>
      </c>
      <c r="G157" s="58" t="inlineStr">
        <is>
          <t>Data</t>
        </is>
      </c>
      <c r="H157" s="58" t="inlineStr">
        <is>
          <t>Ora</t>
        </is>
      </c>
      <c r="I157" s="10" t="n"/>
      <c r="J157" s="58" t="inlineStr">
        <is>
          <t>Risultato</t>
        </is>
      </c>
      <c r="K157" s="9" t="n"/>
      <c r="L157" s="10" t="n"/>
      <c r="M157" s="194" t="inlineStr">
        <is>
          <t>1o Arbitro</t>
        </is>
      </c>
      <c r="N157" s="194" t="inlineStr">
        <is>
          <t>2o Arbitro</t>
        </is>
      </c>
      <c r="O157" s="194" t="inlineStr">
        <is>
          <t>3o Arbitro/Tirocinante</t>
        </is>
      </c>
      <c r="P157" s="194" t="inlineStr">
        <is>
          <t>Referto</t>
        </is>
      </c>
      <c r="Q157" s="194" t="inlineStr">
        <is>
          <t>Cronometro</t>
        </is>
      </c>
      <c r="R157" s="194" t="inlineStr">
        <is>
          <t>Foglio Tiri</t>
        </is>
      </c>
    </row>
    <row r="158" ht="22" customHeight="1">
      <c r="A158" s="60">
        <f>IF('Calendario A'!A158="","",'Calendario A'!A158)</f>
        <v/>
      </c>
      <c r="B158" s="61">
        <f>IF('Calendario A'!B158="","",'Calendario A'!B158)</f>
        <v/>
      </c>
      <c r="C158" s="62">
        <f>IF('Calendario A'!C158="","",'Calendario A'!C158)</f>
        <v/>
      </c>
      <c r="D158" s="61">
        <f>IF('Calendario A'!D158="","",'Calendario A'!D158)</f>
        <v/>
      </c>
      <c r="E158" s="62">
        <f>IF('Calendario A'!E158="","",'Calendario A'!E158)</f>
        <v/>
      </c>
      <c r="F158" s="63">
        <f>IF('Calendario A'!F158="","",'Calendario A'!F158)</f>
        <v/>
      </c>
      <c r="G158" s="9" t="n"/>
      <c r="H158" s="9" t="n"/>
      <c r="I158" s="10" t="n"/>
      <c r="J158" s="195">
        <f>IF('Calendario A'!J158="","",'Calendario A'!J158)</f>
        <v/>
      </c>
      <c r="K158" s="64" t="inlineStr">
        <is>
          <t>-</t>
        </is>
      </c>
      <c r="L158" s="195">
        <f>IF('Calendario A'!L158="","",'Calendario A'!L158)</f>
        <v/>
      </c>
      <c r="M158" s="196" t="n"/>
      <c r="N158" s="196" t="n"/>
      <c r="O158" s="196" t="n"/>
      <c r="P158" s="196" t="n"/>
      <c r="Q158" s="196" t="n"/>
      <c r="R158" s="196" t="n"/>
    </row>
    <row r="159" ht="15" customHeight="1">
      <c r="A159" s="141" t="n"/>
      <c r="B159" s="69">
        <f>IF('Calendario A'!B159="","",'Calendario A'!B159)</f>
        <v/>
      </c>
      <c r="C159" s="9" t="n"/>
      <c r="D159" s="9" t="n"/>
      <c r="E159" s="9" t="n"/>
      <c r="F159" s="9" t="n"/>
      <c r="G159" s="9" t="n"/>
      <c r="H159" s="10" t="n"/>
      <c r="I159" s="62">
        <f>IF('Calendario A'!I159="","",'Calendario A'!I159)</f>
        <v/>
      </c>
      <c r="J159" s="141" t="n"/>
      <c r="K159" s="141" t="n"/>
      <c r="L159" s="141" t="n"/>
      <c r="M159" s="141" t="n"/>
      <c r="N159" s="141" t="n"/>
      <c r="O159" s="141" t="n"/>
      <c r="P159" s="141" t="n"/>
      <c r="Q159" s="141" t="n"/>
      <c r="R159" s="141" t="n"/>
    </row>
    <row r="178" ht="20" customHeight="1">
      <c r="A178" s="71">
        <f>IF('Calendario B'!A8="","",'Calendario B'!A8)</f>
        <v/>
      </c>
      <c r="B178" s="72">
        <f>IF('Calendario B'!B8="","",'Calendario B'!B8)</f>
        <v/>
      </c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10" t="n"/>
      <c r="M178" s="198" t="inlineStr">
        <is>
          <t>ARBITRI</t>
        </is>
      </c>
      <c r="N178" s="9" t="n"/>
      <c r="O178" s="10" t="n"/>
      <c r="P178" s="198" t="inlineStr">
        <is>
          <t>UFFICIALI DI CAMPO</t>
        </is>
      </c>
      <c r="Q178" s="9" t="n"/>
      <c r="R178" s="10" t="n"/>
    </row>
    <row r="179" ht="14" customHeight="1">
      <c r="A179" s="74" t="inlineStr">
        <is>
          <t>Gara N.</t>
        </is>
      </c>
      <c r="B179" s="74" t="inlineStr">
        <is>
          <t>Squadra A</t>
        </is>
      </c>
      <c r="C179" s="10" t="n"/>
      <c r="D179" s="74" t="inlineStr">
        <is>
          <t>Squadra B</t>
        </is>
      </c>
      <c r="E179" s="10" t="n"/>
      <c r="F179" s="74" t="inlineStr">
        <is>
          <t>Giorno</t>
        </is>
      </c>
      <c r="G179" s="74" t="inlineStr">
        <is>
          <t>Data</t>
        </is>
      </c>
      <c r="H179" s="74" t="inlineStr">
        <is>
          <t>Ora</t>
        </is>
      </c>
      <c r="I179" s="10" t="n"/>
      <c r="J179" s="74" t="inlineStr">
        <is>
          <t>Risultato</t>
        </is>
      </c>
      <c r="K179" s="9" t="n"/>
      <c r="L179" s="10" t="n"/>
      <c r="M179" s="199" t="inlineStr">
        <is>
          <t>1o Arbitro</t>
        </is>
      </c>
      <c r="N179" s="199" t="inlineStr">
        <is>
          <t>2o Arbitro</t>
        </is>
      </c>
      <c r="O179" s="199" t="inlineStr">
        <is>
          <t>3o Arbitro/Tirocinante</t>
        </is>
      </c>
      <c r="P179" s="199" t="inlineStr">
        <is>
          <t>Referto</t>
        </is>
      </c>
      <c r="Q179" s="199" t="inlineStr">
        <is>
          <t>Cronometro</t>
        </is>
      </c>
      <c r="R179" s="199" t="inlineStr">
        <is>
          <t>Foglio Tiri</t>
        </is>
      </c>
    </row>
    <row r="180" ht="22" customHeight="1">
      <c r="A180" s="76">
        <f>IF('Calendario B'!A10="","",'Calendario B'!A10)</f>
        <v/>
      </c>
      <c r="B180" s="61">
        <f>IF('Calendario B'!B10="","",'Calendario B'!B10)</f>
        <v/>
      </c>
      <c r="C180" s="62">
        <f>IF('Calendario B'!C10="","",'Calendario B'!C10)</f>
        <v/>
      </c>
      <c r="D180" s="61">
        <f>IF('Calendario B'!D10="","",'Calendario B'!D10)</f>
        <v/>
      </c>
      <c r="E180" s="62">
        <f>IF('Calendario B'!E10="","",'Calendario B'!E10)</f>
        <v/>
      </c>
      <c r="F180" s="63">
        <f>IF('Calendario B'!F10="","",'Calendario B'!F10)</f>
        <v/>
      </c>
      <c r="G180" s="9" t="n"/>
      <c r="H180" s="9" t="n"/>
      <c r="I180" s="10" t="n"/>
      <c r="J180" s="195">
        <f>IF('Calendario B'!J10="","",'Calendario B'!J10)</f>
        <v/>
      </c>
      <c r="K180" s="64" t="inlineStr">
        <is>
          <t>-</t>
        </is>
      </c>
      <c r="L180" s="195">
        <f>IF('Calendario B'!L10="","",'Calendario B'!L10)</f>
        <v/>
      </c>
      <c r="M180" s="196" t="n"/>
      <c r="N180" s="196" t="n"/>
      <c r="O180" s="196" t="n"/>
      <c r="P180" s="196" t="n"/>
      <c r="Q180" s="196" t="n"/>
      <c r="R180" s="196" t="n"/>
    </row>
    <row r="181" ht="15" customHeight="1">
      <c r="A181" s="141" t="n"/>
      <c r="B181" s="69">
        <f>IF('Calendario B'!B11="","",'Calendario B'!B11)</f>
        <v/>
      </c>
      <c r="C181" s="9" t="n"/>
      <c r="D181" s="9" t="n"/>
      <c r="E181" s="9" t="n"/>
      <c r="F181" s="9" t="n"/>
      <c r="G181" s="9" t="n"/>
      <c r="H181" s="10" t="n"/>
      <c r="I181" s="62">
        <f>IF('Calendario B'!I11="","",'Calendario B'!I11)</f>
        <v/>
      </c>
      <c r="J181" s="141" t="n"/>
      <c r="K181" s="141" t="n"/>
      <c r="L181" s="141" t="n"/>
      <c r="M181" s="141" t="n"/>
      <c r="N181" s="141" t="n"/>
      <c r="O181" s="141" t="n"/>
      <c r="P181" s="141" t="n"/>
      <c r="Q181" s="141" t="n"/>
      <c r="R181" s="141" t="n"/>
    </row>
    <row r="182" ht="14" customHeight="1">
      <c r="A182" s="74" t="inlineStr">
        <is>
          <t>Gara N.</t>
        </is>
      </c>
      <c r="B182" s="74" t="inlineStr">
        <is>
          <t>Squadra A</t>
        </is>
      </c>
      <c r="C182" s="10" t="n"/>
      <c r="D182" s="74" t="inlineStr">
        <is>
          <t>Squadra B</t>
        </is>
      </c>
      <c r="E182" s="10" t="n"/>
      <c r="F182" s="74" t="inlineStr">
        <is>
          <t>Giorno</t>
        </is>
      </c>
      <c r="G182" s="74" t="inlineStr">
        <is>
          <t>Data</t>
        </is>
      </c>
      <c r="H182" s="74" t="inlineStr">
        <is>
          <t>Ora</t>
        </is>
      </c>
      <c r="I182" s="10" t="n"/>
      <c r="J182" s="74" t="inlineStr">
        <is>
          <t>Risultato</t>
        </is>
      </c>
      <c r="K182" s="9" t="n"/>
      <c r="L182" s="10" t="n"/>
      <c r="M182" s="199" t="inlineStr">
        <is>
          <t>1o Arbitro</t>
        </is>
      </c>
      <c r="N182" s="199" t="inlineStr">
        <is>
          <t>2o Arbitro</t>
        </is>
      </c>
      <c r="O182" s="199" t="inlineStr">
        <is>
          <t>3o Arbitro/Tirocinante</t>
        </is>
      </c>
      <c r="P182" s="199" t="inlineStr">
        <is>
          <t>Referto</t>
        </is>
      </c>
      <c r="Q182" s="199" t="inlineStr">
        <is>
          <t>Cronometro</t>
        </is>
      </c>
      <c r="R182" s="199" t="inlineStr">
        <is>
          <t>Foglio Tiri</t>
        </is>
      </c>
    </row>
    <row r="183" ht="22" customHeight="1">
      <c r="A183" s="76">
        <f>IF('Calendario B'!A13="","",'Calendario B'!A13)</f>
        <v/>
      </c>
      <c r="B183" s="61">
        <f>IF('Calendario B'!B13="","",'Calendario B'!B13)</f>
        <v/>
      </c>
      <c r="C183" s="62">
        <f>IF('Calendario B'!C13="","",'Calendario B'!C13)</f>
        <v/>
      </c>
      <c r="D183" s="61">
        <f>IF('Calendario B'!D13="","",'Calendario B'!D13)</f>
        <v/>
      </c>
      <c r="E183" s="62">
        <f>IF('Calendario B'!E13="","",'Calendario B'!E13)</f>
        <v/>
      </c>
      <c r="F183" s="63">
        <f>IF('Calendario B'!F13="","",'Calendario B'!F13)</f>
        <v/>
      </c>
      <c r="G183" s="9" t="n"/>
      <c r="H183" s="9" t="n"/>
      <c r="I183" s="10" t="n"/>
      <c r="J183" s="195">
        <f>IF('Calendario B'!J13="","",'Calendario B'!J13)</f>
        <v/>
      </c>
      <c r="K183" s="64" t="inlineStr">
        <is>
          <t>-</t>
        </is>
      </c>
      <c r="L183" s="195">
        <f>IF('Calendario B'!L13="","",'Calendario B'!L13)</f>
        <v/>
      </c>
      <c r="M183" s="196" t="n"/>
      <c r="N183" s="196" t="n"/>
      <c r="O183" s="196" t="n"/>
      <c r="P183" s="196" t="n"/>
      <c r="Q183" s="196" t="n"/>
      <c r="R183" s="196" t="n"/>
    </row>
    <row r="184" ht="15" customHeight="1">
      <c r="A184" s="141" t="n"/>
      <c r="B184" s="69">
        <f>IF('Calendario B'!B14="","",'Calendario B'!B14)</f>
        <v/>
      </c>
      <c r="C184" s="9" t="n"/>
      <c r="D184" s="9" t="n"/>
      <c r="E184" s="9" t="n"/>
      <c r="F184" s="9" t="n"/>
      <c r="G184" s="9" t="n"/>
      <c r="H184" s="10" t="n"/>
      <c r="I184" s="62">
        <f>IF('Calendario B'!I14="","",'Calendario B'!I14)</f>
        <v/>
      </c>
      <c r="J184" s="141" t="n"/>
      <c r="K184" s="141" t="n"/>
      <c r="L184" s="141" t="n"/>
      <c r="M184" s="141" t="n"/>
      <c r="N184" s="141" t="n"/>
      <c r="O184" s="141" t="n"/>
      <c r="P184" s="141" t="n"/>
      <c r="Q184" s="141" t="n"/>
      <c r="R184" s="141" t="n"/>
    </row>
    <row r="185" ht="14" customHeight="1">
      <c r="A185" s="74" t="inlineStr">
        <is>
          <t>Gara N.</t>
        </is>
      </c>
      <c r="B185" s="74" t="inlineStr">
        <is>
          <t>Squadra A</t>
        </is>
      </c>
      <c r="C185" s="10" t="n"/>
      <c r="D185" s="74" t="inlineStr">
        <is>
          <t>Squadra B</t>
        </is>
      </c>
      <c r="E185" s="10" t="n"/>
      <c r="F185" s="74" t="inlineStr">
        <is>
          <t>Giorno</t>
        </is>
      </c>
      <c r="G185" s="74" t="inlineStr">
        <is>
          <t>Data</t>
        </is>
      </c>
      <c r="H185" s="74" t="inlineStr">
        <is>
          <t>Ora</t>
        </is>
      </c>
      <c r="I185" s="10" t="n"/>
      <c r="J185" s="74" t="inlineStr">
        <is>
          <t>Risultato</t>
        </is>
      </c>
      <c r="K185" s="9" t="n"/>
      <c r="L185" s="10" t="n"/>
      <c r="M185" s="199" t="inlineStr">
        <is>
          <t>1o Arbitro</t>
        </is>
      </c>
      <c r="N185" s="199" t="inlineStr">
        <is>
          <t>2o Arbitro</t>
        </is>
      </c>
      <c r="O185" s="199" t="inlineStr">
        <is>
          <t>3o Arbitro/Tirocinante</t>
        </is>
      </c>
      <c r="P185" s="199" t="inlineStr">
        <is>
          <t>Referto</t>
        </is>
      </c>
      <c r="Q185" s="199" t="inlineStr">
        <is>
          <t>Cronometro</t>
        </is>
      </c>
      <c r="R185" s="199" t="inlineStr">
        <is>
          <t>Foglio Tiri</t>
        </is>
      </c>
    </row>
    <row r="186" ht="22" customHeight="1">
      <c r="A186" s="76">
        <f>IF('Calendario B'!A16="","",'Calendario B'!A16)</f>
        <v/>
      </c>
      <c r="B186" s="61">
        <f>IF('Calendario B'!B16="","",'Calendario B'!B16)</f>
        <v/>
      </c>
      <c r="C186" s="62">
        <f>IF('Calendario B'!C16="","",'Calendario B'!C16)</f>
        <v/>
      </c>
      <c r="D186" s="61">
        <f>IF('Calendario B'!D16="","",'Calendario B'!D16)</f>
        <v/>
      </c>
      <c r="E186" s="62">
        <f>IF('Calendario B'!E16="","",'Calendario B'!E16)</f>
        <v/>
      </c>
      <c r="F186" s="63">
        <f>IF('Calendario B'!F16="","",'Calendario B'!F16)</f>
        <v/>
      </c>
      <c r="G186" s="9" t="n"/>
      <c r="H186" s="9" t="n"/>
      <c r="I186" s="10" t="n"/>
      <c r="J186" s="195">
        <f>IF('Calendario B'!J16="","",'Calendario B'!J16)</f>
        <v/>
      </c>
      <c r="K186" s="64" t="inlineStr">
        <is>
          <t>-</t>
        </is>
      </c>
      <c r="L186" s="195">
        <f>IF('Calendario B'!L16="","",'Calendario B'!L16)</f>
        <v/>
      </c>
      <c r="M186" s="196" t="n"/>
      <c r="N186" s="196" t="n"/>
      <c r="O186" s="196" t="n"/>
      <c r="P186" s="196" t="n"/>
      <c r="Q186" s="196" t="n"/>
      <c r="R186" s="196" t="n"/>
    </row>
    <row r="187" ht="15" customHeight="1">
      <c r="A187" s="141" t="n"/>
      <c r="B187" s="69">
        <f>IF('Calendario B'!B17="","",'Calendario B'!B17)</f>
        <v/>
      </c>
      <c r="C187" s="9" t="n"/>
      <c r="D187" s="9" t="n"/>
      <c r="E187" s="9" t="n"/>
      <c r="F187" s="9" t="n"/>
      <c r="G187" s="9" t="n"/>
      <c r="H187" s="10" t="n"/>
      <c r="I187" s="62">
        <f>IF('Calendario B'!I17="","",'Calendario B'!I17)</f>
        <v/>
      </c>
      <c r="J187" s="141" t="n"/>
      <c r="K187" s="141" t="n"/>
      <c r="L187" s="141" t="n"/>
      <c r="M187" s="141" t="n"/>
      <c r="N187" s="141" t="n"/>
      <c r="O187" s="141" t="n"/>
      <c r="P187" s="141" t="n"/>
      <c r="Q187" s="141" t="n"/>
      <c r="R187" s="141" t="n"/>
    </row>
    <row r="188" ht="14" customHeight="1">
      <c r="A188" s="74" t="inlineStr">
        <is>
          <t>Gara N.</t>
        </is>
      </c>
      <c r="B188" s="74" t="inlineStr">
        <is>
          <t>Squadra A</t>
        </is>
      </c>
      <c r="C188" s="10" t="n"/>
      <c r="D188" s="74" t="inlineStr">
        <is>
          <t>Squadra B</t>
        </is>
      </c>
      <c r="E188" s="10" t="n"/>
      <c r="F188" s="74" t="inlineStr">
        <is>
          <t>Giorno</t>
        </is>
      </c>
      <c r="G188" s="74" t="inlineStr">
        <is>
          <t>Data</t>
        </is>
      </c>
      <c r="H188" s="74" t="inlineStr">
        <is>
          <t>Ora</t>
        </is>
      </c>
      <c r="I188" s="10" t="n"/>
      <c r="J188" s="74" t="inlineStr">
        <is>
          <t>Risultato</t>
        </is>
      </c>
      <c r="K188" s="9" t="n"/>
      <c r="L188" s="10" t="n"/>
      <c r="M188" s="199" t="inlineStr">
        <is>
          <t>1o Arbitro</t>
        </is>
      </c>
      <c r="N188" s="199" t="inlineStr">
        <is>
          <t>2o Arbitro</t>
        </is>
      </c>
      <c r="O188" s="199" t="inlineStr">
        <is>
          <t>3o Arbitro/Tirocinante</t>
        </is>
      </c>
      <c r="P188" s="199" t="inlineStr">
        <is>
          <t>Referto</t>
        </is>
      </c>
      <c r="Q188" s="199" t="inlineStr">
        <is>
          <t>Cronometro</t>
        </is>
      </c>
      <c r="R188" s="199" t="inlineStr">
        <is>
          <t>Foglio Tiri</t>
        </is>
      </c>
    </row>
    <row r="189" ht="22" customHeight="1">
      <c r="A189" s="76">
        <f>IF('Calendario B'!A19="","",'Calendario B'!A19)</f>
        <v/>
      </c>
      <c r="B189" s="61">
        <f>IF('Calendario B'!B19="","",'Calendario B'!B19)</f>
        <v/>
      </c>
      <c r="C189" s="62">
        <f>IF('Calendario B'!C19="","",'Calendario B'!C19)</f>
        <v/>
      </c>
      <c r="D189" s="61">
        <f>IF('Calendario B'!D19="","",'Calendario B'!D19)</f>
        <v/>
      </c>
      <c r="E189" s="62">
        <f>IF('Calendario B'!E19="","",'Calendario B'!E19)</f>
        <v/>
      </c>
      <c r="F189" s="63">
        <f>IF('Calendario B'!F19="","",'Calendario B'!F19)</f>
        <v/>
      </c>
      <c r="G189" s="9" t="n"/>
      <c r="H189" s="9" t="n"/>
      <c r="I189" s="10" t="n"/>
      <c r="J189" s="195">
        <f>IF('Calendario B'!J19="","",'Calendario B'!J19)</f>
        <v/>
      </c>
      <c r="K189" s="64" t="inlineStr">
        <is>
          <t>-</t>
        </is>
      </c>
      <c r="L189" s="195">
        <f>IF('Calendario B'!L19="","",'Calendario B'!L19)</f>
        <v/>
      </c>
      <c r="M189" s="196" t="n"/>
      <c r="N189" s="196" t="n"/>
      <c r="O189" s="196" t="n"/>
      <c r="P189" s="196" t="n"/>
      <c r="Q189" s="196" t="n"/>
      <c r="R189" s="196" t="n"/>
    </row>
    <row r="190" ht="15" customHeight="1">
      <c r="A190" s="141" t="n"/>
      <c r="B190" s="69">
        <f>IF('Calendario B'!B20="","",'Calendario B'!B20)</f>
        <v/>
      </c>
      <c r="C190" s="9" t="n"/>
      <c r="D190" s="9" t="n"/>
      <c r="E190" s="9" t="n"/>
      <c r="F190" s="9" t="n"/>
      <c r="G190" s="9" t="n"/>
      <c r="H190" s="10" t="n"/>
      <c r="I190" s="62">
        <f>IF('Calendario B'!I20="","",'Calendario B'!I20)</f>
        <v/>
      </c>
      <c r="J190" s="141" t="n"/>
      <c r="K190" s="141" t="n"/>
      <c r="L190" s="141" t="n"/>
      <c r="M190" s="141" t="n"/>
      <c r="N190" s="141" t="n"/>
      <c r="O190" s="141" t="n"/>
      <c r="P190" s="141" t="n"/>
      <c r="Q190" s="141" t="n"/>
      <c r="R190" s="141" t="n"/>
    </row>
    <row r="191" ht="14" customHeight="1">
      <c r="A191" s="74" t="inlineStr">
        <is>
          <t>Gara N.</t>
        </is>
      </c>
      <c r="B191" s="74" t="inlineStr">
        <is>
          <t>Squadra A</t>
        </is>
      </c>
      <c r="C191" s="10" t="n"/>
      <c r="D191" s="74" t="inlineStr">
        <is>
          <t>Squadra B</t>
        </is>
      </c>
      <c r="E191" s="10" t="n"/>
      <c r="F191" s="74" t="inlineStr">
        <is>
          <t>Giorno</t>
        </is>
      </c>
      <c r="G191" s="74" t="inlineStr">
        <is>
          <t>Data</t>
        </is>
      </c>
      <c r="H191" s="74" t="inlineStr">
        <is>
          <t>Ora</t>
        </is>
      </c>
      <c r="I191" s="10" t="n"/>
      <c r="J191" s="74" t="inlineStr">
        <is>
          <t>Risultato</t>
        </is>
      </c>
      <c r="K191" s="9" t="n"/>
      <c r="L191" s="10" t="n"/>
      <c r="M191" s="199" t="inlineStr">
        <is>
          <t>1o Arbitro</t>
        </is>
      </c>
      <c r="N191" s="199" t="inlineStr">
        <is>
          <t>2o Arbitro</t>
        </is>
      </c>
      <c r="O191" s="199" t="inlineStr">
        <is>
          <t>3o Arbitro/Tirocinante</t>
        </is>
      </c>
      <c r="P191" s="199" t="inlineStr">
        <is>
          <t>Referto</t>
        </is>
      </c>
      <c r="Q191" s="199" t="inlineStr">
        <is>
          <t>Cronometro</t>
        </is>
      </c>
      <c r="R191" s="199" t="inlineStr">
        <is>
          <t>Foglio Tiri</t>
        </is>
      </c>
    </row>
    <row r="192" ht="22" customHeight="1">
      <c r="A192" s="76">
        <f>IF('Calendario B'!A22="","",'Calendario B'!A22)</f>
        <v/>
      </c>
      <c r="B192" s="61">
        <f>IF('Calendario B'!B22="","",'Calendario B'!B22)</f>
        <v/>
      </c>
      <c r="C192" s="62">
        <f>IF('Calendario B'!C22="","",'Calendario B'!C22)</f>
        <v/>
      </c>
      <c r="D192" s="61">
        <f>IF('Calendario B'!D22="","",'Calendario B'!D22)</f>
        <v/>
      </c>
      <c r="E192" s="62">
        <f>IF('Calendario B'!E22="","",'Calendario B'!E22)</f>
        <v/>
      </c>
      <c r="F192" s="63">
        <f>IF('Calendario B'!F22="","",'Calendario B'!F22)</f>
        <v/>
      </c>
      <c r="G192" s="9" t="n"/>
      <c r="H192" s="9" t="n"/>
      <c r="I192" s="10" t="n"/>
      <c r="J192" s="195">
        <f>IF('Calendario B'!J22="","",'Calendario B'!J22)</f>
        <v/>
      </c>
      <c r="K192" s="64" t="inlineStr">
        <is>
          <t>-</t>
        </is>
      </c>
      <c r="L192" s="195">
        <f>IF('Calendario B'!L22="","",'Calendario B'!L22)</f>
        <v/>
      </c>
      <c r="M192" s="196" t="n"/>
      <c r="N192" s="196" t="n"/>
      <c r="O192" s="196" t="n"/>
      <c r="P192" s="196" t="n"/>
      <c r="Q192" s="196" t="n"/>
      <c r="R192" s="196" t="n"/>
    </row>
    <row r="193" ht="15" customHeight="1">
      <c r="A193" s="141" t="n"/>
      <c r="B193" s="69">
        <f>IF('Calendario B'!B23="","",'Calendario B'!B23)</f>
        <v/>
      </c>
      <c r="C193" s="9" t="n"/>
      <c r="D193" s="9" t="n"/>
      <c r="E193" s="9" t="n"/>
      <c r="F193" s="9" t="n"/>
      <c r="G193" s="9" t="n"/>
      <c r="H193" s="10" t="n"/>
      <c r="I193" s="62">
        <f>IF('Calendario B'!I23="","",'Calendario B'!I23)</f>
        <v/>
      </c>
      <c r="J193" s="141" t="n"/>
      <c r="K193" s="141" t="n"/>
      <c r="L193" s="141" t="n"/>
      <c r="M193" s="141" t="n"/>
      <c r="N193" s="141" t="n"/>
      <c r="O193" s="141" t="n"/>
      <c r="P193" s="141" t="n"/>
      <c r="Q193" s="141" t="n"/>
      <c r="R193" s="141" t="n"/>
    </row>
    <row r="195" ht="20" customHeight="1">
      <c r="A195" s="71">
        <f>IF('Calendario B'!A25="","",'Calendario B'!A25)</f>
        <v/>
      </c>
      <c r="B195" s="72">
        <f>IF('Calendario B'!B25="","",'Calendario B'!B25)</f>
        <v/>
      </c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10" t="n"/>
      <c r="M195" s="198" t="inlineStr">
        <is>
          <t>ARBITRI</t>
        </is>
      </c>
      <c r="N195" s="9" t="n"/>
      <c r="O195" s="10" t="n"/>
      <c r="P195" s="198" t="inlineStr">
        <is>
          <t>UFFICIALI DI CAMPO</t>
        </is>
      </c>
      <c r="Q195" s="9" t="n"/>
      <c r="R195" s="10" t="n"/>
    </row>
    <row r="196" ht="14" customHeight="1">
      <c r="A196" s="74" t="inlineStr">
        <is>
          <t>Gara N.</t>
        </is>
      </c>
      <c r="B196" s="74" t="inlineStr">
        <is>
          <t>Squadra A</t>
        </is>
      </c>
      <c r="C196" s="10" t="n"/>
      <c r="D196" s="74" t="inlineStr">
        <is>
          <t>Squadra B</t>
        </is>
      </c>
      <c r="E196" s="10" t="n"/>
      <c r="F196" s="74" t="inlineStr">
        <is>
          <t>Giorno</t>
        </is>
      </c>
      <c r="G196" s="74" t="inlineStr">
        <is>
          <t>Data</t>
        </is>
      </c>
      <c r="H196" s="74" t="inlineStr">
        <is>
          <t>Ora</t>
        </is>
      </c>
      <c r="I196" s="10" t="n"/>
      <c r="J196" s="74" t="inlineStr">
        <is>
          <t>Risultato</t>
        </is>
      </c>
      <c r="K196" s="9" t="n"/>
      <c r="L196" s="10" t="n"/>
      <c r="M196" s="199" t="inlineStr">
        <is>
          <t>1o Arbitro</t>
        </is>
      </c>
      <c r="N196" s="199" t="inlineStr">
        <is>
          <t>2o Arbitro</t>
        </is>
      </c>
      <c r="O196" s="199" t="inlineStr">
        <is>
          <t>3o Arbitro/Tirocinante</t>
        </is>
      </c>
      <c r="P196" s="199" t="inlineStr">
        <is>
          <t>Referto</t>
        </is>
      </c>
      <c r="Q196" s="199" t="inlineStr">
        <is>
          <t>Cronometro</t>
        </is>
      </c>
      <c r="R196" s="199" t="inlineStr">
        <is>
          <t>Foglio Tiri</t>
        </is>
      </c>
    </row>
    <row r="197" ht="22" customHeight="1">
      <c r="A197" s="76">
        <f>IF('Calendario B'!A27="","",'Calendario B'!A27)</f>
        <v/>
      </c>
      <c r="B197" s="61">
        <f>IF('Calendario B'!B27="","",'Calendario B'!B27)</f>
        <v/>
      </c>
      <c r="C197" s="62">
        <f>IF('Calendario B'!C27="","",'Calendario B'!C27)</f>
        <v/>
      </c>
      <c r="D197" s="61">
        <f>IF('Calendario B'!D27="","",'Calendario B'!D27)</f>
        <v/>
      </c>
      <c r="E197" s="62">
        <f>IF('Calendario B'!E27="","",'Calendario B'!E27)</f>
        <v/>
      </c>
      <c r="F197" s="63">
        <f>IF('Calendario B'!F27="","",'Calendario B'!F27)</f>
        <v/>
      </c>
      <c r="G197" s="9" t="n"/>
      <c r="H197" s="9" t="n"/>
      <c r="I197" s="10" t="n"/>
      <c r="J197" s="195">
        <f>IF('Calendario B'!J27="","",'Calendario B'!J27)</f>
        <v/>
      </c>
      <c r="K197" s="64" t="inlineStr">
        <is>
          <t>-</t>
        </is>
      </c>
      <c r="L197" s="195">
        <f>IF('Calendario B'!L27="","",'Calendario B'!L27)</f>
        <v/>
      </c>
      <c r="M197" s="196" t="n"/>
      <c r="N197" s="196" t="n"/>
      <c r="O197" s="196" t="n"/>
      <c r="P197" s="196" t="n"/>
      <c r="Q197" s="196" t="n"/>
      <c r="R197" s="196" t="n"/>
    </row>
    <row r="198" ht="15" customHeight="1">
      <c r="A198" s="141" t="n"/>
      <c r="B198" s="69">
        <f>IF('Calendario B'!B28="","",'Calendario B'!B28)</f>
        <v/>
      </c>
      <c r="C198" s="9" t="n"/>
      <c r="D198" s="9" t="n"/>
      <c r="E198" s="9" t="n"/>
      <c r="F198" s="9" t="n"/>
      <c r="G198" s="9" t="n"/>
      <c r="H198" s="10" t="n"/>
      <c r="I198" s="62">
        <f>IF('Calendario B'!I28="","",'Calendario B'!I28)</f>
        <v/>
      </c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</row>
    <row r="199" ht="14" customHeight="1">
      <c r="A199" s="74" t="inlineStr">
        <is>
          <t>Gara N.</t>
        </is>
      </c>
      <c r="B199" s="74" t="inlineStr">
        <is>
          <t>Squadra A</t>
        </is>
      </c>
      <c r="C199" s="10" t="n"/>
      <c r="D199" s="74" t="inlineStr">
        <is>
          <t>Squadra B</t>
        </is>
      </c>
      <c r="E199" s="10" t="n"/>
      <c r="F199" s="74" t="inlineStr">
        <is>
          <t>Giorno</t>
        </is>
      </c>
      <c r="G199" s="74" t="inlineStr">
        <is>
          <t>Data</t>
        </is>
      </c>
      <c r="H199" s="74" t="inlineStr">
        <is>
          <t>Ora</t>
        </is>
      </c>
      <c r="I199" s="10" t="n"/>
      <c r="J199" s="74" t="inlineStr">
        <is>
          <t>Risultato</t>
        </is>
      </c>
      <c r="K199" s="9" t="n"/>
      <c r="L199" s="10" t="n"/>
      <c r="M199" s="199" t="inlineStr">
        <is>
          <t>1o Arbitro</t>
        </is>
      </c>
      <c r="N199" s="199" t="inlineStr">
        <is>
          <t>2o Arbitro</t>
        </is>
      </c>
      <c r="O199" s="199" t="inlineStr">
        <is>
          <t>3o Arbitro/Tirocinante</t>
        </is>
      </c>
      <c r="P199" s="199" t="inlineStr">
        <is>
          <t>Referto</t>
        </is>
      </c>
      <c r="Q199" s="199" t="inlineStr">
        <is>
          <t>Cronometro</t>
        </is>
      </c>
      <c r="R199" s="199" t="inlineStr">
        <is>
          <t>Foglio Tiri</t>
        </is>
      </c>
    </row>
    <row r="200" ht="22" customHeight="1">
      <c r="A200" s="76">
        <f>IF('Calendario B'!A30="","",'Calendario B'!A30)</f>
        <v/>
      </c>
      <c r="B200" s="61">
        <f>IF('Calendario B'!B30="","",'Calendario B'!B30)</f>
        <v/>
      </c>
      <c r="C200" s="62">
        <f>IF('Calendario B'!C30="","",'Calendario B'!C30)</f>
        <v/>
      </c>
      <c r="D200" s="61">
        <f>IF('Calendario B'!D30="","",'Calendario B'!D30)</f>
        <v/>
      </c>
      <c r="E200" s="62">
        <f>IF('Calendario B'!E30="","",'Calendario B'!E30)</f>
        <v/>
      </c>
      <c r="F200" s="63">
        <f>IF('Calendario B'!F30="","",'Calendario B'!F30)</f>
        <v/>
      </c>
      <c r="G200" s="9" t="n"/>
      <c r="H200" s="9" t="n"/>
      <c r="I200" s="10" t="n"/>
      <c r="J200" s="195">
        <f>IF('Calendario B'!J30="","",'Calendario B'!J30)</f>
        <v/>
      </c>
      <c r="K200" s="64" t="inlineStr">
        <is>
          <t>-</t>
        </is>
      </c>
      <c r="L200" s="195">
        <f>IF('Calendario B'!L30="","",'Calendario B'!L30)</f>
        <v/>
      </c>
      <c r="M200" s="196" t="n"/>
      <c r="N200" s="196" t="n"/>
      <c r="O200" s="196" t="n"/>
      <c r="P200" s="196" t="n"/>
      <c r="Q200" s="196" t="n"/>
      <c r="R200" s="196" t="n"/>
    </row>
    <row r="201" ht="15" customHeight="1">
      <c r="A201" s="141" t="n"/>
      <c r="B201" s="69">
        <f>IF('Calendario B'!B31="","",'Calendario B'!B31)</f>
        <v/>
      </c>
      <c r="C201" s="9" t="n"/>
      <c r="D201" s="9" t="n"/>
      <c r="E201" s="9" t="n"/>
      <c r="F201" s="9" t="n"/>
      <c r="G201" s="9" t="n"/>
      <c r="H201" s="10" t="n"/>
      <c r="I201" s="62">
        <f>IF('Calendario B'!I31="","",'Calendario B'!I31)</f>
        <v/>
      </c>
      <c r="J201" s="141" t="n"/>
      <c r="K201" s="141" t="n"/>
      <c r="L201" s="141" t="n"/>
      <c r="M201" s="141" t="n"/>
      <c r="N201" s="141" t="n"/>
      <c r="O201" s="141" t="n"/>
      <c r="P201" s="141" t="n"/>
      <c r="Q201" s="141" t="n"/>
      <c r="R201" s="141" t="n"/>
    </row>
    <row r="202" ht="14" customHeight="1">
      <c r="A202" s="74" t="inlineStr">
        <is>
          <t>Gara N.</t>
        </is>
      </c>
      <c r="B202" s="74" t="inlineStr">
        <is>
          <t>Squadra A</t>
        </is>
      </c>
      <c r="C202" s="10" t="n"/>
      <c r="D202" s="74" t="inlineStr">
        <is>
          <t>Squadra B</t>
        </is>
      </c>
      <c r="E202" s="10" t="n"/>
      <c r="F202" s="74" t="inlineStr">
        <is>
          <t>Giorno</t>
        </is>
      </c>
      <c r="G202" s="74" t="inlineStr">
        <is>
          <t>Data</t>
        </is>
      </c>
      <c r="H202" s="74" t="inlineStr">
        <is>
          <t>Ora</t>
        </is>
      </c>
      <c r="I202" s="10" t="n"/>
      <c r="J202" s="74" t="inlineStr">
        <is>
          <t>Risultato</t>
        </is>
      </c>
      <c r="K202" s="9" t="n"/>
      <c r="L202" s="10" t="n"/>
      <c r="M202" s="199" t="inlineStr">
        <is>
          <t>1o Arbitro</t>
        </is>
      </c>
      <c r="N202" s="199" t="inlineStr">
        <is>
          <t>2o Arbitro</t>
        </is>
      </c>
      <c r="O202" s="199" t="inlineStr">
        <is>
          <t>3o Arbitro/Tirocinante</t>
        </is>
      </c>
      <c r="P202" s="199" t="inlineStr">
        <is>
          <t>Referto</t>
        </is>
      </c>
      <c r="Q202" s="199" t="inlineStr">
        <is>
          <t>Cronometro</t>
        </is>
      </c>
      <c r="R202" s="199" t="inlineStr">
        <is>
          <t>Foglio Tiri</t>
        </is>
      </c>
    </row>
    <row r="203" ht="22" customHeight="1">
      <c r="A203" s="76">
        <f>IF('Calendario B'!A33="","",'Calendario B'!A33)</f>
        <v/>
      </c>
      <c r="B203" s="61">
        <f>IF('Calendario B'!B33="","",'Calendario B'!B33)</f>
        <v/>
      </c>
      <c r="C203" s="62">
        <f>IF('Calendario B'!C33="","",'Calendario B'!C33)</f>
        <v/>
      </c>
      <c r="D203" s="61">
        <f>IF('Calendario B'!D33="","",'Calendario B'!D33)</f>
        <v/>
      </c>
      <c r="E203" s="62">
        <f>IF('Calendario B'!E33="","",'Calendario B'!E33)</f>
        <v/>
      </c>
      <c r="F203" s="63">
        <f>IF('Calendario B'!F33="","",'Calendario B'!F33)</f>
        <v/>
      </c>
      <c r="G203" s="9" t="n"/>
      <c r="H203" s="9" t="n"/>
      <c r="I203" s="10" t="n"/>
      <c r="J203" s="195">
        <f>IF('Calendario B'!J33="","",'Calendario B'!J33)</f>
        <v/>
      </c>
      <c r="K203" s="64" t="inlineStr">
        <is>
          <t>-</t>
        </is>
      </c>
      <c r="L203" s="195">
        <f>IF('Calendario B'!L33="","",'Calendario B'!L33)</f>
        <v/>
      </c>
      <c r="M203" s="196" t="n"/>
      <c r="N203" s="196" t="n"/>
      <c r="O203" s="196" t="n"/>
      <c r="P203" s="196" t="n"/>
      <c r="Q203" s="196" t="n"/>
      <c r="R203" s="196" t="n"/>
    </row>
    <row r="204" ht="15" customHeight="1">
      <c r="A204" s="141" t="n"/>
      <c r="B204" s="69">
        <f>IF('Calendario B'!B34="","",'Calendario B'!B34)</f>
        <v/>
      </c>
      <c r="C204" s="9" t="n"/>
      <c r="D204" s="9" t="n"/>
      <c r="E204" s="9" t="n"/>
      <c r="F204" s="9" t="n"/>
      <c r="G204" s="9" t="n"/>
      <c r="H204" s="10" t="n"/>
      <c r="I204" s="62">
        <f>IF('Calendario B'!I34="","",'Calendario B'!I34)</f>
        <v/>
      </c>
      <c r="J204" s="141" t="n"/>
      <c r="K204" s="141" t="n"/>
      <c r="L204" s="141" t="n"/>
      <c r="M204" s="141" t="n"/>
      <c r="N204" s="141" t="n"/>
      <c r="O204" s="141" t="n"/>
      <c r="P204" s="141" t="n"/>
      <c r="Q204" s="141" t="n"/>
      <c r="R204" s="141" t="n"/>
    </row>
    <row r="205" ht="14" customHeight="1">
      <c r="A205" s="74" t="inlineStr">
        <is>
          <t>Gara N.</t>
        </is>
      </c>
      <c r="B205" s="74" t="inlineStr">
        <is>
          <t>Squadra A</t>
        </is>
      </c>
      <c r="C205" s="10" t="n"/>
      <c r="D205" s="74" t="inlineStr">
        <is>
          <t>Squadra B</t>
        </is>
      </c>
      <c r="E205" s="10" t="n"/>
      <c r="F205" s="74" t="inlineStr">
        <is>
          <t>Giorno</t>
        </is>
      </c>
      <c r="G205" s="74" t="inlineStr">
        <is>
          <t>Data</t>
        </is>
      </c>
      <c r="H205" s="74" t="inlineStr">
        <is>
          <t>Ora</t>
        </is>
      </c>
      <c r="I205" s="10" t="n"/>
      <c r="J205" s="74" t="inlineStr">
        <is>
          <t>Risultato</t>
        </is>
      </c>
      <c r="K205" s="9" t="n"/>
      <c r="L205" s="10" t="n"/>
      <c r="M205" s="199" t="inlineStr">
        <is>
          <t>1o Arbitro</t>
        </is>
      </c>
      <c r="N205" s="199" t="inlineStr">
        <is>
          <t>2o Arbitro</t>
        </is>
      </c>
      <c r="O205" s="199" t="inlineStr">
        <is>
          <t>3o Arbitro/Tirocinante</t>
        </is>
      </c>
      <c r="P205" s="199" t="inlineStr">
        <is>
          <t>Referto</t>
        </is>
      </c>
      <c r="Q205" s="199" t="inlineStr">
        <is>
          <t>Cronometro</t>
        </is>
      </c>
      <c r="R205" s="199" t="inlineStr">
        <is>
          <t>Foglio Tiri</t>
        </is>
      </c>
    </row>
    <row r="206" ht="22" customHeight="1">
      <c r="A206" s="76">
        <f>IF('Calendario B'!A36="","",'Calendario B'!A36)</f>
        <v/>
      </c>
      <c r="B206" s="61">
        <f>IF('Calendario B'!B36="","",'Calendario B'!B36)</f>
        <v/>
      </c>
      <c r="C206" s="62">
        <f>IF('Calendario B'!C36="","",'Calendario B'!C36)</f>
        <v/>
      </c>
      <c r="D206" s="61">
        <f>IF('Calendario B'!D36="","",'Calendario B'!D36)</f>
        <v/>
      </c>
      <c r="E206" s="62">
        <f>IF('Calendario B'!E36="","",'Calendario B'!E36)</f>
        <v/>
      </c>
      <c r="F206" s="63">
        <f>IF('Calendario B'!F36="","",'Calendario B'!F36)</f>
        <v/>
      </c>
      <c r="G206" s="9" t="n"/>
      <c r="H206" s="9" t="n"/>
      <c r="I206" s="10" t="n"/>
      <c r="J206" s="195">
        <f>IF('Calendario B'!J36="","",'Calendario B'!J36)</f>
        <v/>
      </c>
      <c r="K206" s="64" t="inlineStr">
        <is>
          <t>-</t>
        </is>
      </c>
      <c r="L206" s="195">
        <f>IF('Calendario B'!L36="","",'Calendario B'!L36)</f>
        <v/>
      </c>
      <c r="M206" s="196" t="n"/>
      <c r="N206" s="196" t="n"/>
      <c r="O206" s="196" t="n"/>
      <c r="P206" s="196" t="n"/>
      <c r="Q206" s="196" t="n"/>
      <c r="R206" s="196" t="n"/>
    </row>
    <row r="207" ht="15" customHeight="1">
      <c r="A207" s="141" t="n"/>
      <c r="B207" s="69">
        <f>IF('Calendario B'!B37="","",'Calendario B'!B37)</f>
        <v/>
      </c>
      <c r="C207" s="9" t="n"/>
      <c r="D207" s="9" t="n"/>
      <c r="E207" s="9" t="n"/>
      <c r="F207" s="9" t="n"/>
      <c r="G207" s="9" t="n"/>
      <c r="H207" s="10" t="n"/>
      <c r="I207" s="62">
        <f>IF('Calendario B'!I37="","",'Calendario B'!I37)</f>
        <v/>
      </c>
      <c r="J207" s="141" t="n"/>
      <c r="K207" s="141" t="n"/>
      <c r="L207" s="141" t="n"/>
      <c r="M207" s="141" t="n"/>
      <c r="N207" s="141" t="n"/>
      <c r="O207" s="141" t="n"/>
      <c r="P207" s="141" t="n"/>
      <c r="Q207" s="141" t="n"/>
      <c r="R207" s="141" t="n"/>
    </row>
    <row r="208" ht="14" customHeight="1">
      <c r="A208" s="74" t="inlineStr">
        <is>
          <t>Gara N.</t>
        </is>
      </c>
      <c r="B208" s="74" t="inlineStr">
        <is>
          <t>Squadra A</t>
        </is>
      </c>
      <c r="C208" s="10" t="n"/>
      <c r="D208" s="74" t="inlineStr">
        <is>
          <t>Squadra B</t>
        </is>
      </c>
      <c r="E208" s="10" t="n"/>
      <c r="F208" s="74" t="inlineStr">
        <is>
          <t>Giorno</t>
        </is>
      </c>
      <c r="G208" s="74" t="inlineStr">
        <is>
          <t>Data</t>
        </is>
      </c>
      <c r="H208" s="74" t="inlineStr">
        <is>
          <t>Ora</t>
        </is>
      </c>
      <c r="I208" s="10" t="n"/>
      <c r="J208" s="74" t="inlineStr">
        <is>
          <t>Risultato</t>
        </is>
      </c>
      <c r="K208" s="9" t="n"/>
      <c r="L208" s="10" t="n"/>
      <c r="M208" s="199" t="inlineStr">
        <is>
          <t>1o Arbitro</t>
        </is>
      </c>
      <c r="N208" s="199" t="inlineStr">
        <is>
          <t>2o Arbitro</t>
        </is>
      </c>
      <c r="O208" s="199" t="inlineStr">
        <is>
          <t>3o Arbitro/Tirocinante</t>
        </is>
      </c>
      <c r="P208" s="199" t="inlineStr">
        <is>
          <t>Referto</t>
        </is>
      </c>
      <c r="Q208" s="199" t="inlineStr">
        <is>
          <t>Cronometro</t>
        </is>
      </c>
      <c r="R208" s="199" t="inlineStr">
        <is>
          <t>Foglio Tiri</t>
        </is>
      </c>
    </row>
    <row r="209" ht="22" customHeight="1">
      <c r="A209" s="76">
        <f>IF('Calendario B'!A39="","",'Calendario B'!A39)</f>
        <v/>
      </c>
      <c r="B209" s="61">
        <f>IF('Calendario B'!B39="","",'Calendario B'!B39)</f>
        <v/>
      </c>
      <c r="C209" s="62">
        <f>IF('Calendario B'!C39="","",'Calendario B'!C39)</f>
        <v/>
      </c>
      <c r="D209" s="61">
        <f>IF('Calendario B'!D39="","",'Calendario B'!D39)</f>
        <v/>
      </c>
      <c r="E209" s="62">
        <f>IF('Calendario B'!E39="","",'Calendario B'!E39)</f>
        <v/>
      </c>
      <c r="F209" s="63">
        <f>IF('Calendario B'!F39="","",'Calendario B'!F39)</f>
        <v/>
      </c>
      <c r="G209" s="9" t="n"/>
      <c r="H209" s="9" t="n"/>
      <c r="I209" s="10" t="n"/>
      <c r="J209" s="195">
        <f>IF('Calendario B'!J39="","",'Calendario B'!J39)</f>
        <v/>
      </c>
      <c r="K209" s="64" t="inlineStr">
        <is>
          <t>-</t>
        </is>
      </c>
      <c r="L209" s="195">
        <f>IF('Calendario B'!L39="","",'Calendario B'!L39)</f>
        <v/>
      </c>
      <c r="M209" s="196" t="n"/>
      <c r="N209" s="196" t="n"/>
      <c r="O209" s="196" t="n"/>
      <c r="P209" s="196" t="n"/>
      <c r="Q209" s="196" t="n"/>
      <c r="R209" s="196" t="n"/>
    </row>
    <row r="210" ht="15" customHeight="1">
      <c r="A210" s="141" t="n"/>
      <c r="B210" s="69">
        <f>IF('Calendario B'!B40="","",'Calendario B'!B40)</f>
        <v/>
      </c>
      <c r="C210" s="9" t="n"/>
      <c r="D210" s="9" t="n"/>
      <c r="E210" s="9" t="n"/>
      <c r="F210" s="9" t="n"/>
      <c r="G210" s="9" t="n"/>
      <c r="H210" s="10" t="n"/>
      <c r="I210" s="62">
        <f>IF('Calendario B'!I40="","",'Calendario B'!I40)</f>
        <v/>
      </c>
      <c r="J210" s="141" t="n"/>
      <c r="K210" s="141" t="n"/>
      <c r="L210" s="141" t="n"/>
      <c r="M210" s="141" t="n"/>
      <c r="N210" s="141" t="n"/>
      <c r="O210" s="141" t="n"/>
      <c r="P210" s="141" t="n"/>
      <c r="Q210" s="141" t="n"/>
      <c r="R210" s="141" t="n"/>
    </row>
    <row r="212" ht="20" customHeight="1">
      <c r="A212" s="71">
        <f>IF('Calendario B'!A42="","",'Calendario B'!A42)</f>
        <v/>
      </c>
      <c r="B212" s="72">
        <f>IF('Calendario B'!B42="","",'Calendario B'!B42)</f>
        <v/>
      </c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10" t="n"/>
      <c r="M212" s="198" t="inlineStr">
        <is>
          <t>ARBITRI</t>
        </is>
      </c>
      <c r="N212" s="9" t="n"/>
      <c r="O212" s="10" t="n"/>
      <c r="P212" s="198" t="inlineStr">
        <is>
          <t>UFFICIALI DI CAMPO</t>
        </is>
      </c>
      <c r="Q212" s="9" t="n"/>
      <c r="R212" s="10" t="n"/>
    </row>
    <row r="213" ht="14" customHeight="1">
      <c r="A213" s="74" t="inlineStr">
        <is>
          <t>Gara N.</t>
        </is>
      </c>
      <c r="B213" s="74" t="inlineStr">
        <is>
          <t>Squadra A</t>
        </is>
      </c>
      <c r="C213" s="10" t="n"/>
      <c r="D213" s="74" t="inlineStr">
        <is>
          <t>Squadra B</t>
        </is>
      </c>
      <c r="E213" s="10" t="n"/>
      <c r="F213" s="74" t="inlineStr">
        <is>
          <t>Giorno</t>
        </is>
      </c>
      <c r="G213" s="74" t="inlineStr">
        <is>
          <t>Data</t>
        </is>
      </c>
      <c r="H213" s="74" t="inlineStr">
        <is>
          <t>Ora</t>
        </is>
      </c>
      <c r="I213" s="10" t="n"/>
      <c r="J213" s="74" t="inlineStr">
        <is>
          <t>Risultato</t>
        </is>
      </c>
      <c r="K213" s="9" t="n"/>
      <c r="L213" s="10" t="n"/>
      <c r="M213" s="199" t="inlineStr">
        <is>
          <t>1o Arbitro</t>
        </is>
      </c>
      <c r="N213" s="199" t="inlineStr">
        <is>
          <t>2o Arbitro</t>
        </is>
      </c>
      <c r="O213" s="199" t="inlineStr">
        <is>
          <t>3o Arbitro/Tirocinante</t>
        </is>
      </c>
      <c r="P213" s="199" t="inlineStr">
        <is>
          <t>Referto</t>
        </is>
      </c>
      <c r="Q213" s="199" t="inlineStr">
        <is>
          <t>Cronometro</t>
        </is>
      </c>
      <c r="R213" s="199" t="inlineStr">
        <is>
          <t>Foglio Tiri</t>
        </is>
      </c>
    </row>
    <row r="214" ht="22" customHeight="1">
      <c r="A214" s="76">
        <f>IF('Calendario B'!A44="","",'Calendario B'!A44)</f>
        <v/>
      </c>
      <c r="B214" s="61">
        <f>IF('Calendario B'!B44="","",'Calendario B'!B44)</f>
        <v/>
      </c>
      <c r="C214" s="62">
        <f>IF('Calendario B'!C44="","",'Calendario B'!C44)</f>
        <v/>
      </c>
      <c r="D214" s="61">
        <f>IF('Calendario B'!D44="","",'Calendario B'!D44)</f>
        <v/>
      </c>
      <c r="E214" s="62">
        <f>IF('Calendario B'!E44="","",'Calendario B'!E44)</f>
        <v/>
      </c>
      <c r="F214" s="63">
        <f>IF('Calendario B'!F44="","",'Calendario B'!F44)</f>
        <v/>
      </c>
      <c r="G214" s="9" t="n"/>
      <c r="H214" s="9" t="n"/>
      <c r="I214" s="10" t="n"/>
      <c r="J214" s="195">
        <f>IF('Calendario B'!J44="","",'Calendario B'!J44)</f>
        <v/>
      </c>
      <c r="K214" s="64" t="inlineStr">
        <is>
          <t>-</t>
        </is>
      </c>
      <c r="L214" s="195">
        <f>IF('Calendario B'!L44="","",'Calendario B'!L44)</f>
        <v/>
      </c>
      <c r="M214" s="196" t="n"/>
      <c r="N214" s="196" t="n"/>
      <c r="O214" s="196" t="n"/>
      <c r="P214" s="196" t="n"/>
      <c r="Q214" s="196" t="n"/>
      <c r="R214" s="196" t="n"/>
    </row>
    <row r="215" ht="15" customHeight="1">
      <c r="A215" s="141" t="n"/>
      <c r="B215" s="69">
        <f>IF('Calendario B'!B45="","",'Calendario B'!B45)</f>
        <v/>
      </c>
      <c r="C215" s="9" t="n"/>
      <c r="D215" s="9" t="n"/>
      <c r="E215" s="9" t="n"/>
      <c r="F215" s="9" t="n"/>
      <c r="G215" s="9" t="n"/>
      <c r="H215" s="10" t="n"/>
      <c r="I215" s="62">
        <f>IF('Calendario B'!I45="","",'Calendario B'!I45)</f>
        <v/>
      </c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</row>
    <row r="216" ht="14" customHeight="1">
      <c r="A216" s="74" t="inlineStr">
        <is>
          <t>Gara N.</t>
        </is>
      </c>
      <c r="B216" s="74" t="inlineStr">
        <is>
          <t>Squadra A</t>
        </is>
      </c>
      <c r="C216" s="10" t="n"/>
      <c r="D216" s="74" t="inlineStr">
        <is>
          <t>Squadra B</t>
        </is>
      </c>
      <c r="E216" s="10" t="n"/>
      <c r="F216" s="74" t="inlineStr">
        <is>
          <t>Giorno</t>
        </is>
      </c>
      <c r="G216" s="74" t="inlineStr">
        <is>
          <t>Data</t>
        </is>
      </c>
      <c r="H216" s="74" t="inlineStr">
        <is>
          <t>Ora</t>
        </is>
      </c>
      <c r="I216" s="10" t="n"/>
      <c r="J216" s="74" t="inlineStr">
        <is>
          <t>Risultato</t>
        </is>
      </c>
      <c r="K216" s="9" t="n"/>
      <c r="L216" s="10" t="n"/>
      <c r="M216" s="199" t="inlineStr">
        <is>
          <t>1o Arbitro</t>
        </is>
      </c>
      <c r="N216" s="199" t="inlineStr">
        <is>
          <t>2o Arbitro</t>
        </is>
      </c>
      <c r="O216" s="199" t="inlineStr">
        <is>
          <t>3o Arbitro/Tirocinante</t>
        </is>
      </c>
      <c r="P216" s="199" t="inlineStr">
        <is>
          <t>Referto</t>
        </is>
      </c>
      <c r="Q216" s="199" t="inlineStr">
        <is>
          <t>Cronometro</t>
        </is>
      </c>
      <c r="R216" s="199" t="inlineStr">
        <is>
          <t>Foglio Tiri</t>
        </is>
      </c>
    </row>
    <row r="217" ht="22" customHeight="1">
      <c r="A217" s="76">
        <f>IF('Calendario B'!A47="","",'Calendario B'!A47)</f>
        <v/>
      </c>
      <c r="B217" s="61">
        <f>IF('Calendario B'!B47="","",'Calendario B'!B47)</f>
        <v/>
      </c>
      <c r="C217" s="62">
        <f>IF('Calendario B'!C47="","",'Calendario B'!C47)</f>
        <v/>
      </c>
      <c r="D217" s="61">
        <f>IF('Calendario B'!D47="","",'Calendario B'!D47)</f>
        <v/>
      </c>
      <c r="E217" s="62">
        <f>IF('Calendario B'!E47="","",'Calendario B'!E47)</f>
        <v/>
      </c>
      <c r="F217" s="63">
        <f>IF('Calendario B'!F47="","",'Calendario B'!F47)</f>
        <v/>
      </c>
      <c r="G217" s="9" t="n"/>
      <c r="H217" s="9" t="n"/>
      <c r="I217" s="10" t="n"/>
      <c r="J217" s="195">
        <f>IF('Calendario B'!J47="","",'Calendario B'!J47)</f>
        <v/>
      </c>
      <c r="K217" s="64" t="inlineStr">
        <is>
          <t>-</t>
        </is>
      </c>
      <c r="L217" s="195">
        <f>IF('Calendario B'!L47="","",'Calendario B'!L47)</f>
        <v/>
      </c>
      <c r="M217" s="196" t="n"/>
      <c r="N217" s="196" t="n"/>
      <c r="O217" s="196" t="n"/>
      <c r="P217" s="196" t="n"/>
      <c r="Q217" s="196" t="n"/>
      <c r="R217" s="196" t="n"/>
    </row>
    <row r="218" ht="15" customHeight="1">
      <c r="A218" s="141" t="n"/>
      <c r="B218" s="69">
        <f>IF('Calendario B'!B48="","",'Calendario B'!B48)</f>
        <v/>
      </c>
      <c r="C218" s="9" t="n"/>
      <c r="D218" s="9" t="n"/>
      <c r="E218" s="9" t="n"/>
      <c r="F218" s="9" t="n"/>
      <c r="G218" s="9" t="n"/>
      <c r="H218" s="10" t="n"/>
      <c r="I218" s="62">
        <f>IF('Calendario B'!I48="","",'Calendario B'!I48)</f>
        <v/>
      </c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</row>
    <row r="219" ht="14" customHeight="1">
      <c r="A219" s="74" t="inlineStr">
        <is>
          <t>Gara N.</t>
        </is>
      </c>
      <c r="B219" s="74" t="inlineStr">
        <is>
          <t>Squadra A</t>
        </is>
      </c>
      <c r="C219" s="10" t="n"/>
      <c r="D219" s="74" t="inlineStr">
        <is>
          <t>Squadra B</t>
        </is>
      </c>
      <c r="E219" s="10" t="n"/>
      <c r="F219" s="74" t="inlineStr">
        <is>
          <t>Giorno</t>
        </is>
      </c>
      <c r="G219" s="74" t="inlineStr">
        <is>
          <t>Data</t>
        </is>
      </c>
      <c r="H219" s="74" t="inlineStr">
        <is>
          <t>Ora</t>
        </is>
      </c>
      <c r="I219" s="10" t="n"/>
      <c r="J219" s="74" t="inlineStr">
        <is>
          <t>Risultato</t>
        </is>
      </c>
      <c r="K219" s="9" t="n"/>
      <c r="L219" s="10" t="n"/>
      <c r="M219" s="199" t="inlineStr">
        <is>
          <t>1o Arbitro</t>
        </is>
      </c>
      <c r="N219" s="199" t="inlineStr">
        <is>
          <t>2o Arbitro</t>
        </is>
      </c>
      <c r="O219" s="199" t="inlineStr">
        <is>
          <t>3o Arbitro/Tirocinante</t>
        </is>
      </c>
      <c r="P219" s="199" t="inlineStr">
        <is>
          <t>Referto</t>
        </is>
      </c>
      <c r="Q219" s="199" t="inlineStr">
        <is>
          <t>Cronometro</t>
        </is>
      </c>
      <c r="R219" s="199" t="inlineStr">
        <is>
          <t>Foglio Tiri</t>
        </is>
      </c>
    </row>
    <row r="220" ht="22" customHeight="1">
      <c r="A220" s="76">
        <f>IF('Calendario B'!A50="","",'Calendario B'!A50)</f>
        <v/>
      </c>
      <c r="B220" s="61">
        <f>IF('Calendario B'!B50="","",'Calendario B'!B50)</f>
        <v/>
      </c>
      <c r="C220" s="62">
        <f>IF('Calendario B'!C50="","",'Calendario B'!C50)</f>
        <v/>
      </c>
      <c r="D220" s="61">
        <f>IF('Calendario B'!D50="","",'Calendario B'!D50)</f>
        <v/>
      </c>
      <c r="E220" s="62">
        <f>IF('Calendario B'!E50="","",'Calendario B'!E50)</f>
        <v/>
      </c>
      <c r="F220" s="63">
        <f>IF('Calendario B'!F50="","",'Calendario B'!F50)</f>
        <v/>
      </c>
      <c r="G220" s="9" t="n"/>
      <c r="H220" s="9" t="n"/>
      <c r="I220" s="10" t="n"/>
      <c r="J220" s="195">
        <f>IF('Calendario B'!J50="","",'Calendario B'!J50)</f>
        <v/>
      </c>
      <c r="K220" s="64" t="inlineStr">
        <is>
          <t>-</t>
        </is>
      </c>
      <c r="L220" s="195">
        <f>IF('Calendario B'!L50="","",'Calendario B'!L50)</f>
        <v/>
      </c>
      <c r="M220" s="196" t="n"/>
      <c r="N220" s="196" t="n"/>
      <c r="O220" s="196" t="n"/>
      <c r="P220" s="196" t="n"/>
      <c r="Q220" s="196" t="n"/>
      <c r="R220" s="196" t="n"/>
    </row>
    <row r="221" ht="15" customHeight="1">
      <c r="A221" s="141" t="n"/>
      <c r="B221" s="69">
        <f>IF('Calendario B'!B51="","",'Calendario B'!B51)</f>
        <v/>
      </c>
      <c r="C221" s="9" t="n"/>
      <c r="D221" s="9" t="n"/>
      <c r="E221" s="9" t="n"/>
      <c r="F221" s="9" t="n"/>
      <c r="G221" s="9" t="n"/>
      <c r="H221" s="10" t="n"/>
      <c r="I221" s="62">
        <f>IF('Calendario B'!I51="","",'Calendario B'!I51)</f>
        <v/>
      </c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</row>
    <row r="222" ht="14" customHeight="1">
      <c r="A222" s="74" t="inlineStr">
        <is>
          <t>Gara N.</t>
        </is>
      </c>
      <c r="B222" s="74" t="inlineStr">
        <is>
          <t>Squadra A</t>
        </is>
      </c>
      <c r="C222" s="10" t="n"/>
      <c r="D222" s="74" t="inlineStr">
        <is>
          <t>Squadra B</t>
        </is>
      </c>
      <c r="E222" s="10" t="n"/>
      <c r="F222" s="74" t="inlineStr">
        <is>
          <t>Giorno</t>
        </is>
      </c>
      <c r="G222" s="74" t="inlineStr">
        <is>
          <t>Data</t>
        </is>
      </c>
      <c r="H222" s="74" t="inlineStr">
        <is>
          <t>Ora</t>
        </is>
      </c>
      <c r="I222" s="10" t="n"/>
      <c r="J222" s="74" t="inlineStr">
        <is>
          <t>Risultato</t>
        </is>
      </c>
      <c r="K222" s="9" t="n"/>
      <c r="L222" s="10" t="n"/>
      <c r="M222" s="199" t="inlineStr">
        <is>
          <t>1o Arbitro</t>
        </is>
      </c>
      <c r="N222" s="199" t="inlineStr">
        <is>
          <t>2o Arbitro</t>
        </is>
      </c>
      <c r="O222" s="199" t="inlineStr">
        <is>
          <t>3o Arbitro/Tirocinante</t>
        </is>
      </c>
      <c r="P222" s="199" t="inlineStr">
        <is>
          <t>Referto</t>
        </is>
      </c>
      <c r="Q222" s="199" t="inlineStr">
        <is>
          <t>Cronometro</t>
        </is>
      </c>
      <c r="R222" s="199" t="inlineStr">
        <is>
          <t>Foglio Tiri</t>
        </is>
      </c>
    </row>
    <row r="223" ht="22" customHeight="1">
      <c r="A223" s="76">
        <f>IF('Calendario B'!A53="","",'Calendario B'!A53)</f>
        <v/>
      </c>
      <c r="B223" s="61">
        <f>IF('Calendario B'!B53="","",'Calendario B'!B53)</f>
        <v/>
      </c>
      <c r="C223" s="62">
        <f>IF('Calendario B'!C53="","",'Calendario B'!C53)</f>
        <v/>
      </c>
      <c r="D223" s="61">
        <f>IF('Calendario B'!D53="","",'Calendario B'!D53)</f>
        <v/>
      </c>
      <c r="E223" s="62">
        <f>IF('Calendario B'!E53="","",'Calendario B'!E53)</f>
        <v/>
      </c>
      <c r="F223" s="63">
        <f>IF('Calendario B'!F53="","",'Calendario B'!F53)</f>
        <v/>
      </c>
      <c r="G223" s="9" t="n"/>
      <c r="H223" s="9" t="n"/>
      <c r="I223" s="10" t="n"/>
      <c r="J223" s="195">
        <f>IF('Calendario B'!J53="","",'Calendario B'!J53)</f>
        <v/>
      </c>
      <c r="K223" s="64" t="inlineStr">
        <is>
          <t>-</t>
        </is>
      </c>
      <c r="L223" s="195">
        <f>IF('Calendario B'!L53="","",'Calendario B'!L53)</f>
        <v/>
      </c>
      <c r="M223" s="196" t="n"/>
      <c r="N223" s="196" t="n"/>
      <c r="O223" s="196" t="n"/>
      <c r="P223" s="196" t="n"/>
      <c r="Q223" s="196" t="n"/>
      <c r="R223" s="196" t="n"/>
    </row>
    <row r="224" ht="15" customHeight="1">
      <c r="A224" s="141" t="n"/>
      <c r="B224" s="69">
        <f>IF('Calendario B'!B54="","",'Calendario B'!B54)</f>
        <v/>
      </c>
      <c r="C224" s="9" t="n"/>
      <c r="D224" s="9" t="n"/>
      <c r="E224" s="9" t="n"/>
      <c r="F224" s="9" t="n"/>
      <c r="G224" s="9" t="n"/>
      <c r="H224" s="10" t="n"/>
      <c r="I224" s="62">
        <f>IF('Calendario B'!I54="","",'Calendario B'!I54)</f>
        <v/>
      </c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</row>
    <row r="225" ht="14" customHeight="1">
      <c r="A225" s="74" t="inlineStr">
        <is>
          <t>Gara N.</t>
        </is>
      </c>
      <c r="B225" s="74" t="inlineStr">
        <is>
          <t>Squadra A</t>
        </is>
      </c>
      <c r="C225" s="10" t="n"/>
      <c r="D225" s="74" t="inlineStr">
        <is>
          <t>Squadra B</t>
        </is>
      </c>
      <c r="E225" s="10" t="n"/>
      <c r="F225" s="74" t="inlineStr">
        <is>
          <t>Giorno</t>
        </is>
      </c>
      <c r="G225" s="74" t="inlineStr">
        <is>
          <t>Data</t>
        </is>
      </c>
      <c r="H225" s="74" t="inlineStr">
        <is>
          <t>Ora</t>
        </is>
      </c>
      <c r="I225" s="10" t="n"/>
      <c r="J225" s="74" t="inlineStr">
        <is>
          <t>Risultato</t>
        </is>
      </c>
      <c r="K225" s="9" t="n"/>
      <c r="L225" s="10" t="n"/>
      <c r="M225" s="199" t="inlineStr">
        <is>
          <t>1o Arbitro</t>
        </is>
      </c>
      <c r="N225" s="199" t="inlineStr">
        <is>
          <t>2o Arbitro</t>
        </is>
      </c>
      <c r="O225" s="199" t="inlineStr">
        <is>
          <t>3o Arbitro/Tirocinante</t>
        </is>
      </c>
      <c r="P225" s="199" t="inlineStr">
        <is>
          <t>Referto</t>
        </is>
      </c>
      <c r="Q225" s="199" t="inlineStr">
        <is>
          <t>Cronometro</t>
        </is>
      </c>
      <c r="R225" s="199" t="inlineStr">
        <is>
          <t>Foglio Tiri</t>
        </is>
      </c>
    </row>
    <row r="226" ht="22" customHeight="1">
      <c r="A226" s="76">
        <f>IF('Calendario B'!A56="","",'Calendario B'!A56)</f>
        <v/>
      </c>
      <c r="B226" s="61">
        <f>IF('Calendario B'!B56="","",'Calendario B'!B56)</f>
        <v/>
      </c>
      <c r="C226" s="62">
        <f>IF('Calendario B'!C56="","",'Calendario B'!C56)</f>
        <v/>
      </c>
      <c r="D226" s="61">
        <f>IF('Calendario B'!D56="","",'Calendario B'!D56)</f>
        <v/>
      </c>
      <c r="E226" s="62">
        <f>IF('Calendario B'!E56="","",'Calendario B'!E56)</f>
        <v/>
      </c>
      <c r="F226" s="63">
        <f>IF('Calendario B'!F56="","",'Calendario B'!F56)</f>
        <v/>
      </c>
      <c r="G226" s="9" t="n"/>
      <c r="H226" s="9" t="n"/>
      <c r="I226" s="10" t="n"/>
      <c r="J226" s="195">
        <f>IF('Calendario B'!J56="","",'Calendario B'!J56)</f>
        <v/>
      </c>
      <c r="K226" s="64" t="inlineStr">
        <is>
          <t>-</t>
        </is>
      </c>
      <c r="L226" s="195">
        <f>IF('Calendario B'!L56="","",'Calendario B'!L56)</f>
        <v/>
      </c>
      <c r="M226" s="196" t="n"/>
      <c r="N226" s="196" t="n"/>
      <c r="O226" s="196" t="n"/>
      <c r="P226" s="196" t="n"/>
      <c r="Q226" s="196" t="n"/>
      <c r="R226" s="196" t="n"/>
    </row>
    <row r="227" ht="15" customHeight="1">
      <c r="A227" s="141" t="n"/>
      <c r="B227" s="69">
        <f>IF('Calendario B'!B57="","",'Calendario B'!B57)</f>
        <v/>
      </c>
      <c r="C227" s="9" t="n"/>
      <c r="D227" s="9" t="n"/>
      <c r="E227" s="9" t="n"/>
      <c r="F227" s="9" t="n"/>
      <c r="G227" s="9" t="n"/>
      <c r="H227" s="10" t="n"/>
      <c r="I227" s="62">
        <f>IF('Calendario B'!I57="","",'Calendario B'!I57)</f>
        <v/>
      </c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</row>
    <row r="229" ht="20" customHeight="1">
      <c r="A229" s="71">
        <f>IF('Calendario B'!A59="","",'Calendario B'!A59)</f>
        <v/>
      </c>
      <c r="B229" s="72">
        <f>IF('Calendario B'!B59="","",'Calendario B'!B59)</f>
        <v/>
      </c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10" t="n"/>
      <c r="M229" s="198" t="inlineStr">
        <is>
          <t>ARBITRI</t>
        </is>
      </c>
      <c r="N229" s="9" t="n"/>
      <c r="O229" s="10" t="n"/>
      <c r="P229" s="198" t="inlineStr">
        <is>
          <t>UFFICIALI DI CAMPO</t>
        </is>
      </c>
      <c r="Q229" s="9" t="n"/>
      <c r="R229" s="10" t="n"/>
    </row>
    <row r="230" ht="14" customHeight="1">
      <c r="A230" s="74" t="inlineStr">
        <is>
          <t>Gara N.</t>
        </is>
      </c>
      <c r="B230" s="74" t="inlineStr">
        <is>
          <t>Squadra A</t>
        </is>
      </c>
      <c r="C230" s="10" t="n"/>
      <c r="D230" s="74" t="inlineStr">
        <is>
          <t>Squadra B</t>
        </is>
      </c>
      <c r="E230" s="10" t="n"/>
      <c r="F230" s="74" t="inlineStr">
        <is>
          <t>Giorno</t>
        </is>
      </c>
      <c r="G230" s="74" t="inlineStr">
        <is>
          <t>Data</t>
        </is>
      </c>
      <c r="H230" s="74" t="inlineStr">
        <is>
          <t>Ora</t>
        </is>
      </c>
      <c r="I230" s="10" t="n"/>
      <c r="J230" s="74" t="inlineStr">
        <is>
          <t>Risultato</t>
        </is>
      </c>
      <c r="K230" s="9" t="n"/>
      <c r="L230" s="10" t="n"/>
      <c r="M230" s="199" t="inlineStr">
        <is>
          <t>1o Arbitro</t>
        </is>
      </c>
      <c r="N230" s="199" t="inlineStr">
        <is>
          <t>2o Arbitro</t>
        </is>
      </c>
      <c r="O230" s="199" t="inlineStr">
        <is>
          <t>3o Arbitro/Tirocinante</t>
        </is>
      </c>
      <c r="P230" s="199" t="inlineStr">
        <is>
          <t>Referto</t>
        </is>
      </c>
      <c r="Q230" s="199" t="inlineStr">
        <is>
          <t>Cronometro</t>
        </is>
      </c>
      <c r="R230" s="199" t="inlineStr">
        <is>
          <t>Foglio Tiri</t>
        </is>
      </c>
    </row>
    <row r="231" ht="22" customHeight="1">
      <c r="A231" s="76">
        <f>IF('Calendario B'!A61="","",'Calendario B'!A61)</f>
        <v/>
      </c>
      <c r="B231" s="61">
        <f>IF('Calendario B'!B61="","",'Calendario B'!B61)</f>
        <v/>
      </c>
      <c r="C231" s="62">
        <f>IF('Calendario B'!C61="","",'Calendario B'!C61)</f>
        <v/>
      </c>
      <c r="D231" s="61">
        <f>IF('Calendario B'!D61="","",'Calendario B'!D61)</f>
        <v/>
      </c>
      <c r="E231" s="62">
        <f>IF('Calendario B'!E61="","",'Calendario B'!E61)</f>
        <v/>
      </c>
      <c r="F231" s="63">
        <f>IF('Calendario B'!F61="","",'Calendario B'!F61)</f>
        <v/>
      </c>
      <c r="G231" s="9" t="n"/>
      <c r="H231" s="9" t="n"/>
      <c r="I231" s="10" t="n"/>
      <c r="J231" s="195">
        <f>IF('Calendario B'!J61="","",'Calendario B'!J61)</f>
        <v/>
      </c>
      <c r="K231" s="64" t="inlineStr">
        <is>
          <t>-</t>
        </is>
      </c>
      <c r="L231" s="195">
        <f>IF('Calendario B'!L61="","",'Calendario B'!L61)</f>
        <v/>
      </c>
      <c r="M231" s="196" t="n"/>
      <c r="N231" s="196" t="n"/>
      <c r="O231" s="196" t="n"/>
      <c r="P231" s="196" t="n"/>
      <c r="Q231" s="196" t="n"/>
      <c r="R231" s="196" t="n"/>
    </row>
    <row r="232" ht="15" customHeight="1">
      <c r="A232" s="141" t="n"/>
      <c r="B232" s="69">
        <f>IF('Calendario B'!B62="","",'Calendario B'!B62)</f>
        <v/>
      </c>
      <c r="C232" s="9" t="n"/>
      <c r="D232" s="9" t="n"/>
      <c r="E232" s="9" t="n"/>
      <c r="F232" s="9" t="n"/>
      <c r="G232" s="9" t="n"/>
      <c r="H232" s="10" t="n"/>
      <c r="I232" s="62">
        <f>IF('Calendario B'!I62="","",'Calendario B'!I62)</f>
        <v/>
      </c>
      <c r="J232" s="141" t="n"/>
      <c r="K232" s="141" t="n"/>
      <c r="L232" s="141" t="n"/>
      <c r="M232" s="141" t="n"/>
      <c r="N232" s="141" t="n"/>
      <c r="O232" s="141" t="n"/>
      <c r="P232" s="141" t="n"/>
      <c r="Q232" s="141" t="n"/>
      <c r="R232" s="141" t="n"/>
    </row>
    <row r="233" ht="14" customHeight="1">
      <c r="A233" s="74" t="inlineStr">
        <is>
          <t>Gara N.</t>
        </is>
      </c>
      <c r="B233" s="74" t="inlineStr">
        <is>
          <t>Squadra A</t>
        </is>
      </c>
      <c r="C233" s="10" t="n"/>
      <c r="D233" s="74" t="inlineStr">
        <is>
          <t>Squadra B</t>
        </is>
      </c>
      <c r="E233" s="10" t="n"/>
      <c r="F233" s="74" t="inlineStr">
        <is>
          <t>Giorno</t>
        </is>
      </c>
      <c r="G233" s="74" t="inlineStr">
        <is>
          <t>Data</t>
        </is>
      </c>
      <c r="H233" s="74" t="inlineStr">
        <is>
          <t>Ora</t>
        </is>
      </c>
      <c r="I233" s="10" t="n"/>
      <c r="J233" s="74" t="inlineStr">
        <is>
          <t>Risultato</t>
        </is>
      </c>
      <c r="K233" s="9" t="n"/>
      <c r="L233" s="10" t="n"/>
      <c r="M233" s="199" t="inlineStr">
        <is>
          <t>1o Arbitro</t>
        </is>
      </c>
      <c r="N233" s="199" t="inlineStr">
        <is>
          <t>2o Arbitro</t>
        </is>
      </c>
      <c r="O233" s="199" t="inlineStr">
        <is>
          <t>3o Arbitro/Tirocinante</t>
        </is>
      </c>
      <c r="P233" s="199" t="inlineStr">
        <is>
          <t>Referto</t>
        </is>
      </c>
      <c r="Q233" s="199" t="inlineStr">
        <is>
          <t>Cronometro</t>
        </is>
      </c>
      <c r="R233" s="199" t="inlineStr">
        <is>
          <t>Foglio Tiri</t>
        </is>
      </c>
    </row>
    <row r="234" ht="22" customHeight="1">
      <c r="A234" s="76">
        <f>IF('Calendario B'!A64="","",'Calendario B'!A64)</f>
        <v/>
      </c>
      <c r="B234" s="61">
        <f>IF('Calendario B'!B64="","",'Calendario B'!B64)</f>
        <v/>
      </c>
      <c r="C234" s="62">
        <f>IF('Calendario B'!C64="","",'Calendario B'!C64)</f>
        <v/>
      </c>
      <c r="D234" s="61">
        <f>IF('Calendario B'!D64="","",'Calendario B'!D64)</f>
        <v/>
      </c>
      <c r="E234" s="62">
        <f>IF('Calendario B'!E64="","",'Calendario B'!E64)</f>
        <v/>
      </c>
      <c r="F234" s="63">
        <f>IF('Calendario B'!F64="","",'Calendario B'!F64)</f>
        <v/>
      </c>
      <c r="G234" s="9" t="n"/>
      <c r="H234" s="9" t="n"/>
      <c r="I234" s="10" t="n"/>
      <c r="J234" s="195">
        <f>IF('Calendario B'!J64="","",'Calendario B'!J64)</f>
        <v/>
      </c>
      <c r="K234" s="64" t="inlineStr">
        <is>
          <t>-</t>
        </is>
      </c>
      <c r="L234" s="195">
        <f>IF('Calendario B'!L64="","",'Calendario B'!L64)</f>
        <v/>
      </c>
      <c r="M234" s="196" t="n"/>
      <c r="N234" s="196" t="n"/>
      <c r="O234" s="196" t="n"/>
      <c r="P234" s="196" t="n"/>
      <c r="Q234" s="196" t="n"/>
      <c r="R234" s="196" t="n"/>
    </row>
    <row r="235" ht="15" customHeight="1">
      <c r="A235" s="141" t="n"/>
      <c r="B235" s="69">
        <f>IF('Calendario B'!B65="","",'Calendario B'!B65)</f>
        <v/>
      </c>
      <c r="C235" s="9" t="n"/>
      <c r="D235" s="9" t="n"/>
      <c r="E235" s="9" t="n"/>
      <c r="F235" s="9" t="n"/>
      <c r="G235" s="9" t="n"/>
      <c r="H235" s="10" t="n"/>
      <c r="I235" s="62">
        <f>IF('Calendario B'!I65="","",'Calendario B'!I65)</f>
        <v/>
      </c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</row>
    <row r="236" ht="14" customHeight="1">
      <c r="A236" s="74" t="inlineStr">
        <is>
          <t>Gara N.</t>
        </is>
      </c>
      <c r="B236" s="74" t="inlineStr">
        <is>
          <t>Squadra A</t>
        </is>
      </c>
      <c r="C236" s="10" t="n"/>
      <c r="D236" s="74" t="inlineStr">
        <is>
          <t>Squadra B</t>
        </is>
      </c>
      <c r="E236" s="10" t="n"/>
      <c r="F236" s="74" t="inlineStr">
        <is>
          <t>Giorno</t>
        </is>
      </c>
      <c r="G236" s="74" t="inlineStr">
        <is>
          <t>Data</t>
        </is>
      </c>
      <c r="H236" s="74" t="inlineStr">
        <is>
          <t>Ora</t>
        </is>
      </c>
      <c r="I236" s="10" t="n"/>
      <c r="J236" s="74" t="inlineStr">
        <is>
          <t>Risultato</t>
        </is>
      </c>
      <c r="K236" s="9" t="n"/>
      <c r="L236" s="10" t="n"/>
      <c r="M236" s="199" t="inlineStr">
        <is>
          <t>1o Arbitro</t>
        </is>
      </c>
      <c r="N236" s="199" t="inlineStr">
        <is>
          <t>2o Arbitro</t>
        </is>
      </c>
      <c r="O236" s="199" t="inlineStr">
        <is>
          <t>3o Arbitro/Tirocinante</t>
        </is>
      </c>
      <c r="P236" s="199" t="inlineStr">
        <is>
          <t>Referto</t>
        </is>
      </c>
      <c r="Q236" s="199" t="inlineStr">
        <is>
          <t>Cronometro</t>
        </is>
      </c>
      <c r="R236" s="199" t="inlineStr">
        <is>
          <t>Foglio Tiri</t>
        </is>
      </c>
    </row>
    <row r="237" ht="22" customHeight="1">
      <c r="A237" s="76">
        <f>IF('Calendario B'!A67="","",'Calendario B'!A67)</f>
        <v/>
      </c>
      <c r="B237" s="61">
        <f>IF('Calendario B'!B67="","",'Calendario B'!B67)</f>
        <v/>
      </c>
      <c r="C237" s="62">
        <f>IF('Calendario B'!C67="","",'Calendario B'!C67)</f>
        <v/>
      </c>
      <c r="D237" s="61">
        <f>IF('Calendario B'!D67="","",'Calendario B'!D67)</f>
        <v/>
      </c>
      <c r="E237" s="62">
        <f>IF('Calendario B'!E67="","",'Calendario B'!E67)</f>
        <v/>
      </c>
      <c r="F237" s="63">
        <f>IF('Calendario B'!F67="","",'Calendario B'!F67)</f>
        <v/>
      </c>
      <c r="G237" s="9" t="n"/>
      <c r="H237" s="9" t="n"/>
      <c r="I237" s="10" t="n"/>
      <c r="J237" s="195">
        <f>IF('Calendario B'!J67="","",'Calendario B'!J67)</f>
        <v/>
      </c>
      <c r="K237" s="64" t="inlineStr">
        <is>
          <t>-</t>
        </is>
      </c>
      <c r="L237" s="195">
        <f>IF('Calendario B'!L67="","",'Calendario B'!L67)</f>
        <v/>
      </c>
      <c r="M237" s="196" t="n"/>
      <c r="N237" s="196" t="n"/>
      <c r="O237" s="196" t="n"/>
      <c r="P237" s="196" t="n"/>
      <c r="Q237" s="196" t="n"/>
      <c r="R237" s="196" t="n"/>
    </row>
    <row r="238" ht="15" customHeight="1">
      <c r="A238" s="141" t="n"/>
      <c r="B238" s="69">
        <f>IF('Calendario B'!B68="","",'Calendario B'!B68)</f>
        <v/>
      </c>
      <c r="C238" s="9" t="n"/>
      <c r="D238" s="9" t="n"/>
      <c r="E238" s="9" t="n"/>
      <c r="F238" s="9" t="n"/>
      <c r="G238" s="9" t="n"/>
      <c r="H238" s="10" t="n"/>
      <c r="I238" s="62">
        <f>IF('Calendario B'!I68="","",'Calendario B'!I68)</f>
        <v/>
      </c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</row>
    <row r="239" ht="14" customHeight="1">
      <c r="A239" s="74" t="inlineStr">
        <is>
          <t>Gara N.</t>
        </is>
      </c>
      <c r="B239" s="74" t="inlineStr">
        <is>
          <t>Squadra A</t>
        </is>
      </c>
      <c r="C239" s="10" t="n"/>
      <c r="D239" s="74" t="inlineStr">
        <is>
          <t>Squadra B</t>
        </is>
      </c>
      <c r="E239" s="10" t="n"/>
      <c r="F239" s="74" t="inlineStr">
        <is>
          <t>Giorno</t>
        </is>
      </c>
      <c r="G239" s="74" t="inlineStr">
        <is>
          <t>Data</t>
        </is>
      </c>
      <c r="H239" s="74" t="inlineStr">
        <is>
          <t>Ora</t>
        </is>
      </c>
      <c r="I239" s="10" t="n"/>
      <c r="J239" s="74" t="inlineStr">
        <is>
          <t>Risultato</t>
        </is>
      </c>
      <c r="K239" s="9" t="n"/>
      <c r="L239" s="10" t="n"/>
      <c r="M239" s="199" t="inlineStr">
        <is>
          <t>1o Arbitro</t>
        </is>
      </c>
      <c r="N239" s="199" t="inlineStr">
        <is>
          <t>2o Arbitro</t>
        </is>
      </c>
      <c r="O239" s="199" t="inlineStr">
        <is>
          <t>3o Arbitro/Tirocinante</t>
        </is>
      </c>
      <c r="P239" s="199" t="inlineStr">
        <is>
          <t>Referto</t>
        </is>
      </c>
      <c r="Q239" s="199" t="inlineStr">
        <is>
          <t>Cronometro</t>
        </is>
      </c>
      <c r="R239" s="199" t="inlineStr">
        <is>
          <t>Foglio Tiri</t>
        </is>
      </c>
    </row>
    <row r="240" ht="22" customHeight="1">
      <c r="A240" s="76">
        <f>IF('Calendario B'!A70="","",'Calendario B'!A70)</f>
        <v/>
      </c>
      <c r="B240" s="61">
        <f>IF('Calendario B'!B70="","",'Calendario B'!B70)</f>
        <v/>
      </c>
      <c r="C240" s="62">
        <f>IF('Calendario B'!C70="","",'Calendario B'!C70)</f>
        <v/>
      </c>
      <c r="D240" s="61">
        <f>IF('Calendario B'!D70="","",'Calendario B'!D70)</f>
        <v/>
      </c>
      <c r="E240" s="62">
        <f>IF('Calendario B'!E70="","",'Calendario B'!E70)</f>
        <v/>
      </c>
      <c r="F240" s="63">
        <f>IF('Calendario B'!F70="","",'Calendario B'!F70)</f>
        <v/>
      </c>
      <c r="G240" s="9" t="n"/>
      <c r="H240" s="9" t="n"/>
      <c r="I240" s="10" t="n"/>
      <c r="J240" s="195">
        <f>IF('Calendario B'!J70="","",'Calendario B'!J70)</f>
        <v/>
      </c>
      <c r="K240" s="64" t="inlineStr">
        <is>
          <t>-</t>
        </is>
      </c>
      <c r="L240" s="195">
        <f>IF('Calendario B'!L70="","",'Calendario B'!L70)</f>
        <v/>
      </c>
      <c r="M240" s="196" t="n"/>
      <c r="N240" s="196" t="n"/>
      <c r="O240" s="196" t="n"/>
      <c r="P240" s="196" t="n"/>
      <c r="Q240" s="196" t="n"/>
      <c r="R240" s="196" t="n"/>
    </row>
    <row r="241" ht="15" customHeight="1">
      <c r="A241" s="141" t="n"/>
      <c r="B241" s="69">
        <f>IF('Calendario B'!B71="","",'Calendario B'!B71)</f>
        <v/>
      </c>
      <c r="C241" s="9" t="n"/>
      <c r="D241" s="9" t="n"/>
      <c r="E241" s="9" t="n"/>
      <c r="F241" s="9" t="n"/>
      <c r="G241" s="9" t="n"/>
      <c r="H241" s="10" t="n"/>
      <c r="I241" s="62">
        <f>IF('Calendario B'!I71="","",'Calendario B'!I71)</f>
        <v/>
      </c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</row>
    <row r="242" ht="14" customHeight="1">
      <c r="A242" s="74" t="inlineStr">
        <is>
          <t>Gara N.</t>
        </is>
      </c>
      <c r="B242" s="74" t="inlineStr">
        <is>
          <t>Squadra A</t>
        </is>
      </c>
      <c r="C242" s="10" t="n"/>
      <c r="D242" s="74" t="inlineStr">
        <is>
          <t>Squadra B</t>
        </is>
      </c>
      <c r="E242" s="10" t="n"/>
      <c r="F242" s="74" t="inlineStr">
        <is>
          <t>Giorno</t>
        </is>
      </c>
      <c r="G242" s="74" t="inlineStr">
        <is>
          <t>Data</t>
        </is>
      </c>
      <c r="H242" s="74" t="inlineStr">
        <is>
          <t>Ora</t>
        </is>
      </c>
      <c r="I242" s="10" t="n"/>
      <c r="J242" s="74" t="inlineStr">
        <is>
          <t>Risultato</t>
        </is>
      </c>
      <c r="K242" s="9" t="n"/>
      <c r="L242" s="10" t="n"/>
      <c r="M242" s="199" t="inlineStr">
        <is>
          <t>1o Arbitro</t>
        </is>
      </c>
      <c r="N242" s="199" t="inlineStr">
        <is>
          <t>2o Arbitro</t>
        </is>
      </c>
      <c r="O242" s="199" t="inlineStr">
        <is>
          <t>3o Arbitro/Tirocinante</t>
        </is>
      </c>
      <c r="P242" s="199" t="inlineStr">
        <is>
          <t>Referto</t>
        </is>
      </c>
      <c r="Q242" s="199" t="inlineStr">
        <is>
          <t>Cronometro</t>
        </is>
      </c>
      <c r="R242" s="199" t="inlineStr">
        <is>
          <t>Foglio Tiri</t>
        </is>
      </c>
    </row>
    <row r="243" ht="22" customHeight="1">
      <c r="A243" s="76">
        <f>IF('Calendario B'!A73="","",'Calendario B'!A73)</f>
        <v/>
      </c>
      <c r="B243" s="61">
        <f>IF('Calendario B'!B73="","",'Calendario B'!B73)</f>
        <v/>
      </c>
      <c r="C243" s="62">
        <f>IF('Calendario B'!C73="","",'Calendario B'!C73)</f>
        <v/>
      </c>
      <c r="D243" s="61">
        <f>IF('Calendario B'!D73="","",'Calendario B'!D73)</f>
        <v/>
      </c>
      <c r="E243" s="62">
        <f>IF('Calendario B'!E73="","",'Calendario B'!E73)</f>
        <v/>
      </c>
      <c r="F243" s="63">
        <f>IF('Calendario B'!F73="","",'Calendario B'!F73)</f>
        <v/>
      </c>
      <c r="G243" s="9" t="n"/>
      <c r="H243" s="9" t="n"/>
      <c r="I243" s="10" t="n"/>
      <c r="J243" s="195">
        <f>IF('Calendario B'!J73="","",'Calendario B'!J73)</f>
        <v/>
      </c>
      <c r="K243" s="64" t="inlineStr">
        <is>
          <t>-</t>
        </is>
      </c>
      <c r="L243" s="195">
        <f>IF('Calendario B'!L73="","",'Calendario B'!L73)</f>
        <v/>
      </c>
      <c r="M243" s="196" t="n"/>
      <c r="N243" s="196" t="n"/>
      <c r="O243" s="196" t="n"/>
      <c r="P243" s="196" t="n"/>
      <c r="Q243" s="196" t="n"/>
      <c r="R243" s="196" t="n"/>
    </row>
    <row r="244" ht="15" customHeight="1">
      <c r="A244" s="141" t="n"/>
      <c r="B244" s="69">
        <f>IF('Calendario B'!B74="","",'Calendario B'!B74)</f>
        <v/>
      </c>
      <c r="C244" s="9" t="n"/>
      <c r="D244" s="9" t="n"/>
      <c r="E244" s="9" t="n"/>
      <c r="F244" s="9" t="n"/>
      <c r="G244" s="9" t="n"/>
      <c r="H244" s="10" t="n"/>
      <c r="I244" s="62">
        <f>IF('Calendario B'!I74="","",'Calendario B'!I74)</f>
        <v/>
      </c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</row>
    <row r="246" ht="20" customHeight="1">
      <c r="A246" s="71">
        <f>IF('Calendario B'!A76="","",'Calendario B'!A76)</f>
        <v/>
      </c>
      <c r="B246" s="72">
        <f>IF('Calendario B'!B76="","",'Calendario B'!B76)</f>
        <v/>
      </c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10" t="n"/>
      <c r="M246" s="198" t="inlineStr">
        <is>
          <t>ARBITRI</t>
        </is>
      </c>
      <c r="N246" s="9" t="n"/>
      <c r="O246" s="10" t="n"/>
      <c r="P246" s="198" t="inlineStr">
        <is>
          <t>UFFICIALI DI CAMPO</t>
        </is>
      </c>
      <c r="Q246" s="9" t="n"/>
      <c r="R246" s="10" t="n"/>
    </row>
    <row r="247" ht="14" customHeight="1">
      <c r="A247" s="74" t="inlineStr">
        <is>
          <t>Gara N.</t>
        </is>
      </c>
      <c r="B247" s="74" t="inlineStr">
        <is>
          <t>Squadra A</t>
        </is>
      </c>
      <c r="C247" s="10" t="n"/>
      <c r="D247" s="74" t="inlineStr">
        <is>
          <t>Squadra B</t>
        </is>
      </c>
      <c r="E247" s="10" t="n"/>
      <c r="F247" s="74" t="inlineStr">
        <is>
          <t>Giorno</t>
        </is>
      </c>
      <c r="G247" s="74" t="inlineStr">
        <is>
          <t>Data</t>
        </is>
      </c>
      <c r="H247" s="74" t="inlineStr">
        <is>
          <t>Ora</t>
        </is>
      </c>
      <c r="I247" s="10" t="n"/>
      <c r="J247" s="74" t="inlineStr">
        <is>
          <t>Risultato</t>
        </is>
      </c>
      <c r="K247" s="9" t="n"/>
      <c r="L247" s="10" t="n"/>
      <c r="M247" s="199" t="inlineStr">
        <is>
          <t>1o Arbitro</t>
        </is>
      </c>
      <c r="N247" s="199" t="inlineStr">
        <is>
          <t>2o Arbitro</t>
        </is>
      </c>
      <c r="O247" s="199" t="inlineStr">
        <is>
          <t>3o Arbitro/Tirocinante</t>
        </is>
      </c>
      <c r="P247" s="199" t="inlineStr">
        <is>
          <t>Referto</t>
        </is>
      </c>
      <c r="Q247" s="199" t="inlineStr">
        <is>
          <t>Cronometro</t>
        </is>
      </c>
      <c r="R247" s="199" t="inlineStr">
        <is>
          <t>Foglio Tiri</t>
        </is>
      </c>
    </row>
    <row r="248" ht="22" customHeight="1">
      <c r="A248" s="76">
        <f>IF('Calendario B'!A78="","",'Calendario B'!A78)</f>
        <v/>
      </c>
      <c r="B248" s="61">
        <f>IF('Calendario B'!B78="","",'Calendario B'!B78)</f>
        <v/>
      </c>
      <c r="C248" s="62">
        <f>IF('Calendario B'!C78="","",'Calendario B'!C78)</f>
        <v/>
      </c>
      <c r="D248" s="61">
        <f>IF('Calendario B'!D78="","",'Calendario B'!D78)</f>
        <v/>
      </c>
      <c r="E248" s="62">
        <f>IF('Calendario B'!E78="","",'Calendario B'!E78)</f>
        <v/>
      </c>
      <c r="F248" s="63">
        <f>IF('Calendario B'!F78="","",'Calendario B'!F78)</f>
        <v/>
      </c>
      <c r="G248" s="9" t="n"/>
      <c r="H248" s="9" t="n"/>
      <c r="I248" s="10" t="n"/>
      <c r="J248" s="195">
        <f>IF('Calendario B'!J78="","",'Calendario B'!J78)</f>
        <v/>
      </c>
      <c r="K248" s="64" t="inlineStr">
        <is>
          <t>-</t>
        </is>
      </c>
      <c r="L248" s="195">
        <f>IF('Calendario B'!L78="","",'Calendario B'!L78)</f>
        <v/>
      </c>
      <c r="M248" s="196" t="n"/>
      <c r="N248" s="196" t="n"/>
      <c r="O248" s="196" t="n"/>
      <c r="P248" s="196" t="n"/>
      <c r="Q248" s="196" t="n"/>
      <c r="R248" s="196" t="n"/>
    </row>
    <row r="249" ht="15" customHeight="1">
      <c r="A249" s="141" t="n"/>
      <c r="B249" s="69">
        <f>IF('Calendario B'!B79="","",'Calendario B'!B79)</f>
        <v/>
      </c>
      <c r="C249" s="9" t="n"/>
      <c r="D249" s="9" t="n"/>
      <c r="E249" s="9" t="n"/>
      <c r="F249" s="9" t="n"/>
      <c r="G249" s="9" t="n"/>
      <c r="H249" s="10" t="n"/>
      <c r="I249" s="62">
        <f>IF('Calendario B'!I79="","",'Calendario B'!I79)</f>
        <v/>
      </c>
      <c r="J249" s="141" t="n"/>
      <c r="K249" s="141" t="n"/>
      <c r="L249" s="141" t="n"/>
      <c r="M249" s="141" t="n"/>
      <c r="N249" s="141" t="n"/>
      <c r="O249" s="141" t="n"/>
      <c r="P249" s="141" t="n"/>
      <c r="Q249" s="141" t="n"/>
      <c r="R249" s="141" t="n"/>
    </row>
    <row r="250" ht="14" customHeight="1">
      <c r="A250" s="74" t="inlineStr">
        <is>
          <t>Gara N.</t>
        </is>
      </c>
      <c r="B250" s="74" t="inlineStr">
        <is>
          <t>Squadra A</t>
        </is>
      </c>
      <c r="C250" s="10" t="n"/>
      <c r="D250" s="74" t="inlineStr">
        <is>
          <t>Squadra B</t>
        </is>
      </c>
      <c r="E250" s="10" t="n"/>
      <c r="F250" s="74" t="inlineStr">
        <is>
          <t>Giorno</t>
        </is>
      </c>
      <c r="G250" s="74" t="inlineStr">
        <is>
          <t>Data</t>
        </is>
      </c>
      <c r="H250" s="74" t="inlineStr">
        <is>
          <t>Ora</t>
        </is>
      </c>
      <c r="I250" s="10" t="n"/>
      <c r="J250" s="74" t="inlineStr">
        <is>
          <t>Risultato</t>
        </is>
      </c>
      <c r="K250" s="9" t="n"/>
      <c r="L250" s="10" t="n"/>
      <c r="M250" s="199" t="inlineStr">
        <is>
          <t>1o Arbitro</t>
        </is>
      </c>
      <c r="N250" s="199" t="inlineStr">
        <is>
          <t>2o Arbitro</t>
        </is>
      </c>
      <c r="O250" s="199" t="inlineStr">
        <is>
          <t>3o Arbitro/Tirocinante</t>
        </is>
      </c>
      <c r="P250" s="199" t="inlineStr">
        <is>
          <t>Referto</t>
        </is>
      </c>
      <c r="Q250" s="199" t="inlineStr">
        <is>
          <t>Cronometro</t>
        </is>
      </c>
      <c r="R250" s="199" t="inlineStr">
        <is>
          <t>Foglio Tiri</t>
        </is>
      </c>
    </row>
    <row r="251" ht="22" customHeight="1">
      <c r="A251" s="76">
        <f>IF('Calendario B'!A81="","",'Calendario B'!A81)</f>
        <v/>
      </c>
      <c r="B251" s="61">
        <f>IF('Calendario B'!B81="","",'Calendario B'!B81)</f>
        <v/>
      </c>
      <c r="C251" s="62">
        <f>IF('Calendario B'!C81="","",'Calendario B'!C81)</f>
        <v/>
      </c>
      <c r="D251" s="61">
        <f>IF('Calendario B'!D81="","",'Calendario B'!D81)</f>
        <v/>
      </c>
      <c r="E251" s="62">
        <f>IF('Calendario B'!E81="","",'Calendario B'!E81)</f>
        <v/>
      </c>
      <c r="F251" s="63">
        <f>IF('Calendario B'!F81="","",'Calendario B'!F81)</f>
        <v/>
      </c>
      <c r="G251" s="9" t="n"/>
      <c r="H251" s="9" t="n"/>
      <c r="I251" s="10" t="n"/>
      <c r="J251" s="195">
        <f>IF('Calendario B'!J81="","",'Calendario B'!J81)</f>
        <v/>
      </c>
      <c r="K251" s="64" t="inlineStr">
        <is>
          <t>-</t>
        </is>
      </c>
      <c r="L251" s="195">
        <f>IF('Calendario B'!L81="","",'Calendario B'!L81)</f>
        <v/>
      </c>
      <c r="M251" s="196" t="n"/>
      <c r="N251" s="196" t="n"/>
      <c r="O251" s="196" t="n"/>
      <c r="P251" s="196" t="n"/>
      <c r="Q251" s="196" t="n"/>
      <c r="R251" s="196" t="n"/>
    </row>
    <row r="252" ht="15" customHeight="1">
      <c r="A252" s="141" t="n"/>
      <c r="B252" s="69">
        <f>IF('Calendario B'!B82="","",'Calendario B'!B82)</f>
        <v/>
      </c>
      <c r="C252" s="9" t="n"/>
      <c r="D252" s="9" t="n"/>
      <c r="E252" s="9" t="n"/>
      <c r="F252" s="9" t="n"/>
      <c r="G252" s="9" t="n"/>
      <c r="H252" s="10" t="n"/>
      <c r="I252" s="62">
        <f>IF('Calendario B'!I82="","",'Calendario B'!I82)</f>
        <v/>
      </c>
      <c r="J252" s="141" t="n"/>
      <c r="K252" s="141" t="n"/>
      <c r="L252" s="141" t="n"/>
      <c r="M252" s="141" t="n"/>
      <c r="N252" s="141" t="n"/>
      <c r="O252" s="141" t="n"/>
      <c r="P252" s="141" t="n"/>
      <c r="Q252" s="141" t="n"/>
      <c r="R252" s="141" t="n"/>
    </row>
    <row r="253" ht="14" customHeight="1">
      <c r="A253" s="74" t="inlineStr">
        <is>
          <t>Gara N.</t>
        </is>
      </c>
      <c r="B253" s="74" t="inlineStr">
        <is>
          <t>Squadra A</t>
        </is>
      </c>
      <c r="C253" s="10" t="n"/>
      <c r="D253" s="74" t="inlineStr">
        <is>
          <t>Squadra B</t>
        </is>
      </c>
      <c r="E253" s="10" t="n"/>
      <c r="F253" s="74" t="inlineStr">
        <is>
          <t>Giorno</t>
        </is>
      </c>
      <c r="G253" s="74" t="inlineStr">
        <is>
          <t>Data</t>
        </is>
      </c>
      <c r="H253" s="74" t="inlineStr">
        <is>
          <t>Ora</t>
        </is>
      </c>
      <c r="I253" s="10" t="n"/>
      <c r="J253" s="74" t="inlineStr">
        <is>
          <t>Risultato</t>
        </is>
      </c>
      <c r="K253" s="9" t="n"/>
      <c r="L253" s="10" t="n"/>
      <c r="M253" s="199" t="inlineStr">
        <is>
          <t>1o Arbitro</t>
        </is>
      </c>
      <c r="N253" s="199" t="inlineStr">
        <is>
          <t>2o Arbitro</t>
        </is>
      </c>
      <c r="O253" s="199" t="inlineStr">
        <is>
          <t>3o Arbitro/Tirocinante</t>
        </is>
      </c>
      <c r="P253" s="199" t="inlineStr">
        <is>
          <t>Referto</t>
        </is>
      </c>
      <c r="Q253" s="199" t="inlineStr">
        <is>
          <t>Cronometro</t>
        </is>
      </c>
      <c r="R253" s="199" t="inlineStr">
        <is>
          <t>Foglio Tiri</t>
        </is>
      </c>
    </row>
    <row r="254" ht="22" customHeight="1">
      <c r="A254" s="76">
        <f>IF('Calendario B'!A84="","",'Calendario B'!A84)</f>
        <v/>
      </c>
      <c r="B254" s="61">
        <f>IF('Calendario B'!B84="","",'Calendario B'!B84)</f>
        <v/>
      </c>
      <c r="C254" s="62">
        <f>IF('Calendario B'!C84="","",'Calendario B'!C84)</f>
        <v/>
      </c>
      <c r="D254" s="61">
        <f>IF('Calendario B'!D84="","",'Calendario B'!D84)</f>
        <v/>
      </c>
      <c r="E254" s="62">
        <f>IF('Calendario B'!E84="","",'Calendario B'!E84)</f>
        <v/>
      </c>
      <c r="F254" s="63">
        <f>IF('Calendario B'!F84="","",'Calendario B'!F84)</f>
        <v/>
      </c>
      <c r="G254" s="9" t="n"/>
      <c r="H254" s="9" t="n"/>
      <c r="I254" s="10" t="n"/>
      <c r="J254" s="195">
        <f>IF('Calendario B'!J84="","",'Calendario B'!J84)</f>
        <v/>
      </c>
      <c r="K254" s="64" t="inlineStr">
        <is>
          <t>-</t>
        </is>
      </c>
      <c r="L254" s="195">
        <f>IF('Calendario B'!L84="","",'Calendario B'!L84)</f>
        <v/>
      </c>
      <c r="M254" s="196" t="n"/>
      <c r="N254" s="196" t="n"/>
      <c r="O254" s="196" t="n"/>
      <c r="P254" s="196" t="n"/>
      <c r="Q254" s="196" t="n"/>
      <c r="R254" s="196" t="n"/>
    </row>
    <row r="255" ht="15" customHeight="1">
      <c r="A255" s="141" t="n"/>
      <c r="B255" s="69">
        <f>IF('Calendario B'!B85="","",'Calendario B'!B85)</f>
        <v/>
      </c>
      <c r="C255" s="9" t="n"/>
      <c r="D255" s="9" t="n"/>
      <c r="E255" s="9" t="n"/>
      <c r="F255" s="9" t="n"/>
      <c r="G255" s="9" t="n"/>
      <c r="H255" s="10" t="n"/>
      <c r="I255" s="62">
        <f>IF('Calendario B'!I85="","",'Calendario B'!I85)</f>
        <v/>
      </c>
      <c r="J255" s="141" t="n"/>
      <c r="K255" s="141" t="n"/>
      <c r="L255" s="141" t="n"/>
      <c r="M255" s="141" t="n"/>
      <c r="N255" s="141" t="n"/>
      <c r="O255" s="141" t="n"/>
      <c r="P255" s="141" t="n"/>
      <c r="Q255" s="141" t="n"/>
      <c r="R255" s="141" t="n"/>
    </row>
    <row r="256" ht="14" customHeight="1">
      <c r="A256" s="74" t="inlineStr">
        <is>
          <t>Gara N.</t>
        </is>
      </c>
      <c r="B256" s="74" t="inlineStr">
        <is>
          <t>Squadra A</t>
        </is>
      </c>
      <c r="C256" s="10" t="n"/>
      <c r="D256" s="74" t="inlineStr">
        <is>
          <t>Squadra B</t>
        </is>
      </c>
      <c r="E256" s="10" t="n"/>
      <c r="F256" s="74" t="inlineStr">
        <is>
          <t>Giorno</t>
        </is>
      </c>
      <c r="G256" s="74" t="inlineStr">
        <is>
          <t>Data</t>
        </is>
      </c>
      <c r="H256" s="74" t="inlineStr">
        <is>
          <t>Ora</t>
        </is>
      </c>
      <c r="I256" s="10" t="n"/>
      <c r="J256" s="74" t="inlineStr">
        <is>
          <t>Risultato</t>
        </is>
      </c>
      <c r="K256" s="9" t="n"/>
      <c r="L256" s="10" t="n"/>
      <c r="M256" s="199" t="inlineStr">
        <is>
          <t>1o Arbitro</t>
        </is>
      </c>
      <c r="N256" s="199" t="inlineStr">
        <is>
          <t>2o Arbitro</t>
        </is>
      </c>
      <c r="O256" s="199" t="inlineStr">
        <is>
          <t>3o Arbitro/Tirocinante</t>
        </is>
      </c>
      <c r="P256" s="199" t="inlineStr">
        <is>
          <t>Referto</t>
        </is>
      </c>
      <c r="Q256" s="199" t="inlineStr">
        <is>
          <t>Cronometro</t>
        </is>
      </c>
      <c r="R256" s="199" t="inlineStr">
        <is>
          <t>Foglio Tiri</t>
        </is>
      </c>
    </row>
    <row r="257" ht="22" customHeight="1">
      <c r="A257" s="76">
        <f>IF('Calendario B'!A87="","",'Calendario B'!A87)</f>
        <v/>
      </c>
      <c r="B257" s="61">
        <f>IF('Calendario B'!B87="","",'Calendario B'!B87)</f>
        <v/>
      </c>
      <c r="C257" s="62">
        <f>IF('Calendario B'!C87="","",'Calendario B'!C87)</f>
        <v/>
      </c>
      <c r="D257" s="61">
        <f>IF('Calendario B'!D87="","",'Calendario B'!D87)</f>
        <v/>
      </c>
      <c r="E257" s="62">
        <f>IF('Calendario B'!E87="","",'Calendario B'!E87)</f>
        <v/>
      </c>
      <c r="F257" s="63">
        <f>IF('Calendario B'!F87="","",'Calendario B'!F87)</f>
        <v/>
      </c>
      <c r="G257" s="9" t="n"/>
      <c r="H257" s="9" t="n"/>
      <c r="I257" s="10" t="n"/>
      <c r="J257" s="195">
        <f>IF('Calendario B'!J87="","",'Calendario B'!J87)</f>
        <v/>
      </c>
      <c r="K257" s="64" t="inlineStr">
        <is>
          <t>-</t>
        </is>
      </c>
      <c r="L257" s="195">
        <f>IF('Calendario B'!L87="","",'Calendario B'!L87)</f>
        <v/>
      </c>
      <c r="M257" s="196" t="n"/>
      <c r="N257" s="196" t="n"/>
      <c r="O257" s="196" t="n"/>
      <c r="P257" s="196" t="n"/>
      <c r="Q257" s="196" t="n"/>
      <c r="R257" s="196" t="n"/>
    </row>
    <row r="258" ht="15" customHeight="1">
      <c r="A258" s="141" t="n"/>
      <c r="B258" s="69">
        <f>IF('Calendario B'!B88="","",'Calendario B'!B88)</f>
        <v/>
      </c>
      <c r="C258" s="9" t="n"/>
      <c r="D258" s="9" t="n"/>
      <c r="E258" s="9" t="n"/>
      <c r="F258" s="9" t="n"/>
      <c r="G258" s="9" t="n"/>
      <c r="H258" s="10" t="n"/>
      <c r="I258" s="62">
        <f>IF('Calendario B'!I88="","",'Calendario B'!I88)</f>
        <v/>
      </c>
      <c r="J258" s="141" t="n"/>
      <c r="K258" s="141" t="n"/>
      <c r="L258" s="141" t="n"/>
      <c r="M258" s="141" t="n"/>
      <c r="N258" s="141" t="n"/>
      <c r="O258" s="141" t="n"/>
      <c r="P258" s="141" t="n"/>
      <c r="Q258" s="141" t="n"/>
      <c r="R258" s="141" t="n"/>
    </row>
    <row r="259" ht="14" customHeight="1">
      <c r="A259" s="74" t="inlineStr">
        <is>
          <t>Gara N.</t>
        </is>
      </c>
      <c r="B259" s="74" t="inlineStr">
        <is>
          <t>Squadra A</t>
        </is>
      </c>
      <c r="C259" s="10" t="n"/>
      <c r="D259" s="74" t="inlineStr">
        <is>
          <t>Squadra B</t>
        </is>
      </c>
      <c r="E259" s="10" t="n"/>
      <c r="F259" s="74" t="inlineStr">
        <is>
          <t>Giorno</t>
        </is>
      </c>
      <c r="G259" s="74" t="inlineStr">
        <is>
          <t>Data</t>
        </is>
      </c>
      <c r="H259" s="74" t="inlineStr">
        <is>
          <t>Ora</t>
        </is>
      </c>
      <c r="I259" s="10" t="n"/>
      <c r="J259" s="74" t="inlineStr">
        <is>
          <t>Risultato</t>
        </is>
      </c>
      <c r="K259" s="9" t="n"/>
      <c r="L259" s="10" t="n"/>
      <c r="M259" s="199" t="inlineStr">
        <is>
          <t>1o Arbitro</t>
        </is>
      </c>
      <c r="N259" s="199" t="inlineStr">
        <is>
          <t>2o Arbitro</t>
        </is>
      </c>
      <c r="O259" s="199" t="inlineStr">
        <is>
          <t>3o Arbitro/Tirocinante</t>
        </is>
      </c>
      <c r="P259" s="199" t="inlineStr">
        <is>
          <t>Referto</t>
        </is>
      </c>
      <c r="Q259" s="199" t="inlineStr">
        <is>
          <t>Cronometro</t>
        </is>
      </c>
      <c r="R259" s="199" t="inlineStr">
        <is>
          <t>Foglio Tiri</t>
        </is>
      </c>
    </row>
    <row r="260" ht="22" customHeight="1">
      <c r="A260" s="76">
        <f>IF('Calendario B'!A90="","",'Calendario B'!A90)</f>
        <v/>
      </c>
      <c r="B260" s="61">
        <f>IF('Calendario B'!B90="","",'Calendario B'!B90)</f>
        <v/>
      </c>
      <c r="C260" s="62">
        <f>IF('Calendario B'!C90="","",'Calendario B'!C90)</f>
        <v/>
      </c>
      <c r="D260" s="61">
        <f>IF('Calendario B'!D90="","",'Calendario B'!D90)</f>
        <v/>
      </c>
      <c r="E260" s="62">
        <f>IF('Calendario B'!E90="","",'Calendario B'!E90)</f>
        <v/>
      </c>
      <c r="F260" s="63">
        <f>IF('Calendario B'!F90="","",'Calendario B'!F90)</f>
        <v/>
      </c>
      <c r="G260" s="9" t="n"/>
      <c r="H260" s="9" t="n"/>
      <c r="I260" s="10" t="n"/>
      <c r="J260" s="195">
        <f>IF('Calendario B'!J90="","",'Calendario B'!J90)</f>
        <v/>
      </c>
      <c r="K260" s="64" t="inlineStr">
        <is>
          <t>-</t>
        </is>
      </c>
      <c r="L260" s="195">
        <f>IF('Calendario B'!L90="","",'Calendario B'!L90)</f>
        <v/>
      </c>
      <c r="M260" s="196" t="n"/>
      <c r="N260" s="196" t="n"/>
      <c r="O260" s="196" t="n"/>
      <c r="P260" s="196" t="n"/>
      <c r="Q260" s="196" t="n"/>
      <c r="R260" s="196" t="n"/>
    </row>
    <row r="261" ht="15" customHeight="1">
      <c r="A261" s="141" t="n"/>
      <c r="B261" s="69">
        <f>IF('Calendario B'!B91="","",'Calendario B'!B91)</f>
        <v/>
      </c>
      <c r="C261" s="9" t="n"/>
      <c r="D261" s="9" t="n"/>
      <c r="E261" s="9" t="n"/>
      <c r="F261" s="9" t="n"/>
      <c r="G261" s="9" t="n"/>
      <c r="H261" s="10" t="n"/>
      <c r="I261" s="62">
        <f>IF('Calendario B'!I91="","",'Calendario B'!I91)</f>
        <v/>
      </c>
      <c r="J261" s="141" t="n"/>
      <c r="K261" s="141" t="n"/>
      <c r="L261" s="141" t="n"/>
      <c r="M261" s="141" t="n"/>
      <c r="N261" s="141" t="n"/>
      <c r="O261" s="141" t="n"/>
      <c r="P261" s="141" t="n"/>
      <c r="Q261" s="141" t="n"/>
      <c r="R261" s="141" t="n"/>
    </row>
    <row r="263" ht="20" customHeight="1">
      <c r="A263" s="71">
        <f>IF('Calendario B'!A93="","",'Calendario B'!A93)</f>
        <v/>
      </c>
      <c r="B263" s="72">
        <f>IF('Calendario B'!B93="","",'Calendario B'!B93)</f>
        <v/>
      </c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10" t="n"/>
      <c r="M263" s="198" t="inlineStr">
        <is>
          <t>ARBITRI</t>
        </is>
      </c>
      <c r="N263" s="9" t="n"/>
      <c r="O263" s="10" t="n"/>
      <c r="P263" s="198" t="inlineStr">
        <is>
          <t>UFFICIALI DI CAMPO</t>
        </is>
      </c>
      <c r="Q263" s="9" t="n"/>
      <c r="R263" s="10" t="n"/>
    </row>
    <row r="264" ht="14" customHeight="1">
      <c r="A264" s="74" t="inlineStr">
        <is>
          <t>Gara N.</t>
        </is>
      </c>
      <c r="B264" s="74" t="inlineStr">
        <is>
          <t>Squadra A</t>
        </is>
      </c>
      <c r="C264" s="10" t="n"/>
      <c r="D264" s="74" t="inlineStr">
        <is>
          <t>Squadra B</t>
        </is>
      </c>
      <c r="E264" s="10" t="n"/>
      <c r="F264" s="74" t="inlineStr">
        <is>
          <t>Giorno</t>
        </is>
      </c>
      <c r="G264" s="74" t="inlineStr">
        <is>
          <t>Data</t>
        </is>
      </c>
      <c r="H264" s="74" t="inlineStr">
        <is>
          <t>Ora</t>
        </is>
      </c>
      <c r="I264" s="10" t="n"/>
      <c r="J264" s="74" t="inlineStr">
        <is>
          <t>Risultato</t>
        </is>
      </c>
      <c r="K264" s="9" t="n"/>
      <c r="L264" s="10" t="n"/>
      <c r="M264" s="199" t="inlineStr">
        <is>
          <t>1o Arbitro</t>
        </is>
      </c>
      <c r="N264" s="199" t="inlineStr">
        <is>
          <t>2o Arbitro</t>
        </is>
      </c>
      <c r="O264" s="199" t="inlineStr">
        <is>
          <t>3o Arbitro/Tirocinante</t>
        </is>
      </c>
      <c r="P264" s="199" t="inlineStr">
        <is>
          <t>Referto</t>
        </is>
      </c>
      <c r="Q264" s="199" t="inlineStr">
        <is>
          <t>Cronometro</t>
        </is>
      </c>
      <c r="R264" s="199" t="inlineStr">
        <is>
          <t>Foglio Tiri</t>
        </is>
      </c>
    </row>
    <row r="265" ht="22" customHeight="1">
      <c r="A265" s="76">
        <f>IF('Calendario B'!A95="","",'Calendario B'!A95)</f>
        <v/>
      </c>
      <c r="B265" s="61">
        <f>IF('Calendario B'!B95="","",'Calendario B'!B95)</f>
        <v/>
      </c>
      <c r="C265" s="62">
        <f>IF('Calendario B'!C95="","",'Calendario B'!C95)</f>
        <v/>
      </c>
      <c r="D265" s="61">
        <f>IF('Calendario B'!D95="","",'Calendario B'!D95)</f>
        <v/>
      </c>
      <c r="E265" s="62">
        <f>IF('Calendario B'!E95="","",'Calendario B'!E95)</f>
        <v/>
      </c>
      <c r="F265" s="63">
        <f>IF('Calendario B'!F95="","",'Calendario B'!F95)</f>
        <v/>
      </c>
      <c r="G265" s="9" t="n"/>
      <c r="H265" s="9" t="n"/>
      <c r="I265" s="10" t="n"/>
      <c r="J265" s="195">
        <f>IF('Calendario B'!J95="","",'Calendario B'!J95)</f>
        <v/>
      </c>
      <c r="K265" s="64" t="inlineStr">
        <is>
          <t>-</t>
        </is>
      </c>
      <c r="L265" s="195">
        <f>IF('Calendario B'!L95="","",'Calendario B'!L95)</f>
        <v/>
      </c>
      <c r="M265" s="196" t="n"/>
      <c r="N265" s="196" t="n"/>
      <c r="O265" s="196" t="n"/>
      <c r="P265" s="196" t="n"/>
      <c r="Q265" s="196" t="n"/>
      <c r="R265" s="196" t="n"/>
    </row>
    <row r="266" ht="15" customHeight="1">
      <c r="A266" s="141" t="n"/>
      <c r="B266" s="69">
        <f>IF('Calendario B'!B96="","",'Calendario B'!B96)</f>
        <v/>
      </c>
      <c r="C266" s="9" t="n"/>
      <c r="D266" s="9" t="n"/>
      <c r="E266" s="9" t="n"/>
      <c r="F266" s="9" t="n"/>
      <c r="G266" s="9" t="n"/>
      <c r="H266" s="10" t="n"/>
      <c r="I266" s="62">
        <f>IF('Calendario B'!I96="","",'Calendario B'!I96)</f>
        <v/>
      </c>
      <c r="J266" s="141" t="n"/>
      <c r="K266" s="141" t="n"/>
      <c r="L266" s="141" t="n"/>
      <c r="M266" s="141" t="n"/>
      <c r="N266" s="141" t="n"/>
      <c r="O266" s="141" t="n"/>
      <c r="P266" s="141" t="n"/>
      <c r="Q266" s="141" t="n"/>
      <c r="R266" s="141" t="n"/>
    </row>
    <row r="267" ht="14" customHeight="1">
      <c r="A267" s="74" t="inlineStr">
        <is>
          <t>Gara N.</t>
        </is>
      </c>
      <c r="B267" s="74" t="inlineStr">
        <is>
          <t>Squadra A</t>
        </is>
      </c>
      <c r="C267" s="10" t="n"/>
      <c r="D267" s="74" t="inlineStr">
        <is>
          <t>Squadra B</t>
        </is>
      </c>
      <c r="E267" s="10" t="n"/>
      <c r="F267" s="74" t="inlineStr">
        <is>
          <t>Giorno</t>
        </is>
      </c>
      <c r="G267" s="74" t="inlineStr">
        <is>
          <t>Data</t>
        </is>
      </c>
      <c r="H267" s="74" t="inlineStr">
        <is>
          <t>Ora</t>
        </is>
      </c>
      <c r="I267" s="10" t="n"/>
      <c r="J267" s="74" t="inlineStr">
        <is>
          <t>Risultato</t>
        </is>
      </c>
      <c r="K267" s="9" t="n"/>
      <c r="L267" s="10" t="n"/>
      <c r="M267" s="199" t="inlineStr">
        <is>
          <t>1o Arbitro</t>
        </is>
      </c>
      <c r="N267" s="199" t="inlineStr">
        <is>
          <t>2o Arbitro</t>
        </is>
      </c>
      <c r="O267" s="199" t="inlineStr">
        <is>
          <t>3o Arbitro/Tirocinante</t>
        </is>
      </c>
      <c r="P267" s="199" t="inlineStr">
        <is>
          <t>Referto</t>
        </is>
      </c>
      <c r="Q267" s="199" t="inlineStr">
        <is>
          <t>Cronometro</t>
        </is>
      </c>
      <c r="R267" s="199" t="inlineStr">
        <is>
          <t>Foglio Tiri</t>
        </is>
      </c>
    </row>
    <row r="268" ht="22" customHeight="1">
      <c r="A268" s="76">
        <f>IF('Calendario B'!A98="","",'Calendario B'!A98)</f>
        <v/>
      </c>
      <c r="B268" s="61">
        <f>IF('Calendario B'!B98="","",'Calendario B'!B98)</f>
        <v/>
      </c>
      <c r="C268" s="62">
        <f>IF('Calendario B'!C98="","",'Calendario B'!C98)</f>
        <v/>
      </c>
      <c r="D268" s="61">
        <f>IF('Calendario B'!D98="","",'Calendario B'!D98)</f>
        <v/>
      </c>
      <c r="E268" s="62">
        <f>IF('Calendario B'!E98="","",'Calendario B'!E98)</f>
        <v/>
      </c>
      <c r="F268" s="63">
        <f>IF('Calendario B'!F98="","",'Calendario B'!F98)</f>
        <v/>
      </c>
      <c r="G268" s="9" t="n"/>
      <c r="H268" s="9" t="n"/>
      <c r="I268" s="10" t="n"/>
      <c r="J268" s="195">
        <f>IF('Calendario B'!J98="","",'Calendario B'!J98)</f>
        <v/>
      </c>
      <c r="K268" s="64" t="inlineStr">
        <is>
          <t>-</t>
        </is>
      </c>
      <c r="L268" s="195">
        <f>IF('Calendario B'!L98="","",'Calendario B'!L98)</f>
        <v/>
      </c>
      <c r="M268" s="196" t="n"/>
      <c r="N268" s="196" t="n"/>
      <c r="O268" s="196" t="n"/>
      <c r="P268" s="196" t="n"/>
      <c r="Q268" s="196" t="n"/>
      <c r="R268" s="196" t="n"/>
    </row>
    <row r="269" ht="15" customHeight="1">
      <c r="A269" s="141" t="n"/>
      <c r="B269" s="69">
        <f>IF('Calendario B'!B99="","",'Calendario B'!B99)</f>
        <v/>
      </c>
      <c r="C269" s="9" t="n"/>
      <c r="D269" s="9" t="n"/>
      <c r="E269" s="9" t="n"/>
      <c r="F269" s="9" t="n"/>
      <c r="G269" s="9" t="n"/>
      <c r="H269" s="10" t="n"/>
      <c r="I269" s="62">
        <f>IF('Calendario B'!I99="","",'Calendario B'!I99)</f>
        <v/>
      </c>
      <c r="J269" s="141" t="n"/>
      <c r="K269" s="141" t="n"/>
      <c r="L269" s="141" t="n"/>
      <c r="M269" s="141" t="n"/>
      <c r="N269" s="141" t="n"/>
      <c r="O269" s="141" t="n"/>
      <c r="P269" s="141" t="n"/>
      <c r="Q269" s="141" t="n"/>
      <c r="R269" s="141" t="n"/>
    </row>
    <row r="270" ht="14" customHeight="1">
      <c r="A270" s="74" t="inlineStr">
        <is>
          <t>Gara N.</t>
        </is>
      </c>
      <c r="B270" s="74" t="inlineStr">
        <is>
          <t>Squadra A</t>
        </is>
      </c>
      <c r="C270" s="10" t="n"/>
      <c r="D270" s="74" t="inlineStr">
        <is>
          <t>Squadra B</t>
        </is>
      </c>
      <c r="E270" s="10" t="n"/>
      <c r="F270" s="74" t="inlineStr">
        <is>
          <t>Giorno</t>
        </is>
      </c>
      <c r="G270" s="74" t="inlineStr">
        <is>
          <t>Data</t>
        </is>
      </c>
      <c r="H270" s="74" t="inlineStr">
        <is>
          <t>Ora</t>
        </is>
      </c>
      <c r="I270" s="10" t="n"/>
      <c r="J270" s="74" t="inlineStr">
        <is>
          <t>Risultato</t>
        </is>
      </c>
      <c r="K270" s="9" t="n"/>
      <c r="L270" s="10" t="n"/>
      <c r="M270" s="199" t="inlineStr">
        <is>
          <t>1o Arbitro</t>
        </is>
      </c>
      <c r="N270" s="199" t="inlineStr">
        <is>
          <t>2o Arbitro</t>
        </is>
      </c>
      <c r="O270" s="199" t="inlineStr">
        <is>
          <t>3o Arbitro/Tirocinante</t>
        </is>
      </c>
      <c r="P270" s="199" t="inlineStr">
        <is>
          <t>Referto</t>
        </is>
      </c>
      <c r="Q270" s="199" t="inlineStr">
        <is>
          <t>Cronometro</t>
        </is>
      </c>
      <c r="R270" s="199" t="inlineStr">
        <is>
          <t>Foglio Tiri</t>
        </is>
      </c>
    </row>
    <row r="271" ht="22" customHeight="1">
      <c r="A271" s="76">
        <f>IF('Calendario B'!A101="","",'Calendario B'!A101)</f>
        <v/>
      </c>
      <c r="B271" s="61">
        <f>IF('Calendario B'!B101="","",'Calendario B'!B101)</f>
        <v/>
      </c>
      <c r="C271" s="62">
        <f>IF('Calendario B'!C101="","",'Calendario B'!C101)</f>
        <v/>
      </c>
      <c r="D271" s="61">
        <f>IF('Calendario B'!D101="","",'Calendario B'!D101)</f>
        <v/>
      </c>
      <c r="E271" s="62">
        <f>IF('Calendario B'!E101="","",'Calendario B'!E101)</f>
        <v/>
      </c>
      <c r="F271" s="63">
        <f>IF('Calendario B'!F101="","",'Calendario B'!F101)</f>
        <v/>
      </c>
      <c r="G271" s="9" t="n"/>
      <c r="H271" s="9" t="n"/>
      <c r="I271" s="10" t="n"/>
      <c r="J271" s="195">
        <f>IF('Calendario B'!J101="","",'Calendario B'!J101)</f>
        <v/>
      </c>
      <c r="K271" s="64" t="inlineStr">
        <is>
          <t>-</t>
        </is>
      </c>
      <c r="L271" s="195">
        <f>IF('Calendario B'!L101="","",'Calendario B'!L101)</f>
        <v/>
      </c>
      <c r="M271" s="196" t="n"/>
      <c r="N271" s="196" t="n"/>
      <c r="O271" s="196" t="n"/>
      <c r="P271" s="196" t="n"/>
      <c r="Q271" s="196" t="n"/>
      <c r="R271" s="196" t="n"/>
    </row>
    <row r="272" ht="15" customHeight="1">
      <c r="A272" s="141" t="n"/>
      <c r="B272" s="69">
        <f>IF('Calendario B'!B102="","",'Calendario B'!B102)</f>
        <v/>
      </c>
      <c r="C272" s="9" t="n"/>
      <c r="D272" s="9" t="n"/>
      <c r="E272" s="9" t="n"/>
      <c r="F272" s="9" t="n"/>
      <c r="G272" s="9" t="n"/>
      <c r="H272" s="10" t="n"/>
      <c r="I272" s="62">
        <f>IF('Calendario B'!I102="","",'Calendario B'!I102)</f>
        <v/>
      </c>
      <c r="J272" s="141" t="n"/>
      <c r="K272" s="141" t="n"/>
      <c r="L272" s="141" t="n"/>
      <c r="M272" s="141" t="n"/>
      <c r="N272" s="141" t="n"/>
      <c r="O272" s="141" t="n"/>
      <c r="P272" s="141" t="n"/>
      <c r="Q272" s="141" t="n"/>
      <c r="R272" s="141" t="n"/>
    </row>
    <row r="273" ht="14" customHeight="1">
      <c r="A273" s="74" t="inlineStr">
        <is>
          <t>Gara N.</t>
        </is>
      </c>
      <c r="B273" s="74" t="inlineStr">
        <is>
          <t>Squadra A</t>
        </is>
      </c>
      <c r="C273" s="10" t="n"/>
      <c r="D273" s="74" t="inlineStr">
        <is>
          <t>Squadra B</t>
        </is>
      </c>
      <c r="E273" s="10" t="n"/>
      <c r="F273" s="74" t="inlineStr">
        <is>
          <t>Giorno</t>
        </is>
      </c>
      <c r="G273" s="74" t="inlineStr">
        <is>
          <t>Data</t>
        </is>
      </c>
      <c r="H273" s="74" t="inlineStr">
        <is>
          <t>Ora</t>
        </is>
      </c>
      <c r="I273" s="10" t="n"/>
      <c r="J273" s="74" t="inlineStr">
        <is>
          <t>Risultato</t>
        </is>
      </c>
      <c r="K273" s="9" t="n"/>
      <c r="L273" s="10" t="n"/>
      <c r="M273" s="199" t="inlineStr">
        <is>
          <t>1o Arbitro</t>
        </is>
      </c>
      <c r="N273" s="199" t="inlineStr">
        <is>
          <t>2o Arbitro</t>
        </is>
      </c>
      <c r="O273" s="199" t="inlineStr">
        <is>
          <t>3o Arbitro/Tirocinante</t>
        </is>
      </c>
      <c r="P273" s="199" t="inlineStr">
        <is>
          <t>Referto</t>
        </is>
      </c>
      <c r="Q273" s="199" t="inlineStr">
        <is>
          <t>Cronometro</t>
        </is>
      </c>
      <c r="R273" s="199" t="inlineStr">
        <is>
          <t>Foglio Tiri</t>
        </is>
      </c>
    </row>
    <row r="274" ht="22" customHeight="1">
      <c r="A274" s="76">
        <f>IF('Calendario B'!A104="","",'Calendario B'!A104)</f>
        <v/>
      </c>
      <c r="B274" s="61">
        <f>IF('Calendario B'!B104="","",'Calendario B'!B104)</f>
        <v/>
      </c>
      <c r="C274" s="62">
        <f>IF('Calendario B'!C104="","",'Calendario B'!C104)</f>
        <v/>
      </c>
      <c r="D274" s="61">
        <f>IF('Calendario B'!D104="","",'Calendario B'!D104)</f>
        <v/>
      </c>
      <c r="E274" s="62">
        <f>IF('Calendario B'!E104="","",'Calendario B'!E104)</f>
        <v/>
      </c>
      <c r="F274" s="63">
        <f>IF('Calendario B'!F104="","",'Calendario B'!F104)</f>
        <v/>
      </c>
      <c r="G274" s="9" t="n"/>
      <c r="H274" s="9" t="n"/>
      <c r="I274" s="10" t="n"/>
      <c r="J274" s="195">
        <f>IF('Calendario B'!J104="","",'Calendario B'!J104)</f>
        <v/>
      </c>
      <c r="K274" s="64" t="inlineStr">
        <is>
          <t>-</t>
        </is>
      </c>
      <c r="L274" s="195">
        <f>IF('Calendario B'!L104="","",'Calendario B'!L104)</f>
        <v/>
      </c>
      <c r="M274" s="196" t="n"/>
      <c r="N274" s="196" t="n"/>
      <c r="O274" s="196" t="n"/>
      <c r="P274" s="196" t="n"/>
      <c r="Q274" s="196" t="n"/>
      <c r="R274" s="196" t="n"/>
    </row>
    <row r="275" ht="15" customHeight="1">
      <c r="A275" s="141" t="n"/>
      <c r="B275" s="69">
        <f>IF('Calendario B'!B105="","",'Calendario B'!B105)</f>
        <v/>
      </c>
      <c r="C275" s="9" t="n"/>
      <c r="D275" s="9" t="n"/>
      <c r="E275" s="9" t="n"/>
      <c r="F275" s="9" t="n"/>
      <c r="G275" s="9" t="n"/>
      <c r="H275" s="10" t="n"/>
      <c r="I275" s="62">
        <f>IF('Calendario B'!I105="","",'Calendario B'!I105)</f>
        <v/>
      </c>
      <c r="J275" s="141" t="n"/>
      <c r="K275" s="141" t="n"/>
      <c r="L275" s="141" t="n"/>
      <c r="M275" s="141" t="n"/>
      <c r="N275" s="141" t="n"/>
      <c r="O275" s="141" t="n"/>
      <c r="P275" s="141" t="n"/>
      <c r="Q275" s="141" t="n"/>
      <c r="R275" s="141" t="n"/>
    </row>
    <row r="276" ht="14" customHeight="1">
      <c r="A276" s="74" t="inlineStr">
        <is>
          <t>Gara N.</t>
        </is>
      </c>
      <c r="B276" s="74" t="inlineStr">
        <is>
          <t>Squadra A</t>
        </is>
      </c>
      <c r="C276" s="10" t="n"/>
      <c r="D276" s="74" t="inlineStr">
        <is>
          <t>Squadra B</t>
        </is>
      </c>
      <c r="E276" s="10" t="n"/>
      <c r="F276" s="74" t="inlineStr">
        <is>
          <t>Giorno</t>
        </is>
      </c>
      <c r="G276" s="74" t="inlineStr">
        <is>
          <t>Data</t>
        </is>
      </c>
      <c r="H276" s="74" t="inlineStr">
        <is>
          <t>Ora</t>
        </is>
      </c>
      <c r="I276" s="10" t="n"/>
      <c r="J276" s="74" t="inlineStr">
        <is>
          <t>Risultato</t>
        </is>
      </c>
      <c r="K276" s="9" t="n"/>
      <c r="L276" s="10" t="n"/>
      <c r="M276" s="199" t="inlineStr">
        <is>
          <t>1o Arbitro</t>
        </is>
      </c>
      <c r="N276" s="199" t="inlineStr">
        <is>
          <t>2o Arbitro</t>
        </is>
      </c>
      <c r="O276" s="199" t="inlineStr">
        <is>
          <t>3o Arbitro/Tirocinante</t>
        </is>
      </c>
      <c r="P276" s="199" t="inlineStr">
        <is>
          <t>Referto</t>
        </is>
      </c>
      <c r="Q276" s="199" t="inlineStr">
        <is>
          <t>Cronometro</t>
        </is>
      </c>
      <c r="R276" s="199" t="inlineStr">
        <is>
          <t>Foglio Tiri</t>
        </is>
      </c>
    </row>
    <row r="277" ht="22" customHeight="1">
      <c r="A277" s="76">
        <f>IF('Calendario B'!A107="","",'Calendario B'!A107)</f>
        <v/>
      </c>
      <c r="B277" s="61">
        <f>IF('Calendario B'!B107="","",'Calendario B'!B107)</f>
        <v/>
      </c>
      <c r="C277" s="62">
        <f>IF('Calendario B'!C107="","",'Calendario B'!C107)</f>
        <v/>
      </c>
      <c r="D277" s="61">
        <f>IF('Calendario B'!D107="","",'Calendario B'!D107)</f>
        <v/>
      </c>
      <c r="E277" s="62">
        <f>IF('Calendario B'!E107="","",'Calendario B'!E107)</f>
        <v/>
      </c>
      <c r="F277" s="63">
        <f>IF('Calendario B'!F107="","",'Calendario B'!F107)</f>
        <v/>
      </c>
      <c r="G277" s="9" t="n"/>
      <c r="H277" s="9" t="n"/>
      <c r="I277" s="10" t="n"/>
      <c r="J277" s="195">
        <f>IF('Calendario B'!J107="","",'Calendario B'!J107)</f>
        <v/>
      </c>
      <c r="K277" s="64" t="inlineStr">
        <is>
          <t>-</t>
        </is>
      </c>
      <c r="L277" s="195">
        <f>IF('Calendario B'!L107="","",'Calendario B'!L107)</f>
        <v/>
      </c>
      <c r="M277" s="196" t="n"/>
      <c r="N277" s="196" t="n"/>
      <c r="O277" s="196" t="n"/>
      <c r="P277" s="196" t="n"/>
      <c r="Q277" s="196" t="n"/>
      <c r="R277" s="196" t="n"/>
    </row>
    <row r="278" ht="15" customHeight="1">
      <c r="A278" s="141" t="n"/>
      <c r="B278" s="69">
        <f>IF('Calendario B'!B108="","",'Calendario B'!B108)</f>
        <v/>
      </c>
      <c r="C278" s="9" t="n"/>
      <c r="D278" s="9" t="n"/>
      <c r="E278" s="9" t="n"/>
      <c r="F278" s="9" t="n"/>
      <c r="G278" s="9" t="n"/>
      <c r="H278" s="10" t="n"/>
      <c r="I278" s="62">
        <f>IF('Calendario B'!I108="","",'Calendario B'!I108)</f>
        <v/>
      </c>
      <c r="J278" s="141" t="n"/>
      <c r="K278" s="141" t="n"/>
      <c r="L278" s="141" t="n"/>
      <c r="M278" s="141" t="n"/>
      <c r="N278" s="141" t="n"/>
      <c r="O278" s="141" t="n"/>
      <c r="P278" s="141" t="n"/>
      <c r="Q278" s="141" t="n"/>
      <c r="R278" s="141" t="n"/>
    </row>
    <row r="280" ht="20" customHeight="1">
      <c r="A280" s="71">
        <f>IF('Calendario B'!A110="","",'Calendario B'!A110)</f>
        <v/>
      </c>
      <c r="B280" s="72">
        <f>IF('Calendario B'!B110="","",'Calendario B'!B110)</f>
        <v/>
      </c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10" t="n"/>
      <c r="M280" s="198" t="inlineStr">
        <is>
          <t>ARBITRI</t>
        </is>
      </c>
      <c r="N280" s="9" t="n"/>
      <c r="O280" s="10" t="n"/>
      <c r="P280" s="198" t="inlineStr">
        <is>
          <t>UFFICIALI DI CAMPO</t>
        </is>
      </c>
      <c r="Q280" s="9" t="n"/>
      <c r="R280" s="10" t="n"/>
    </row>
    <row r="281" ht="14" customHeight="1">
      <c r="A281" s="74" t="inlineStr">
        <is>
          <t>Gara N.</t>
        </is>
      </c>
      <c r="B281" s="74" t="inlineStr">
        <is>
          <t>Squadra A</t>
        </is>
      </c>
      <c r="C281" s="10" t="n"/>
      <c r="D281" s="74" t="inlineStr">
        <is>
          <t>Squadra B</t>
        </is>
      </c>
      <c r="E281" s="10" t="n"/>
      <c r="F281" s="74" t="inlineStr">
        <is>
          <t>Giorno</t>
        </is>
      </c>
      <c r="G281" s="74" t="inlineStr">
        <is>
          <t>Data</t>
        </is>
      </c>
      <c r="H281" s="74" t="inlineStr">
        <is>
          <t>Ora</t>
        </is>
      </c>
      <c r="I281" s="10" t="n"/>
      <c r="J281" s="74" t="inlineStr">
        <is>
          <t>Risultato</t>
        </is>
      </c>
      <c r="K281" s="9" t="n"/>
      <c r="L281" s="10" t="n"/>
      <c r="M281" s="199" t="inlineStr">
        <is>
          <t>1o Arbitro</t>
        </is>
      </c>
      <c r="N281" s="199" t="inlineStr">
        <is>
          <t>2o Arbitro</t>
        </is>
      </c>
      <c r="O281" s="199" t="inlineStr">
        <is>
          <t>3o Arbitro/Tirocinante</t>
        </is>
      </c>
      <c r="P281" s="199" t="inlineStr">
        <is>
          <t>Referto</t>
        </is>
      </c>
      <c r="Q281" s="199" t="inlineStr">
        <is>
          <t>Cronometro</t>
        </is>
      </c>
      <c r="R281" s="199" t="inlineStr">
        <is>
          <t>Foglio Tiri</t>
        </is>
      </c>
    </row>
    <row r="282" ht="22" customHeight="1">
      <c r="A282" s="76">
        <f>IF('Calendario B'!A112="","",'Calendario B'!A112)</f>
        <v/>
      </c>
      <c r="B282" s="61">
        <f>IF('Calendario B'!B112="","",'Calendario B'!B112)</f>
        <v/>
      </c>
      <c r="C282" s="62">
        <f>IF('Calendario B'!C112="","",'Calendario B'!C112)</f>
        <v/>
      </c>
      <c r="D282" s="61">
        <f>IF('Calendario B'!D112="","",'Calendario B'!D112)</f>
        <v/>
      </c>
      <c r="E282" s="62">
        <f>IF('Calendario B'!E112="","",'Calendario B'!E112)</f>
        <v/>
      </c>
      <c r="F282" s="63">
        <f>IF('Calendario B'!F112="","",'Calendario B'!F112)</f>
        <v/>
      </c>
      <c r="G282" s="9" t="n"/>
      <c r="H282" s="9" t="n"/>
      <c r="I282" s="10" t="n"/>
      <c r="J282" s="195">
        <f>IF('Calendario B'!J112="","",'Calendario B'!J112)</f>
        <v/>
      </c>
      <c r="K282" s="64" t="inlineStr">
        <is>
          <t>-</t>
        </is>
      </c>
      <c r="L282" s="195">
        <f>IF('Calendario B'!L112="","",'Calendario B'!L112)</f>
        <v/>
      </c>
      <c r="M282" s="196" t="n"/>
      <c r="N282" s="196" t="n"/>
      <c r="O282" s="196" t="n"/>
      <c r="P282" s="196" t="n"/>
      <c r="Q282" s="196" t="n"/>
      <c r="R282" s="196" t="n"/>
    </row>
    <row r="283" ht="15" customHeight="1">
      <c r="A283" s="141" t="n"/>
      <c r="B283" s="69">
        <f>IF('Calendario B'!B113="","",'Calendario B'!B113)</f>
        <v/>
      </c>
      <c r="C283" s="9" t="n"/>
      <c r="D283" s="9" t="n"/>
      <c r="E283" s="9" t="n"/>
      <c r="F283" s="9" t="n"/>
      <c r="G283" s="9" t="n"/>
      <c r="H283" s="10" t="n"/>
      <c r="I283" s="62">
        <f>IF('Calendario B'!I113="","",'Calendario B'!I113)</f>
        <v/>
      </c>
      <c r="J283" s="141" t="n"/>
      <c r="K283" s="141" t="n"/>
      <c r="L283" s="141" t="n"/>
      <c r="M283" s="141" t="n"/>
      <c r="N283" s="141" t="n"/>
      <c r="O283" s="141" t="n"/>
      <c r="P283" s="141" t="n"/>
      <c r="Q283" s="141" t="n"/>
      <c r="R283" s="141" t="n"/>
    </row>
    <row r="284" ht="14" customHeight="1">
      <c r="A284" s="74" t="inlineStr">
        <is>
          <t>Gara N.</t>
        </is>
      </c>
      <c r="B284" s="74" t="inlineStr">
        <is>
          <t>Squadra A</t>
        </is>
      </c>
      <c r="C284" s="10" t="n"/>
      <c r="D284" s="74" t="inlineStr">
        <is>
          <t>Squadra B</t>
        </is>
      </c>
      <c r="E284" s="10" t="n"/>
      <c r="F284" s="74" t="inlineStr">
        <is>
          <t>Giorno</t>
        </is>
      </c>
      <c r="G284" s="74" t="inlineStr">
        <is>
          <t>Data</t>
        </is>
      </c>
      <c r="H284" s="74" t="inlineStr">
        <is>
          <t>Ora</t>
        </is>
      </c>
      <c r="I284" s="10" t="n"/>
      <c r="J284" s="74" t="inlineStr">
        <is>
          <t>Risultato</t>
        </is>
      </c>
      <c r="K284" s="9" t="n"/>
      <c r="L284" s="10" t="n"/>
      <c r="M284" s="199" t="inlineStr">
        <is>
          <t>1o Arbitro</t>
        </is>
      </c>
      <c r="N284" s="199" t="inlineStr">
        <is>
          <t>2o Arbitro</t>
        </is>
      </c>
      <c r="O284" s="199" t="inlineStr">
        <is>
          <t>3o Arbitro/Tirocinante</t>
        </is>
      </c>
      <c r="P284" s="199" t="inlineStr">
        <is>
          <t>Referto</t>
        </is>
      </c>
      <c r="Q284" s="199" t="inlineStr">
        <is>
          <t>Cronometro</t>
        </is>
      </c>
      <c r="R284" s="199" t="inlineStr">
        <is>
          <t>Foglio Tiri</t>
        </is>
      </c>
    </row>
    <row r="285" ht="22" customHeight="1">
      <c r="A285" s="76">
        <f>IF('Calendario B'!A115="","",'Calendario B'!A115)</f>
        <v/>
      </c>
      <c r="B285" s="61">
        <f>IF('Calendario B'!B115="","",'Calendario B'!B115)</f>
        <v/>
      </c>
      <c r="C285" s="62">
        <f>IF('Calendario B'!C115="","",'Calendario B'!C115)</f>
        <v/>
      </c>
      <c r="D285" s="61">
        <f>IF('Calendario B'!D115="","",'Calendario B'!D115)</f>
        <v/>
      </c>
      <c r="E285" s="62">
        <f>IF('Calendario B'!E115="","",'Calendario B'!E115)</f>
        <v/>
      </c>
      <c r="F285" s="63">
        <f>IF('Calendario B'!F115="","",'Calendario B'!F115)</f>
        <v/>
      </c>
      <c r="G285" s="9" t="n"/>
      <c r="H285" s="9" t="n"/>
      <c r="I285" s="10" t="n"/>
      <c r="J285" s="195">
        <f>IF('Calendario B'!J115="","",'Calendario B'!J115)</f>
        <v/>
      </c>
      <c r="K285" s="64" t="inlineStr">
        <is>
          <t>-</t>
        </is>
      </c>
      <c r="L285" s="195">
        <f>IF('Calendario B'!L115="","",'Calendario B'!L115)</f>
        <v/>
      </c>
      <c r="M285" s="196" t="n"/>
      <c r="N285" s="196" t="n"/>
      <c r="O285" s="196" t="n"/>
      <c r="P285" s="196" t="n"/>
      <c r="Q285" s="196" t="n"/>
      <c r="R285" s="196" t="n"/>
    </row>
    <row r="286" ht="15" customHeight="1">
      <c r="A286" s="141" t="n"/>
      <c r="B286" s="69">
        <f>IF('Calendario B'!B116="","",'Calendario B'!B116)</f>
        <v/>
      </c>
      <c r="C286" s="9" t="n"/>
      <c r="D286" s="9" t="n"/>
      <c r="E286" s="9" t="n"/>
      <c r="F286" s="9" t="n"/>
      <c r="G286" s="9" t="n"/>
      <c r="H286" s="10" t="n"/>
      <c r="I286" s="62">
        <f>IF('Calendario B'!I116="","",'Calendario B'!I116)</f>
        <v/>
      </c>
      <c r="J286" s="141" t="n"/>
      <c r="K286" s="141" t="n"/>
      <c r="L286" s="141" t="n"/>
      <c r="M286" s="141" t="n"/>
      <c r="N286" s="141" t="n"/>
      <c r="O286" s="141" t="n"/>
      <c r="P286" s="141" t="n"/>
      <c r="Q286" s="141" t="n"/>
      <c r="R286" s="141" t="n"/>
    </row>
    <row r="287" ht="14" customHeight="1">
      <c r="A287" s="74" t="inlineStr">
        <is>
          <t>Gara N.</t>
        </is>
      </c>
      <c r="B287" s="74" t="inlineStr">
        <is>
          <t>Squadra A</t>
        </is>
      </c>
      <c r="C287" s="10" t="n"/>
      <c r="D287" s="74" t="inlineStr">
        <is>
          <t>Squadra B</t>
        </is>
      </c>
      <c r="E287" s="10" t="n"/>
      <c r="F287" s="74" t="inlineStr">
        <is>
          <t>Giorno</t>
        </is>
      </c>
      <c r="G287" s="74" t="inlineStr">
        <is>
          <t>Data</t>
        </is>
      </c>
      <c r="H287" s="74" t="inlineStr">
        <is>
          <t>Ora</t>
        </is>
      </c>
      <c r="I287" s="10" t="n"/>
      <c r="J287" s="74" t="inlineStr">
        <is>
          <t>Risultato</t>
        </is>
      </c>
      <c r="K287" s="9" t="n"/>
      <c r="L287" s="10" t="n"/>
      <c r="M287" s="199" t="inlineStr">
        <is>
          <t>1o Arbitro</t>
        </is>
      </c>
      <c r="N287" s="199" t="inlineStr">
        <is>
          <t>2o Arbitro</t>
        </is>
      </c>
      <c r="O287" s="199" t="inlineStr">
        <is>
          <t>3o Arbitro/Tirocinante</t>
        </is>
      </c>
      <c r="P287" s="199" t="inlineStr">
        <is>
          <t>Referto</t>
        </is>
      </c>
      <c r="Q287" s="199" t="inlineStr">
        <is>
          <t>Cronometro</t>
        </is>
      </c>
      <c r="R287" s="199" t="inlineStr">
        <is>
          <t>Foglio Tiri</t>
        </is>
      </c>
    </row>
    <row r="288" ht="22" customHeight="1">
      <c r="A288" s="76">
        <f>IF('Calendario B'!A118="","",'Calendario B'!A118)</f>
        <v/>
      </c>
      <c r="B288" s="61">
        <f>IF('Calendario B'!B118="","",'Calendario B'!B118)</f>
        <v/>
      </c>
      <c r="C288" s="62">
        <f>IF('Calendario B'!C118="","",'Calendario B'!C118)</f>
        <v/>
      </c>
      <c r="D288" s="61">
        <f>IF('Calendario B'!D118="","",'Calendario B'!D118)</f>
        <v/>
      </c>
      <c r="E288" s="62">
        <f>IF('Calendario B'!E118="","",'Calendario B'!E118)</f>
        <v/>
      </c>
      <c r="F288" s="63">
        <f>IF('Calendario B'!F118="","",'Calendario B'!F118)</f>
        <v/>
      </c>
      <c r="G288" s="9" t="n"/>
      <c r="H288" s="9" t="n"/>
      <c r="I288" s="10" t="n"/>
      <c r="J288" s="195">
        <f>IF('Calendario B'!J118="","",'Calendario B'!J118)</f>
        <v/>
      </c>
      <c r="K288" s="64" t="inlineStr">
        <is>
          <t>-</t>
        </is>
      </c>
      <c r="L288" s="195">
        <f>IF('Calendario B'!L118="","",'Calendario B'!L118)</f>
        <v/>
      </c>
      <c r="M288" s="196" t="n"/>
      <c r="N288" s="196" t="n"/>
      <c r="O288" s="196" t="n"/>
      <c r="P288" s="196" t="n"/>
      <c r="Q288" s="196" t="n"/>
      <c r="R288" s="196" t="n"/>
    </row>
    <row r="289" ht="15" customHeight="1">
      <c r="A289" s="141" t="n"/>
      <c r="B289" s="69">
        <f>IF('Calendario B'!B119="","",'Calendario B'!B119)</f>
        <v/>
      </c>
      <c r="C289" s="9" t="n"/>
      <c r="D289" s="9" t="n"/>
      <c r="E289" s="9" t="n"/>
      <c r="F289" s="9" t="n"/>
      <c r="G289" s="9" t="n"/>
      <c r="H289" s="10" t="n"/>
      <c r="I289" s="62">
        <f>IF('Calendario B'!I119="","",'Calendario B'!I119)</f>
        <v/>
      </c>
      <c r="J289" s="141" t="n"/>
      <c r="K289" s="141" t="n"/>
      <c r="L289" s="141" t="n"/>
      <c r="M289" s="141" t="n"/>
      <c r="N289" s="141" t="n"/>
      <c r="O289" s="141" t="n"/>
      <c r="P289" s="141" t="n"/>
      <c r="Q289" s="141" t="n"/>
      <c r="R289" s="141" t="n"/>
    </row>
    <row r="290" ht="14" customHeight="1">
      <c r="A290" s="74" t="inlineStr">
        <is>
          <t>Gara N.</t>
        </is>
      </c>
      <c r="B290" s="74" t="inlineStr">
        <is>
          <t>Squadra A</t>
        </is>
      </c>
      <c r="C290" s="10" t="n"/>
      <c r="D290" s="74" t="inlineStr">
        <is>
          <t>Squadra B</t>
        </is>
      </c>
      <c r="E290" s="10" t="n"/>
      <c r="F290" s="74" t="inlineStr">
        <is>
          <t>Giorno</t>
        </is>
      </c>
      <c r="G290" s="74" t="inlineStr">
        <is>
          <t>Data</t>
        </is>
      </c>
      <c r="H290" s="74" t="inlineStr">
        <is>
          <t>Ora</t>
        </is>
      </c>
      <c r="I290" s="10" t="n"/>
      <c r="J290" s="74" t="inlineStr">
        <is>
          <t>Risultato</t>
        </is>
      </c>
      <c r="K290" s="9" t="n"/>
      <c r="L290" s="10" t="n"/>
      <c r="M290" s="199" t="inlineStr">
        <is>
          <t>1o Arbitro</t>
        </is>
      </c>
      <c r="N290" s="199" t="inlineStr">
        <is>
          <t>2o Arbitro</t>
        </is>
      </c>
      <c r="O290" s="199" t="inlineStr">
        <is>
          <t>3o Arbitro/Tirocinante</t>
        </is>
      </c>
      <c r="P290" s="199" t="inlineStr">
        <is>
          <t>Referto</t>
        </is>
      </c>
      <c r="Q290" s="199" t="inlineStr">
        <is>
          <t>Cronometro</t>
        </is>
      </c>
      <c r="R290" s="199" t="inlineStr">
        <is>
          <t>Foglio Tiri</t>
        </is>
      </c>
    </row>
    <row r="291" ht="22" customHeight="1">
      <c r="A291" s="76">
        <f>IF('Calendario B'!A121="","",'Calendario B'!A121)</f>
        <v/>
      </c>
      <c r="B291" s="61">
        <f>IF('Calendario B'!B121="","",'Calendario B'!B121)</f>
        <v/>
      </c>
      <c r="C291" s="62">
        <f>IF('Calendario B'!C121="","",'Calendario B'!C121)</f>
        <v/>
      </c>
      <c r="D291" s="61">
        <f>IF('Calendario B'!D121="","",'Calendario B'!D121)</f>
        <v/>
      </c>
      <c r="E291" s="62">
        <f>IF('Calendario B'!E121="","",'Calendario B'!E121)</f>
        <v/>
      </c>
      <c r="F291" s="63">
        <f>IF('Calendario B'!F121="","",'Calendario B'!F121)</f>
        <v/>
      </c>
      <c r="G291" s="9" t="n"/>
      <c r="H291" s="9" t="n"/>
      <c r="I291" s="10" t="n"/>
      <c r="J291" s="195">
        <f>IF('Calendario B'!J121="","",'Calendario B'!J121)</f>
        <v/>
      </c>
      <c r="K291" s="64" t="inlineStr">
        <is>
          <t>-</t>
        </is>
      </c>
      <c r="L291" s="195">
        <f>IF('Calendario B'!L121="","",'Calendario B'!L121)</f>
        <v/>
      </c>
      <c r="M291" s="196" t="n"/>
      <c r="N291" s="196" t="n"/>
      <c r="O291" s="196" t="n"/>
      <c r="P291" s="196" t="n"/>
      <c r="Q291" s="196" t="n"/>
      <c r="R291" s="196" t="n"/>
    </row>
    <row r="292" ht="15" customHeight="1">
      <c r="A292" s="141" t="n"/>
      <c r="B292" s="69">
        <f>IF('Calendario B'!B122="","",'Calendario B'!B122)</f>
        <v/>
      </c>
      <c r="C292" s="9" t="n"/>
      <c r="D292" s="9" t="n"/>
      <c r="E292" s="9" t="n"/>
      <c r="F292" s="9" t="n"/>
      <c r="G292" s="9" t="n"/>
      <c r="H292" s="10" t="n"/>
      <c r="I292" s="62">
        <f>IF('Calendario B'!I122="","",'Calendario B'!I122)</f>
        <v/>
      </c>
      <c r="J292" s="141" t="n"/>
      <c r="K292" s="141" t="n"/>
      <c r="L292" s="141" t="n"/>
      <c r="M292" s="141" t="n"/>
      <c r="N292" s="141" t="n"/>
      <c r="O292" s="141" t="n"/>
      <c r="P292" s="141" t="n"/>
      <c r="Q292" s="141" t="n"/>
      <c r="R292" s="141" t="n"/>
    </row>
    <row r="293" ht="14" customHeight="1">
      <c r="A293" s="74" t="inlineStr">
        <is>
          <t>Gara N.</t>
        </is>
      </c>
      <c r="B293" s="74" t="inlineStr">
        <is>
          <t>Squadra A</t>
        </is>
      </c>
      <c r="C293" s="10" t="n"/>
      <c r="D293" s="74" t="inlineStr">
        <is>
          <t>Squadra B</t>
        </is>
      </c>
      <c r="E293" s="10" t="n"/>
      <c r="F293" s="74" t="inlineStr">
        <is>
          <t>Giorno</t>
        </is>
      </c>
      <c r="G293" s="74" t="inlineStr">
        <is>
          <t>Data</t>
        </is>
      </c>
      <c r="H293" s="74" t="inlineStr">
        <is>
          <t>Ora</t>
        </is>
      </c>
      <c r="I293" s="10" t="n"/>
      <c r="J293" s="74" t="inlineStr">
        <is>
          <t>Risultato</t>
        </is>
      </c>
      <c r="K293" s="9" t="n"/>
      <c r="L293" s="10" t="n"/>
      <c r="M293" s="199" t="inlineStr">
        <is>
          <t>1o Arbitro</t>
        </is>
      </c>
      <c r="N293" s="199" t="inlineStr">
        <is>
          <t>2o Arbitro</t>
        </is>
      </c>
      <c r="O293" s="199" t="inlineStr">
        <is>
          <t>3o Arbitro/Tirocinante</t>
        </is>
      </c>
      <c r="P293" s="199" t="inlineStr">
        <is>
          <t>Referto</t>
        </is>
      </c>
      <c r="Q293" s="199" t="inlineStr">
        <is>
          <t>Cronometro</t>
        </is>
      </c>
      <c r="R293" s="199" t="inlineStr">
        <is>
          <t>Foglio Tiri</t>
        </is>
      </c>
    </row>
    <row r="294" ht="22" customHeight="1">
      <c r="A294" s="76">
        <f>IF('Calendario B'!A124="","",'Calendario B'!A124)</f>
        <v/>
      </c>
      <c r="B294" s="61">
        <f>IF('Calendario B'!B124="","",'Calendario B'!B124)</f>
        <v/>
      </c>
      <c r="C294" s="62">
        <f>IF('Calendario B'!C124="","",'Calendario B'!C124)</f>
        <v/>
      </c>
      <c r="D294" s="61">
        <f>IF('Calendario B'!D124="","",'Calendario B'!D124)</f>
        <v/>
      </c>
      <c r="E294" s="62">
        <f>IF('Calendario B'!E124="","",'Calendario B'!E124)</f>
        <v/>
      </c>
      <c r="F294" s="63">
        <f>IF('Calendario B'!F124="","",'Calendario B'!F124)</f>
        <v/>
      </c>
      <c r="G294" s="9" t="n"/>
      <c r="H294" s="9" t="n"/>
      <c r="I294" s="10" t="n"/>
      <c r="J294" s="195">
        <f>IF('Calendario B'!J124="","",'Calendario B'!J124)</f>
        <v/>
      </c>
      <c r="K294" s="64" t="inlineStr">
        <is>
          <t>-</t>
        </is>
      </c>
      <c r="L294" s="195">
        <f>IF('Calendario B'!L124="","",'Calendario B'!L124)</f>
        <v/>
      </c>
      <c r="M294" s="196" t="n"/>
      <c r="N294" s="196" t="n"/>
      <c r="O294" s="196" t="n"/>
      <c r="P294" s="196" t="n"/>
      <c r="Q294" s="196" t="n"/>
      <c r="R294" s="196" t="n"/>
    </row>
    <row r="295" ht="15" customHeight="1">
      <c r="A295" s="141" t="n"/>
      <c r="B295" s="69">
        <f>IF('Calendario B'!B125="","",'Calendario B'!B125)</f>
        <v/>
      </c>
      <c r="C295" s="9" t="n"/>
      <c r="D295" s="9" t="n"/>
      <c r="E295" s="9" t="n"/>
      <c r="F295" s="9" t="n"/>
      <c r="G295" s="9" t="n"/>
      <c r="H295" s="10" t="n"/>
      <c r="I295" s="62">
        <f>IF('Calendario B'!I125="","",'Calendario B'!I125)</f>
        <v/>
      </c>
      <c r="J295" s="141" t="n"/>
      <c r="K295" s="141" t="n"/>
      <c r="L295" s="141" t="n"/>
      <c r="M295" s="141" t="n"/>
      <c r="N295" s="141" t="n"/>
      <c r="O295" s="141" t="n"/>
      <c r="P295" s="141" t="n"/>
      <c r="Q295" s="141" t="n"/>
      <c r="R295" s="141" t="n"/>
    </row>
    <row r="297" ht="20" customHeight="1">
      <c r="A297" s="71">
        <f>IF('Calendario B'!A127="","",'Calendario B'!A127)</f>
        <v/>
      </c>
      <c r="B297" s="72">
        <f>IF('Calendario B'!B127="","",'Calendario B'!B127)</f>
        <v/>
      </c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10" t="n"/>
      <c r="M297" s="198" t="inlineStr">
        <is>
          <t>ARBITRI</t>
        </is>
      </c>
      <c r="N297" s="9" t="n"/>
      <c r="O297" s="10" t="n"/>
      <c r="P297" s="198" t="inlineStr">
        <is>
          <t>UFFICIALI DI CAMPO</t>
        </is>
      </c>
      <c r="Q297" s="9" t="n"/>
      <c r="R297" s="10" t="n"/>
    </row>
    <row r="298" ht="14" customHeight="1">
      <c r="A298" s="74" t="inlineStr">
        <is>
          <t>Gara N.</t>
        </is>
      </c>
      <c r="B298" s="74" t="inlineStr">
        <is>
          <t>Squadra A</t>
        </is>
      </c>
      <c r="C298" s="10" t="n"/>
      <c r="D298" s="74" t="inlineStr">
        <is>
          <t>Squadra B</t>
        </is>
      </c>
      <c r="E298" s="10" t="n"/>
      <c r="F298" s="74" t="inlineStr">
        <is>
          <t>Giorno</t>
        </is>
      </c>
      <c r="G298" s="74" t="inlineStr">
        <is>
          <t>Data</t>
        </is>
      </c>
      <c r="H298" s="74" t="inlineStr">
        <is>
          <t>Ora</t>
        </is>
      </c>
      <c r="I298" s="10" t="n"/>
      <c r="J298" s="74" t="inlineStr">
        <is>
          <t>Risultato</t>
        </is>
      </c>
      <c r="K298" s="9" t="n"/>
      <c r="L298" s="10" t="n"/>
      <c r="M298" s="199" t="inlineStr">
        <is>
          <t>1o Arbitro</t>
        </is>
      </c>
      <c r="N298" s="199" t="inlineStr">
        <is>
          <t>2o Arbitro</t>
        </is>
      </c>
      <c r="O298" s="199" t="inlineStr">
        <is>
          <t>3o Arbitro/Tirocinante</t>
        </is>
      </c>
      <c r="P298" s="199" t="inlineStr">
        <is>
          <t>Referto</t>
        </is>
      </c>
      <c r="Q298" s="199" t="inlineStr">
        <is>
          <t>Cronometro</t>
        </is>
      </c>
      <c r="R298" s="199" t="inlineStr">
        <is>
          <t>Foglio Tiri</t>
        </is>
      </c>
    </row>
    <row r="299" ht="22" customHeight="1">
      <c r="A299" s="76">
        <f>IF('Calendario B'!A129="","",'Calendario B'!A129)</f>
        <v/>
      </c>
      <c r="B299" s="61">
        <f>IF('Calendario B'!B129="","",'Calendario B'!B129)</f>
        <v/>
      </c>
      <c r="C299" s="62">
        <f>IF('Calendario B'!C129="","",'Calendario B'!C129)</f>
        <v/>
      </c>
      <c r="D299" s="61">
        <f>IF('Calendario B'!D129="","",'Calendario B'!D129)</f>
        <v/>
      </c>
      <c r="E299" s="62">
        <f>IF('Calendario B'!E129="","",'Calendario B'!E129)</f>
        <v/>
      </c>
      <c r="F299" s="63">
        <f>IF('Calendario B'!F129="","",'Calendario B'!F129)</f>
        <v/>
      </c>
      <c r="G299" s="9" t="n"/>
      <c r="H299" s="9" t="n"/>
      <c r="I299" s="10" t="n"/>
      <c r="J299" s="195">
        <f>IF('Calendario B'!J129="","",'Calendario B'!J129)</f>
        <v/>
      </c>
      <c r="K299" s="64" t="inlineStr">
        <is>
          <t>-</t>
        </is>
      </c>
      <c r="L299" s="195">
        <f>IF('Calendario B'!L129="","",'Calendario B'!L129)</f>
        <v/>
      </c>
      <c r="M299" s="196" t="n"/>
      <c r="N299" s="196" t="n"/>
      <c r="O299" s="196" t="n"/>
      <c r="P299" s="196" t="n"/>
      <c r="Q299" s="196" t="n"/>
      <c r="R299" s="196" t="n"/>
    </row>
    <row r="300" ht="15" customHeight="1">
      <c r="A300" s="141" t="n"/>
      <c r="B300" s="69">
        <f>IF('Calendario B'!B130="","",'Calendario B'!B130)</f>
        <v/>
      </c>
      <c r="C300" s="9" t="n"/>
      <c r="D300" s="9" t="n"/>
      <c r="E300" s="9" t="n"/>
      <c r="F300" s="9" t="n"/>
      <c r="G300" s="9" t="n"/>
      <c r="H300" s="10" t="n"/>
      <c r="I300" s="62">
        <f>IF('Calendario B'!I130="","",'Calendario B'!I130)</f>
        <v/>
      </c>
      <c r="J300" s="141" t="n"/>
      <c r="K300" s="141" t="n"/>
      <c r="L300" s="141" t="n"/>
      <c r="M300" s="141" t="n"/>
      <c r="N300" s="141" t="n"/>
      <c r="O300" s="141" t="n"/>
      <c r="P300" s="141" t="n"/>
      <c r="Q300" s="141" t="n"/>
      <c r="R300" s="141" t="n"/>
    </row>
    <row r="301" ht="14" customHeight="1">
      <c r="A301" s="74" t="inlineStr">
        <is>
          <t>Gara N.</t>
        </is>
      </c>
      <c r="B301" s="74" t="inlineStr">
        <is>
          <t>Squadra A</t>
        </is>
      </c>
      <c r="C301" s="10" t="n"/>
      <c r="D301" s="74" t="inlineStr">
        <is>
          <t>Squadra B</t>
        </is>
      </c>
      <c r="E301" s="10" t="n"/>
      <c r="F301" s="74" t="inlineStr">
        <is>
          <t>Giorno</t>
        </is>
      </c>
      <c r="G301" s="74" t="inlineStr">
        <is>
          <t>Data</t>
        </is>
      </c>
      <c r="H301" s="74" t="inlineStr">
        <is>
          <t>Ora</t>
        </is>
      </c>
      <c r="I301" s="10" t="n"/>
      <c r="J301" s="74" t="inlineStr">
        <is>
          <t>Risultato</t>
        </is>
      </c>
      <c r="K301" s="9" t="n"/>
      <c r="L301" s="10" t="n"/>
      <c r="M301" s="199" t="inlineStr">
        <is>
          <t>1o Arbitro</t>
        </is>
      </c>
      <c r="N301" s="199" t="inlineStr">
        <is>
          <t>2o Arbitro</t>
        </is>
      </c>
      <c r="O301" s="199" t="inlineStr">
        <is>
          <t>3o Arbitro/Tirocinante</t>
        </is>
      </c>
      <c r="P301" s="199" t="inlineStr">
        <is>
          <t>Referto</t>
        </is>
      </c>
      <c r="Q301" s="199" t="inlineStr">
        <is>
          <t>Cronometro</t>
        </is>
      </c>
      <c r="R301" s="199" t="inlineStr">
        <is>
          <t>Foglio Tiri</t>
        </is>
      </c>
    </row>
    <row r="302" ht="22" customHeight="1">
      <c r="A302" s="76">
        <f>IF('Calendario B'!A132="","",'Calendario B'!A132)</f>
        <v/>
      </c>
      <c r="B302" s="61">
        <f>IF('Calendario B'!B132="","",'Calendario B'!B132)</f>
        <v/>
      </c>
      <c r="C302" s="62">
        <f>IF('Calendario B'!C132="","",'Calendario B'!C132)</f>
        <v/>
      </c>
      <c r="D302" s="61">
        <f>IF('Calendario B'!D132="","",'Calendario B'!D132)</f>
        <v/>
      </c>
      <c r="E302" s="62">
        <f>IF('Calendario B'!E132="","",'Calendario B'!E132)</f>
        <v/>
      </c>
      <c r="F302" s="63">
        <f>IF('Calendario B'!F132="","",'Calendario B'!F132)</f>
        <v/>
      </c>
      <c r="G302" s="9" t="n"/>
      <c r="H302" s="9" t="n"/>
      <c r="I302" s="10" t="n"/>
      <c r="J302" s="195">
        <f>IF('Calendario B'!J132="","",'Calendario B'!J132)</f>
        <v/>
      </c>
      <c r="K302" s="64" t="inlineStr">
        <is>
          <t>-</t>
        </is>
      </c>
      <c r="L302" s="195">
        <f>IF('Calendario B'!L132="","",'Calendario B'!L132)</f>
        <v/>
      </c>
      <c r="M302" s="196" t="n"/>
      <c r="N302" s="196" t="n"/>
      <c r="O302" s="196" t="n"/>
      <c r="P302" s="196" t="n"/>
      <c r="Q302" s="196" t="n"/>
      <c r="R302" s="196" t="n"/>
    </row>
    <row r="303" ht="15" customHeight="1">
      <c r="A303" s="141" t="n"/>
      <c r="B303" s="69">
        <f>IF('Calendario B'!B133="","",'Calendario B'!B133)</f>
        <v/>
      </c>
      <c r="C303" s="9" t="n"/>
      <c r="D303" s="9" t="n"/>
      <c r="E303" s="9" t="n"/>
      <c r="F303" s="9" t="n"/>
      <c r="G303" s="9" t="n"/>
      <c r="H303" s="10" t="n"/>
      <c r="I303" s="62">
        <f>IF('Calendario B'!I133="","",'Calendario B'!I133)</f>
        <v/>
      </c>
      <c r="J303" s="141" t="n"/>
      <c r="K303" s="141" t="n"/>
      <c r="L303" s="141" t="n"/>
      <c r="M303" s="141" t="n"/>
      <c r="N303" s="141" t="n"/>
      <c r="O303" s="141" t="n"/>
      <c r="P303" s="141" t="n"/>
      <c r="Q303" s="141" t="n"/>
      <c r="R303" s="141" t="n"/>
    </row>
    <row r="304" ht="14" customHeight="1">
      <c r="A304" s="74" t="inlineStr">
        <is>
          <t>Gara N.</t>
        </is>
      </c>
      <c r="B304" s="74" t="inlineStr">
        <is>
          <t>Squadra A</t>
        </is>
      </c>
      <c r="C304" s="10" t="n"/>
      <c r="D304" s="74" t="inlineStr">
        <is>
          <t>Squadra B</t>
        </is>
      </c>
      <c r="E304" s="10" t="n"/>
      <c r="F304" s="74" t="inlineStr">
        <is>
          <t>Giorno</t>
        </is>
      </c>
      <c r="G304" s="74" t="inlineStr">
        <is>
          <t>Data</t>
        </is>
      </c>
      <c r="H304" s="74" t="inlineStr">
        <is>
          <t>Ora</t>
        </is>
      </c>
      <c r="I304" s="10" t="n"/>
      <c r="J304" s="74" t="inlineStr">
        <is>
          <t>Risultato</t>
        </is>
      </c>
      <c r="K304" s="9" t="n"/>
      <c r="L304" s="10" t="n"/>
      <c r="M304" s="199" t="inlineStr">
        <is>
          <t>1o Arbitro</t>
        </is>
      </c>
      <c r="N304" s="199" t="inlineStr">
        <is>
          <t>2o Arbitro</t>
        </is>
      </c>
      <c r="O304" s="199" t="inlineStr">
        <is>
          <t>3o Arbitro/Tirocinante</t>
        </is>
      </c>
      <c r="P304" s="199" t="inlineStr">
        <is>
          <t>Referto</t>
        </is>
      </c>
      <c r="Q304" s="199" t="inlineStr">
        <is>
          <t>Cronometro</t>
        </is>
      </c>
      <c r="R304" s="199" t="inlineStr">
        <is>
          <t>Foglio Tiri</t>
        </is>
      </c>
    </row>
    <row r="305" ht="22" customHeight="1">
      <c r="A305" s="76">
        <f>IF('Calendario B'!A135="","",'Calendario B'!A135)</f>
        <v/>
      </c>
      <c r="B305" s="61">
        <f>IF('Calendario B'!B135="","",'Calendario B'!B135)</f>
        <v/>
      </c>
      <c r="C305" s="62">
        <f>IF('Calendario B'!C135="","",'Calendario B'!C135)</f>
        <v/>
      </c>
      <c r="D305" s="61">
        <f>IF('Calendario B'!D135="","",'Calendario B'!D135)</f>
        <v/>
      </c>
      <c r="E305" s="62">
        <f>IF('Calendario B'!E135="","",'Calendario B'!E135)</f>
        <v/>
      </c>
      <c r="F305" s="63">
        <f>IF('Calendario B'!F135="","",'Calendario B'!F135)</f>
        <v/>
      </c>
      <c r="G305" s="9" t="n"/>
      <c r="H305" s="9" t="n"/>
      <c r="I305" s="10" t="n"/>
      <c r="J305" s="195">
        <f>IF('Calendario B'!J135="","",'Calendario B'!J135)</f>
        <v/>
      </c>
      <c r="K305" s="64" t="inlineStr">
        <is>
          <t>-</t>
        </is>
      </c>
      <c r="L305" s="195">
        <f>IF('Calendario B'!L135="","",'Calendario B'!L135)</f>
        <v/>
      </c>
      <c r="M305" s="196" t="n"/>
      <c r="N305" s="196" t="n"/>
      <c r="O305" s="196" t="n"/>
      <c r="P305" s="196" t="n"/>
      <c r="Q305" s="196" t="n"/>
      <c r="R305" s="196" t="n"/>
    </row>
    <row r="306" ht="15" customHeight="1">
      <c r="A306" s="141" t="n"/>
      <c r="B306" s="69">
        <f>IF('Calendario B'!B136="","",'Calendario B'!B136)</f>
        <v/>
      </c>
      <c r="C306" s="9" t="n"/>
      <c r="D306" s="9" t="n"/>
      <c r="E306" s="9" t="n"/>
      <c r="F306" s="9" t="n"/>
      <c r="G306" s="9" t="n"/>
      <c r="H306" s="10" t="n"/>
      <c r="I306" s="62">
        <f>IF('Calendario B'!I136="","",'Calendario B'!I136)</f>
        <v/>
      </c>
      <c r="J306" s="141" t="n"/>
      <c r="K306" s="141" t="n"/>
      <c r="L306" s="141" t="n"/>
      <c r="M306" s="141" t="n"/>
      <c r="N306" s="141" t="n"/>
      <c r="O306" s="141" t="n"/>
      <c r="P306" s="141" t="n"/>
      <c r="Q306" s="141" t="n"/>
      <c r="R306" s="141" t="n"/>
    </row>
    <row r="307" ht="14" customHeight="1">
      <c r="A307" s="74" t="inlineStr">
        <is>
          <t>Gara N.</t>
        </is>
      </c>
      <c r="B307" s="74" t="inlineStr">
        <is>
          <t>Squadra A</t>
        </is>
      </c>
      <c r="C307" s="10" t="n"/>
      <c r="D307" s="74" t="inlineStr">
        <is>
          <t>Squadra B</t>
        </is>
      </c>
      <c r="E307" s="10" t="n"/>
      <c r="F307" s="74" t="inlineStr">
        <is>
          <t>Giorno</t>
        </is>
      </c>
      <c r="G307" s="74" t="inlineStr">
        <is>
          <t>Data</t>
        </is>
      </c>
      <c r="H307" s="74" t="inlineStr">
        <is>
          <t>Ora</t>
        </is>
      </c>
      <c r="I307" s="10" t="n"/>
      <c r="J307" s="74" t="inlineStr">
        <is>
          <t>Risultato</t>
        </is>
      </c>
      <c r="K307" s="9" t="n"/>
      <c r="L307" s="10" t="n"/>
      <c r="M307" s="199" t="inlineStr">
        <is>
          <t>1o Arbitro</t>
        </is>
      </c>
      <c r="N307" s="199" t="inlineStr">
        <is>
          <t>2o Arbitro</t>
        </is>
      </c>
      <c r="O307" s="199" t="inlineStr">
        <is>
          <t>3o Arbitro/Tirocinante</t>
        </is>
      </c>
      <c r="P307" s="199" t="inlineStr">
        <is>
          <t>Referto</t>
        </is>
      </c>
      <c r="Q307" s="199" t="inlineStr">
        <is>
          <t>Cronometro</t>
        </is>
      </c>
      <c r="R307" s="199" t="inlineStr">
        <is>
          <t>Foglio Tiri</t>
        </is>
      </c>
    </row>
    <row r="308" ht="22" customHeight="1">
      <c r="A308" s="76">
        <f>IF('Calendario B'!A138="","",'Calendario B'!A138)</f>
        <v/>
      </c>
      <c r="B308" s="61">
        <f>IF('Calendario B'!B138="","",'Calendario B'!B138)</f>
        <v/>
      </c>
      <c r="C308" s="62">
        <f>IF('Calendario B'!C138="","",'Calendario B'!C138)</f>
        <v/>
      </c>
      <c r="D308" s="61">
        <f>IF('Calendario B'!D138="","",'Calendario B'!D138)</f>
        <v/>
      </c>
      <c r="E308" s="62">
        <f>IF('Calendario B'!E138="","",'Calendario B'!E138)</f>
        <v/>
      </c>
      <c r="F308" s="63">
        <f>IF('Calendario B'!F138="","",'Calendario B'!F138)</f>
        <v/>
      </c>
      <c r="G308" s="9" t="n"/>
      <c r="H308" s="9" t="n"/>
      <c r="I308" s="10" t="n"/>
      <c r="J308" s="195">
        <f>IF('Calendario B'!J138="","",'Calendario B'!J138)</f>
        <v/>
      </c>
      <c r="K308" s="64" t="inlineStr">
        <is>
          <t>-</t>
        </is>
      </c>
      <c r="L308" s="195">
        <f>IF('Calendario B'!L138="","",'Calendario B'!L138)</f>
        <v/>
      </c>
      <c r="M308" s="196" t="n"/>
      <c r="N308" s="196" t="n"/>
      <c r="O308" s="196" t="n"/>
      <c r="P308" s="196" t="n"/>
      <c r="Q308" s="196" t="n"/>
      <c r="R308" s="196" t="n"/>
    </row>
    <row r="309" ht="15" customHeight="1">
      <c r="A309" s="141" t="n"/>
      <c r="B309" s="69">
        <f>IF('Calendario B'!B139="","",'Calendario B'!B139)</f>
        <v/>
      </c>
      <c r="C309" s="9" t="n"/>
      <c r="D309" s="9" t="n"/>
      <c r="E309" s="9" t="n"/>
      <c r="F309" s="9" t="n"/>
      <c r="G309" s="9" t="n"/>
      <c r="H309" s="10" t="n"/>
      <c r="I309" s="62">
        <f>IF('Calendario B'!I139="","",'Calendario B'!I139)</f>
        <v/>
      </c>
      <c r="J309" s="141" t="n"/>
      <c r="K309" s="141" t="n"/>
      <c r="L309" s="141" t="n"/>
      <c r="M309" s="141" t="n"/>
      <c r="N309" s="141" t="n"/>
      <c r="O309" s="141" t="n"/>
      <c r="P309" s="141" t="n"/>
      <c r="Q309" s="141" t="n"/>
      <c r="R309" s="141" t="n"/>
    </row>
    <row r="310" ht="14" customHeight="1">
      <c r="A310" s="74" t="inlineStr">
        <is>
          <t>Gara N.</t>
        </is>
      </c>
      <c r="B310" s="74" t="inlineStr">
        <is>
          <t>Squadra A</t>
        </is>
      </c>
      <c r="C310" s="10" t="n"/>
      <c r="D310" s="74" t="inlineStr">
        <is>
          <t>Squadra B</t>
        </is>
      </c>
      <c r="E310" s="10" t="n"/>
      <c r="F310" s="74" t="inlineStr">
        <is>
          <t>Giorno</t>
        </is>
      </c>
      <c r="G310" s="74" t="inlineStr">
        <is>
          <t>Data</t>
        </is>
      </c>
      <c r="H310" s="74" t="inlineStr">
        <is>
          <t>Ora</t>
        </is>
      </c>
      <c r="I310" s="10" t="n"/>
      <c r="J310" s="74" t="inlineStr">
        <is>
          <t>Risultato</t>
        </is>
      </c>
      <c r="K310" s="9" t="n"/>
      <c r="L310" s="10" t="n"/>
      <c r="M310" s="199" t="inlineStr">
        <is>
          <t>1o Arbitro</t>
        </is>
      </c>
      <c r="N310" s="199" t="inlineStr">
        <is>
          <t>2o Arbitro</t>
        </is>
      </c>
      <c r="O310" s="199" t="inlineStr">
        <is>
          <t>3o Arbitro/Tirocinante</t>
        </is>
      </c>
      <c r="P310" s="199" t="inlineStr">
        <is>
          <t>Referto</t>
        </is>
      </c>
      <c r="Q310" s="199" t="inlineStr">
        <is>
          <t>Cronometro</t>
        </is>
      </c>
      <c r="R310" s="199" t="inlineStr">
        <is>
          <t>Foglio Tiri</t>
        </is>
      </c>
    </row>
    <row r="311" ht="22" customHeight="1">
      <c r="A311" s="76">
        <f>IF('Calendario B'!A141="","",'Calendario B'!A141)</f>
        <v/>
      </c>
      <c r="B311" s="61">
        <f>IF('Calendario B'!B141="","",'Calendario B'!B141)</f>
        <v/>
      </c>
      <c r="C311" s="62">
        <f>IF('Calendario B'!C141="","",'Calendario B'!C141)</f>
        <v/>
      </c>
      <c r="D311" s="61">
        <f>IF('Calendario B'!D141="","",'Calendario B'!D141)</f>
        <v/>
      </c>
      <c r="E311" s="62">
        <f>IF('Calendario B'!E141="","",'Calendario B'!E141)</f>
        <v/>
      </c>
      <c r="F311" s="63">
        <f>IF('Calendario B'!F141="","",'Calendario B'!F141)</f>
        <v/>
      </c>
      <c r="G311" s="9" t="n"/>
      <c r="H311" s="9" t="n"/>
      <c r="I311" s="10" t="n"/>
      <c r="J311" s="195">
        <f>IF('Calendario B'!J141="","",'Calendario B'!J141)</f>
        <v/>
      </c>
      <c r="K311" s="64" t="inlineStr">
        <is>
          <t>-</t>
        </is>
      </c>
      <c r="L311" s="195">
        <f>IF('Calendario B'!L141="","",'Calendario B'!L141)</f>
        <v/>
      </c>
      <c r="M311" s="196" t="n"/>
      <c r="N311" s="196" t="n"/>
      <c r="O311" s="196" t="n"/>
      <c r="P311" s="196" t="n"/>
      <c r="Q311" s="196" t="n"/>
      <c r="R311" s="196" t="n"/>
    </row>
    <row r="312" ht="15" customHeight="1">
      <c r="A312" s="141" t="n"/>
      <c r="B312" s="69">
        <f>IF('Calendario B'!B142="","",'Calendario B'!B142)</f>
        <v/>
      </c>
      <c r="C312" s="9" t="n"/>
      <c r="D312" s="9" t="n"/>
      <c r="E312" s="9" t="n"/>
      <c r="F312" s="9" t="n"/>
      <c r="G312" s="9" t="n"/>
      <c r="H312" s="10" t="n"/>
      <c r="I312" s="62">
        <f>IF('Calendario B'!I142="","",'Calendario B'!I142)</f>
        <v/>
      </c>
      <c r="J312" s="141" t="n"/>
      <c r="K312" s="141" t="n"/>
      <c r="L312" s="141" t="n"/>
      <c r="M312" s="141" t="n"/>
      <c r="N312" s="141" t="n"/>
      <c r="O312" s="141" t="n"/>
      <c r="P312" s="141" t="n"/>
      <c r="Q312" s="141" t="n"/>
      <c r="R312" s="141" t="n"/>
    </row>
    <row r="314" ht="20" customHeight="1">
      <c r="A314" s="71">
        <f>IF('Calendario B'!A144="","",'Calendario B'!A144)</f>
        <v/>
      </c>
      <c r="B314" s="72">
        <f>IF('Calendario B'!B144="","",'Calendario B'!B144)</f>
        <v/>
      </c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10" t="n"/>
      <c r="M314" s="198" t="inlineStr">
        <is>
          <t>ARBITRI</t>
        </is>
      </c>
      <c r="N314" s="9" t="n"/>
      <c r="O314" s="10" t="n"/>
      <c r="P314" s="198" t="inlineStr">
        <is>
          <t>UFFICIALI DI CAMPO</t>
        </is>
      </c>
      <c r="Q314" s="9" t="n"/>
      <c r="R314" s="10" t="n"/>
    </row>
    <row r="315" ht="14" customHeight="1">
      <c r="A315" s="74" t="inlineStr">
        <is>
          <t>Gara N.</t>
        </is>
      </c>
      <c r="B315" s="74" t="inlineStr">
        <is>
          <t>Squadra A</t>
        </is>
      </c>
      <c r="C315" s="10" t="n"/>
      <c r="D315" s="74" t="inlineStr">
        <is>
          <t>Squadra B</t>
        </is>
      </c>
      <c r="E315" s="10" t="n"/>
      <c r="F315" s="74" t="inlineStr">
        <is>
          <t>Giorno</t>
        </is>
      </c>
      <c r="G315" s="74" t="inlineStr">
        <is>
          <t>Data</t>
        </is>
      </c>
      <c r="H315" s="74" t="inlineStr">
        <is>
          <t>Ora</t>
        </is>
      </c>
      <c r="I315" s="10" t="n"/>
      <c r="J315" s="74" t="inlineStr">
        <is>
          <t>Risultato</t>
        </is>
      </c>
      <c r="K315" s="9" t="n"/>
      <c r="L315" s="10" t="n"/>
      <c r="M315" s="199" t="inlineStr">
        <is>
          <t>1o Arbitro</t>
        </is>
      </c>
      <c r="N315" s="199" t="inlineStr">
        <is>
          <t>2o Arbitro</t>
        </is>
      </c>
      <c r="O315" s="199" t="inlineStr">
        <is>
          <t>3o Arbitro/Tirocinante</t>
        </is>
      </c>
      <c r="P315" s="199" t="inlineStr">
        <is>
          <t>Referto</t>
        </is>
      </c>
      <c r="Q315" s="199" t="inlineStr">
        <is>
          <t>Cronometro</t>
        </is>
      </c>
      <c r="R315" s="199" t="inlineStr">
        <is>
          <t>Foglio Tiri</t>
        </is>
      </c>
    </row>
    <row r="316" ht="22" customHeight="1">
      <c r="A316" s="76">
        <f>IF('Calendario B'!A146="","",'Calendario B'!A146)</f>
        <v/>
      </c>
      <c r="B316" s="61">
        <f>IF('Calendario B'!B146="","",'Calendario B'!B146)</f>
        <v/>
      </c>
      <c r="C316" s="62">
        <f>IF('Calendario B'!C146="","",'Calendario B'!C146)</f>
        <v/>
      </c>
      <c r="D316" s="61">
        <f>IF('Calendario B'!D146="","",'Calendario B'!D146)</f>
        <v/>
      </c>
      <c r="E316" s="62">
        <f>IF('Calendario B'!E146="","",'Calendario B'!E146)</f>
        <v/>
      </c>
      <c r="F316" s="63">
        <f>IF('Calendario B'!F146="","",'Calendario B'!F146)</f>
        <v/>
      </c>
      <c r="G316" s="9" t="n"/>
      <c r="H316" s="9" t="n"/>
      <c r="I316" s="10" t="n"/>
      <c r="J316" s="195">
        <f>IF('Calendario B'!J146="","",'Calendario B'!J146)</f>
        <v/>
      </c>
      <c r="K316" s="64" t="inlineStr">
        <is>
          <t>-</t>
        </is>
      </c>
      <c r="L316" s="195">
        <f>IF('Calendario B'!L146="","",'Calendario B'!L146)</f>
        <v/>
      </c>
      <c r="M316" s="196" t="n"/>
      <c r="N316" s="196" t="n"/>
      <c r="O316" s="196" t="n"/>
      <c r="P316" s="196" t="n"/>
      <c r="Q316" s="196" t="n"/>
      <c r="R316" s="196" t="n"/>
    </row>
    <row r="317" ht="15" customHeight="1">
      <c r="A317" s="141" t="n"/>
      <c r="B317" s="69">
        <f>IF('Calendario B'!B147="","",'Calendario B'!B147)</f>
        <v/>
      </c>
      <c r="C317" s="9" t="n"/>
      <c r="D317" s="9" t="n"/>
      <c r="E317" s="9" t="n"/>
      <c r="F317" s="9" t="n"/>
      <c r="G317" s="9" t="n"/>
      <c r="H317" s="10" t="n"/>
      <c r="I317" s="62">
        <f>IF('Calendario B'!I147="","",'Calendario B'!I147)</f>
        <v/>
      </c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</row>
    <row r="318" ht="14" customHeight="1">
      <c r="A318" s="74" t="inlineStr">
        <is>
          <t>Gara N.</t>
        </is>
      </c>
      <c r="B318" s="74" t="inlineStr">
        <is>
          <t>Squadra A</t>
        </is>
      </c>
      <c r="C318" s="10" t="n"/>
      <c r="D318" s="74" t="inlineStr">
        <is>
          <t>Squadra B</t>
        </is>
      </c>
      <c r="E318" s="10" t="n"/>
      <c r="F318" s="74" t="inlineStr">
        <is>
          <t>Giorno</t>
        </is>
      </c>
      <c r="G318" s="74" t="inlineStr">
        <is>
          <t>Data</t>
        </is>
      </c>
      <c r="H318" s="74" t="inlineStr">
        <is>
          <t>Ora</t>
        </is>
      </c>
      <c r="I318" s="10" t="n"/>
      <c r="J318" s="74" t="inlineStr">
        <is>
          <t>Risultato</t>
        </is>
      </c>
      <c r="K318" s="9" t="n"/>
      <c r="L318" s="10" t="n"/>
      <c r="M318" s="199" t="inlineStr">
        <is>
          <t>1o Arbitro</t>
        </is>
      </c>
      <c r="N318" s="199" t="inlineStr">
        <is>
          <t>2o Arbitro</t>
        </is>
      </c>
      <c r="O318" s="199" t="inlineStr">
        <is>
          <t>3o Arbitro/Tirocinante</t>
        </is>
      </c>
      <c r="P318" s="199" t="inlineStr">
        <is>
          <t>Referto</t>
        </is>
      </c>
      <c r="Q318" s="199" t="inlineStr">
        <is>
          <t>Cronometro</t>
        </is>
      </c>
      <c r="R318" s="199" t="inlineStr">
        <is>
          <t>Foglio Tiri</t>
        </is>
      </c>
    </row>
    <row r="319" ht="22" customHeight="1">
      <c r="A319" s="76">
        <f>IF('Calendario B'!A149="","",'Calendario B'!A149)</f>
        <v/>
      </c>
      <c r="B319" s="61">
        <f>IF('Calendario B'!B149="","",'Calendario B'!B149)</f>
        <v/>
      </c>
      <c r="C319" s="62">
        <f>IF('Calendario B'!C149="","",'Calendario B'!C149)</f>
        <v/>
      </c>
      <c r="D319" s="61">
        <f>IF('Calendario B'!D149="","",'Calendario B'!D149)</f>
        <v/>
      </c>
      <c r="E319" s="62">
        <f>IF('Calendario B'!E149="","",'Calendario B'!E149)</f>
        <v/>
      </c>
      <c r="F319" s="63">
        <f>IF('Calendario B'!F149="","",'Calendario B'!F149)</f>
        <v/>
      </c>
      <c r="G319" s="9" t="n"/>
      <c r="H319" s="9" t="n"/>
      <c r="I319" s="10" t="n"/>
      <c r="J319" s="195">
        <f>IF('Calendario B'!J149="","",'Calendario B'!J149)</f>
        <v/>
      </c>
      <c r="K319" s="64" t="inlineStr">
        <is>
          <t>-</t>
        </is>
      </c>
      <c r="L319" s="195">
        <f>IF('Calendario B'!L149="","",'Calendario B'!L149)</f>
        <v/>
      </c>
      <c r="M319" s="196" t="n"/>
      <c r="N319" s="196" t="n"/>
      <c r="O319" s="196" t="n"/>
      <c r="P319" s="196" t="n"/>
      <c r="Q319" s="196" t="n"/>
      <c r="R319" s="196" t="n"/>
    </row>
    <row r="320" ht="15" customHeight="1">
      <c r="A320" s="141" t="n"/>
      <c r="B320" s="69">
        <f>IF('Calendario B'!B150="","",'Calendario B'!B150)</f>
        <v/>
      </c>
      <c r="C320" s="9" t="n"/>
      <c r="D320" s="9" t="n"/>
      <c r="E320" s="9" t="n"/>
      <c r="F320" s="9" t="n"/>
      <c r="G320" s="9" t="n"/>
      <c r="H320" s="10" t="n"/>
      <c r="I320" s="62">
        <f>IF('Calendario B'!I150="","",'Calendario B'!I150)</f>
        <v/>
      </c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</row>
    <row r="321" ht="14" customHeight="1">
      <c r="A321" s="74" t="inlineStr">
        <is>
          <t>Gara N.</t>
        </is>
      </c>
      <c r="B321" s="74" t="inlineStr">
        <is>
          <t>Squadra A</t>
        </is>
      </c>
      <c r="C321" s="10" t="n"/>
      <c r="D321" s="74" t="inlineStr">
        <is>
          <t>Squadra B</t>
        </is>
      </c>
      <c r="E321" s="10" t="n"/>
      <c r="F321" s="74" t="inlineStr">
        <is>
          <t>Giorno</t>
        </is>
      </c>
      <c r="G321" s="74" t="inlineStr">
        <is>
          <t>Data</t>
        </is>
      </c>
      <c r="H321" s="74" t="inlineStr">
        <is>
          <t>Ora</t>
        </is>
      </c>
      <c r="I321" s="10" t="n"/>
      <c r="J321" s="74" t="inlineStr">
        <is>
          <t>Risultato</t>
        </is>
      </c>
      <c r="K321" s="9" t="n"/>
      <c r="L321" s="10" t="n"/>
      <c r="M321" s="199" t="inlineStr">
        <is>
          <t>1o Arbitro</t>
        </is>
      </c>
      <c r="N321" s="199" t="inlineStr">
        <is>
          <t>2o Arbitro</t>
        </is>
      </c>
      <c r="O321" s="199" t="inlineStr">
        <is>
          <t>3o Arbitro/Tirocinante</t>
        </is>
      </c>
      <c r="P321" s="199" t="inlineStr">
        <is>
          <t>Referto</t>
        </is>
      </c>
      <c r="Q321" s="199" t="inlineStr">
        <is>
          <t>Cronometro</t>
        </is>
      </c>
      <c r="R321" s="199" t="inlineStr">
        <is>
          <t>Foglio Tiri</t>
        </is>
      </c>
    </row>
    <row r="322" ht="22" customHeight="1">
      <c r="A322" s="76">
        <f>IF('Calendario B'!A152="","",'Calendario B'!A152)</f>
        <v/>
      </c>
      <c r="B322" s="61">
        <f>IF('Calendario B'!B152="","",'Calendario B'!B152)</f>
        <v/>
      </c>
      <c r="C322" s="62">
        <f>IF('Calendario B'!C152="","",'Calendario B'!C152)</f>
        <v/>
      </c>
      <c r="D322" s="61">
        <f>IF('Calendario B'!D152="","",'Calendario B'!D152)</f>
        <v/>
      </c>
      <c r="E322" s="62">
        <f>IF('Calendario B'!E152="","",'Calendario B'!E152)</f>
        <v/>
      </c>
      <c r="F322" s="63">
        <f>IF('Calendario B'!F152="","",'Calendario B'!F152)</f>
        <v/>
      </c>
      <c r="G322" s="9" t="n"/>
      <c r="H322" s="9" t="n"/>
      <c r="I322" s="10" t="n"/>
      <c r="J322" s="195">
        <f>IF('Calendario B'!J152="","",'Calendario B'!J152)</f>
        <v/>
      </c>
      <c r="K322" s="64" t="inlineStr">
        <is>
          <t>-</t>
        </is>
      </c>
      <c r="L322" s="195">
        <f>IF('Calendario B'!L152="","",'Calendario B'!L152)</f>
        <v/>
      </c>
      <c r="M322" s="196" t="n"/>
      <c r="N322" s="196" t="n"/>
      <c r="O322" s="196" t="n"/>
      <c r="P322" s="196" t="n"/>
      <c r="Q322" s="196" t="n"/>
      <c r="R322" s="196" t="n"/>
    </row>
    <row r="323" ht="15" customHeight="1">
      <c r="A323" s="141" t="n"/>
      <c r="B323" s="69">
        <f>IF('Calendario B'!B153="","",'Calendario B'!B153)</f>
        <v/>
      </c>
      <c r="C323" s="9" t="n"/>
      <c r="D323" s="9" t="n"/>
      <c r="E323" s="9" t="n"/>
      <c r="F323" s="9" t="n"/>
      <c r="G323" s="9" t="n"/>
      <c r="H323" s="10" t="n"/>
      <c r="I323" s="62">
        <f>IF('Calendario B'!I153="","",'Calendario B'!I153)</f>
        <v/>
      </c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</row>
    <row r="324" ht="14" customHeight="1">
      <c r="A324" s="74" t="inlineStr">
        <is>
          <t>Gara N.</t>
        </is>
      </c>
      <c r="B324" s="74" t="inlineStr">
        <is>
          <t>Squadra A</t>
        </is>
      </c>
      <c r="C324" s="10" t="n"/>
      <c r="D324" s="74" t="inlineStr">
        <is>
          <t>Squadra B</t>
        </is>
      </c>
      <c r="E324" s="10" t="n"/>
      <c r="F324" s="74" t="inlineStr">
        <is>
          <t>Giorno</t>
        </is>
      </c>
      <c r="G324" s="74" t="inlineStr">
        <is>
          <t>Data</t>
        </is>
      </c>
      <c r="H324" s="74" t="inlineStr">
        <is>
          <t>Ora</t>
        </is>
      </c>
      <c r="I324" s="10" t="n"/>
      <c r="J324" s="74" t="inlineStr">
        <is>
          <t>Risultato</t>
        </is>
      </c>
      <c r="K324" s="9" t="n"/>
      <c r="L324" s="10" t="n"/>
      <c r="M324" s="199" t="inlineStr">
        <is>
          <t>1o Arbitro</t>
        </is>
      </c>
      <c r="N324" s="199" t="inlineStr">
        <is>
          <t>2o Arbitro</t>
        </is>
      </c>
      <c r="O324" s="199" t="inlineStr">
        <is>
          <t>3o Arbitro/Tirocinante</t>
        </is>
      </c>
      <c r="P324" s="199" t="inlineStr">
        <is>
          <t>Referto</t>
        </is>
      </c>
      <c r="Q324" s="199" t="inlineStr">
        <is>
          <t>Cronometro</t>
        </is>
      </c>
      <c r="R324" s="199" t="inlineStr">
        <is>
          <t>Foglio Tiri</t>
        </is>
      </c>
    </row>
    <row r="325" ht="22" customHeight="1">
      <c r="A325" s="76">
        <f>IF('Calendario B'!A155="","",'Calendario B'!A155)</f>
        <v/>
      </c>
      <c r="B325" s="61">
        <f>IF('Calendario B'!B155="","",'Calendario B'!B155)</f>
        <v/>
      </c>
      <c r="C325" s="62">
        <f>IF('Calendario B'!C155="","",'Calendario B'!C155)</f>
        <v/>
      </c>
      <c r="D325" s="61">
        <f>IF('Calendario B'!D155="","",'Calendario B'!D155)</f>
        <v/>
      </c>
      <c r="E325" s="62">
        <f>IF('Calendario B'!E155="","",'Calendario B'!E155)</f>
        <v/>
      </c>
      <c r="F325" s="63">
        <f>IF('Calendario B'!F155="","",'Calendario B'!F155)</f>
        <v/>
      </c>
      <c r="G325" s="9" t="n"/>
      <c r="H325" s="9" t="n"/>
      <c r="I325" s="10" t="n"/>
      <c r="J325" s="195">
        <f>IF('Calendario B'!J155="","",'Calendario B'!J155)</f>
        <v/>
      </c>
      <c r="K325" s="64" t="inlineStr">
        <is>
          <t>-</t>
        </is>
      </c>
      <c r="L325" s="195">
        <f>IF('Calendario B'!L155="","",'Calendario B'!L155)</f>
        <v/>
      </c>
      <c r="M325" s="196" t="n"/>
      <c r="N325" s="196" t="n"/>
      <c r="O325" s="196" t="n"/>
      <c r="P325" s="196" t="n"/>
      <c r="Q325" s="196" t="n"/>
      <c r="R325" s="196" t="n"/>
    </row>
    <row r="326" ht="15" customHeight="1">
      <c r="A326" s="141" t="n"/>
      <c r="B326" s="69">
        <f>IF('Calendario B'!B156="","",'Calendario B'!B156)</f>
        <v/>
      </c>
      <c r="C326" s="9" t="n"/>
      <c r="D326" s="9" t="n"/>
      <c r="E326" s="9" t="n"/>
      <c r="F326" s="9" t="n"/>
      <c r="G326" s="9" t="n"/>
      <c r="H326" s="10" t="n"/>
      <c r="I326" s="62">
        <f>IF('Calendario B'!I156="","",'Calendario B'!I156)</f>
        <v/>
      </c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</row>
    <row r="327" ht="14" customHeight="1">
      <c r="A327" s="74" t="inlineStr">
        <is>
          <t>Gara N.</t>
        </is>
      </c>
      <c r="B327" s="74" t="inlineStr">
        <is>
          <t>Squadra A</t>
        </is>
      </c>
      <c r="C327" s="10" t="n"/>
      <c r="D327" s="74" t="inlineStr">
        <is>
          <t>Squadra B</t>
        </is>
      </c>
      <c r="E327" s="10" t="n"/>
      <c r="F327" s="74" t="inlineStr">
        <is>
          <t>Giorno</t>
        </is>
      </c>
      <c r="G327" s="74" t="inlineStr">
        <is>
          <t>Data</t>
        </is>
      </c>
      <c r="H327" s="74" t="inlineStr">
        <is>
          <t>Ora</t>
        </is>
      </c>
      <c r="I327" s="10" t="n"/>
      <c r="J327" s="74" t="inlineStr">
        <is>
          <t>Risultato</t>
        </is>
      </c>
      <c r="K327" s="9" t="n"/>
      <c r="L327" s="10" t="n"/>
      <c r="M327" s="199" t="inlineStr">
        <is>
          <t>1o Arbitro</t>
        </is>
      </c>
      <c r="N327" s="199" t="inlineStr">
        <is>
          <t>2o Arbitro</t>
        </is>
      </c>
      <c r="O327" s="199" t="inlineStr">
        <is>
          <t>3o Arbitro/Tirocinante</t>
        </is>
      </c>
      <c r="P327" s="199" t="inlineStr">
        <is>
          <t>Referto</t>
        </is>
      </c>
      <c r="Q327" s="199" t="inlineStr">
        <is>
          <t>Cronometro</t>
        </is>
      </c>
      <c r="R327" s="199" t="inlineStr">
        <is>
          <t>Foglio Tiri</t>
        </is>
      </c>
    </row>
    <row r="328" ht="22" customHeight="1">
      <c r="A328" s="76">
        <f>IF('Calendario B'!A158="","",'Calendario B'!A158)</f>
        <v/>
      </c>
      <c r="B328" s="61">
        <f>IF('Calendario B'!B158="","",'Calendario B'!B158)</f>
        <v/>
      </c>
      <c r="C328" s="62">
        <f>IF('Calendario B'!C158="","",'Calendario B'!C158)</f>
        <v/>
      </c>
      <c r="D328" s="61">
        <f>IF('Calendario B'!D158="","",'Calendario B'!D158)</f>
        <v/>
      </c>
      <c r="E328" s="62">
        <f>IF('Calendario B'!E158="","",'Calendario B'!E158)</f>
        <v/>
      </c>
      <c r="F328" s="63">
        <f>IF('Calendario B'!F158="","",'Calendario B'!F158)</f>
        <v/>
      </c>
      <c r="G328" s="9" t="n"/>
      <c r="H328" s="9" t="n"/>
      <c r="I328" s="10" t="n"/>
      <c r="J328" s="195">
        <f>IF('Calendario B'!J158="","",'Calendario B'!J158)</f>
        <v/>
      </c>
      <c r="K328" s="64" t="inlineStr">
        <is>
          <t>-</t>
        </is>
      </c>
      <c r="L328" s="195">
        <f>IF('Calendario B'!L158="","",'Calendario B'!L158)</f>
        <v/>
      </c>
      <c r="M328" s="196" t="n"/>
      <c r="N328" s="196" t="n"/>
      <c r="O328" s="196" t="n"/>
      <c r="P328" s="196" t="n"/>
      <c r="Q328" s="196" t="n"/>
      <c r="R328" s="196" t="n"/>
    </row>
    <row r="329" ht="15" customHeight="1">
      <c r="A329" s="141" t="n"/>
      <c r="B329" s="69">
        <f>IF('Calendario B'!B159="","",'Calendario B'!B159)</f>
        <v/>
      </c>
      <c r="C329" s="9" t="n"/>
      <c r="D329" s="9" t="n"/>
      <c r="E329" s="9" t="n"/>
      <c r="F329" s="9" t="n"/>
      <c r="G329" s="9" t="n"/>
      <c r="H329" s="10" t="n"/>
      <c r="I329" s="62">
        <f>IF('Calendario B'!I159="","",'Calendario B'!I159)</f>
        <v/>
      </c>
      <c r="J329" s="141" t="n"/>
      <c r="K329" s="141" t="n"/>
      <c r="L329" s="141" t="n"/>
      <c r="M329" s="141" t="n"/>
      <c r="N329" s="141" t="n"/>
      <c r="O329" s="141" t="n"/>
      <c r="P329" s="141" t="n"/>
      <c r="Q329" s="141" t="n"/>
      <c r="R329" s="141" t="n"/>
    </row>
    <row r="348" ht="20" customHeight="1">
      <c r="A348" s="78">
        <f>IF('Calendario C'!A8="","",'Calendario C'!A8)</f>
        <v/>
      </c>
      <c r="B348" s="79">
        <f>IF('Calendario C'!B8="","",'Calendario C'!B8)</f>
        <v/>
      </c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10" t="n"/>
      <c r="M348" s="200" t="inlineStr">
        <is>
          <t>ARBITRI</t>
        </is>
      </c>
      <c r="N348" s="9" t="n"/>
      <c r="O348" s="10" t="n"/>
      <c r="P348" s="200" t="inlineStr">
        <is>
          <t>UFFICIALI DI CAMPO</t>
        </is>
      </c>
      <c r="Q348" s="9" t="n"/>
      <c r="R348" s="10" t="n"/>
    </row>
    <row r="349" ht="14" customHeight="1">
      <c r="A349" s="81" t="inlineStr">
        <is>
          <t>Gara N.</t>
        </is>
      </c>
      <c r="B349" s="81" t="inlineStr">
        <is>
          <t>Squadra A</t>
        </is>
      </c>
      <c r="C349" s="10" t="n"/>
      <c r="D349" s="81" t="inlineStr">
        <is>
          <t>Squadra B</t>
        </is>
      </c>
      <c r="E349" s="10" t="n"/>
      <c r="F349" s="81" t="inlineStr">
        <is>
          <t>Giorno</t>
        </is>
      </c>
      <c r="G349" s="81" t="inlineStr">
        <is>
          <t>Data</t>
        </is>
      </c>
      <c r="H349" s="81" t="inlineStr">
        <is>
          <t>Ora</t>
        </is>
      </c>
      <c r="I349" s="10" t="n"/>
      <c r="J349" s="81" t="inlineStr">
        <is>
          <t>Risultato</t>
        </is>
      </c>
      <c r="K349" s="9" t="n"/>
      <c r="L349" s="10" t="n"/>
      <c r="M349" s="201" t="inlineStr">
        <is>
          <t>1o Arbitro</t>
        </is>
      </c>
      <c r="N349" s="201" t="inlineStr">
        <is>
          <t>2o Arbitro</t>
        </is>
      </c>
      <c r="O349" s="201" t="inlineStr">
        <is>
          <t>3o Arbitro/Tirocinante</t>
        </is>
      </c>
      <c r="P349" s="201" t="inlineStr">
        <is>
          <t>Referto</t>
        </is>
      </c>
      <c r="Q349" s="201" t="inlineStr">
        <is>
          <t>Cronometro</t>
        </is>
      </c>
      <c r="R349" s="201" t="inlineStr">
        <is>
          <t>Foglio Tiri</t>
        </is>
      </c>
    </row>
    <row r="350" ht="22" customHeight="1">
      <c r="A350" s="83">
        <f>IF('Calendario C'!A10="","",'Calendario C'!A10)</f>
        <v/>
      </c>
      <c r="B350" s="61">
        <f>IF('Calendario C'!B10="","",'Calendario C'!B10)</f>
        <v/>
      </c>
      <c r="C350" s="62">
        <f>IF('Calendario C'!C10="","",'Calendario C'!C10)</f>
        <v/>
      </c>
      <c r="D350" s="61">
        <f>IF('Calendario C'!D10="","",'Calendario C'!D10)</f>
        <v/>
      </c>
      <c r="E350" s="62">
        <f>IF('Calendario C'!E10="","",'Calendario C'!E10)</f>
        <v/>
      </c>
      <c r="F350" s="63">
        <f>IF('Calendario C'!F10="","",'Calendario C'!F10)</f>
        <v/>
      </c>
      <c r="G350" s="9" t="n"/>
      <c r="H350" s="9" t="n"/>
      <c r="I350" s="10" t="n"/>
      <c r="J350" s="195">
        <f>IF('Calendario C'!J10="","",'Calendario C'!J10)</f>
        <v/>
      </c>
      <c r="K350" s="64" t="inlineStr">
        <is>
          <t>-</t>
        </is>
      </c>
      <c r="L350" s="195">
        <f>IF('Calendario C'!L10="","",'Calendario C'!L10)</f>
        <v/>
      </c>
      <c r="M350" s="196" t="n"/>
      <c r="N350" s="196" t="n"/>
      <c r="O350" s="196" t="n"/>
      <c r="P350" s="196" t="n"/>
      <c r="Q350" s="196" t="n"/>
      <c r="R350" s="196" t="n"/>
    </row>
    <row r="351" ht="15" customHeight="1">
      <c r="A351" s="141" t="n"/>
      <c r="B351" s="69">
        <f>IF('Calendario C'!B11="","",'Calendario C'!B11)</f>
        <v/>
      </c>
      <c r="C351" s="9" t="n"/>
      <c r="D351" s="9" t="n"/>
      <c r="E351" s="9" t="n"/>
      <c r="F351" s="9" t="n"/>
      <c r="G351" s="9" t="n"/>
      <c r="H351" s="10" t="n"/>
      <c r="I351" s="62">
        <f>IF('Calendario C'!I11="","",'Calendario C'!I11)</f>
        <v/>
      </c>
      <c r="J351" s="141" t="n"/>
      <c r="K351" s="141" t="n"/>
      <c r="L351" s="141" t="n"/>
      <c r="M351" s="141" t="n"/>
      <c r="N351" s="141" t="n"/>
      <c r="O351" s="141" t="n"/>
      <c r="P351" s="141" t="n"/>
      <c r="Q351" s="141" t="n"/>
      <c r="R351" s="141" t="n"/>
    </row>
    <row r="352" ht="14" customHeight="1">
      <c r="A352" s="81" t="inlineStr">
        <is>
          <t>Gara N.</t>
        </is>
      </c>
      <c r="B352" s="81" t="inlineStr">
        <is>
          <t>Squadra A</t>
        </is>
      </c>
      <c r="C352" s="10" t="n"/>
      <c r="D352" s="81" t="inlineStr">
        <is>
          <t>Squadra B</t>
        </is>
      </c>
      <c r="E352" s="10" t="n"/>
      <c r="F352" s="81" t="inlineStr">
        <is>
          <t>Giorno</t>
        </is>
      </c>
      <c r="G352" s="81" t="inlineStr">
        <is>
          <t>Data</t>
        </is>
      </c>
      <c r="H352" s="81" t="inlineStr">
        <is>
          <t>Ora</t>
        </is>
      </c>
      <c r="I352" s="10" t="n"/>
      <c r="J352" s="81" t="inlineStr">
        <is>
          <t>Risultato</t>
        </is>
      </c>
      <c r="K352" s="9" t="n"/>
      <c r="L352" s="10" t="n"/>
      <c r="M352" s="201" t="inlineStr">
        <is>
          <t>1o Arbitro</t>
        </is>
      </c>
      <c r="N352" s="201" t="inlineStr">
        <is>
          <t>2o Arbitro</t>
        </is>
      </c>
      <c r="O352" s="201" t="inlineStr">
        <is>
          <t>3o Arbitro/Tirocinante</t>
        </is>
      </c>
      <c r="P352" s="201" t="inlineStr">
        <is>
          <t>Referto</t>
        </is>
      </c>
      <c r="Q352" s="201" t="inlineStr">
        <is>
          <t>Cronometro</t>
        </is>
      </c>
      <c r="R352" s="201" t="inlineStr">
        <is>
          <t>Foglio Tiri</t>
        </is>
      </c>
    </row>
    <row r="353" ht="22" customHeight="1">
      <c r="A353" s="83">
        <f>IF('Calendario C'!A13="","",'Calendario C'!A13)</f>
        <v/>
      </c>
      <c r="B353" s="61">
        <f>IF('Calendario C'!B13="","",'Calendario C'!B13)</f>
        <v/>
      </c>
      <c r="C353" s="62">
        <f>IF('Calendario C'!C13="","",'Calendario C'!C13)</f>
        <v/>
      </c>
      <c r="D353" s="61">
        <f>IF('Calendario C'!D13="","",'Calendario C'!D13)</f>
        <v/>
      </c>
      <c r="E353" s="62">
        <f>IF('Calendario C'!E13="","",'Calendario C'!E13)</f>
        <v/>
      </c>
      <c r="F353" s="63">
        <f>IF('Calendario C'!F13="","",'Calendario C'!F13)</f>
        <v/>
      </c>
      <c r="G353" s="9" t="n"/>
      <c r="H353" s="9" t="n"/>
      <c r="I353" s="10" t="n"/>
      <c r="J353" s="195">
        <f>IF('Calendario C'!J13="","",'Calendario C'!J13)</f>
        <v/>
      </c>
      <c r="K353" s="64" t="inlineStr">
        <is>
          <t>-</t>
        </is>
      </c>
      <c r="L353" s="195">
        <f>IF('Calendario C'!L13="","",'Calendario C'!L13)</f>
        <v/>
      </c>
      <c r="M353" s="196" t="n"/>
      <c r="N353" s="196" t="n"/>
      <c r="O353" s="196" t="n"/>
      <c r="P353" s="196" t="n"/>
      <c r="Q353" s="196" t="n"/>
      <c r="R353" s="196" t="n"/>
    </row>
    <row r="354" ht="15" customHeight="1">
      <c r="A354" s="141" t="n"/>
      <c r="B354" s="69">
        <f>IF('Calendario C'!B14="","",'Calendario C'!B14)</f>
        <v/>
      </c>
      <c r="C354" s="9" t="n"/>
      <c r="D354" s="9" t="n"/>
      <c r="E354" s="9" t="n"/>
      <c r="F354" s="9" t="n"/>
      <c r="G354" s="9" t="n"/>
      <c r="H354" s="10" t="n"/>
      <c r="I354" s="62">
        <f>IF('Calendario C'!I14="","",'Calendario C'!I14)</f>
        <v/>
      </c>
      <c r="J354" s="141" t="n"/>
      <c r="K354" s="141" t="n"/>
      <c r="L354" s="141" t="n"/>
      <c r="M354" s="141" t="n"/>
      <c r="N354" s="141" t="n"/>
      <c r="O354" s="141" t="n"/>
      <c r="P354" s="141" t="n"/>
      <c r="Q354" s="141" t="n"/>
      <c r="R354" s="141" t="n"/>
    </row>
    <row r="355" ht="14" customHeight="1">
      <c r="A355" s="81" t="inlineStr">
        <is>
          <t>Gara N.</t>
        </is>
      </c>
      <c r="B355" s="81" t="inlineStr">
        <is>
          <t>Squadra A</t>
        </is>
      </c>
      <c r="C355" s="10" t="n"/>
      <c r="D355" s="81" t="inlineStr">
        <is>
          <t>Squadra B</t>
        </is>
      </c>
      <c r="E355" s="10" t="n"/>
      <c r="F355" s="81" t="inlineStr">
        <is>
          <t>Giorno</t>
        </is>
      </c>
      <c r="G355" s="81" t="inlineStr">
        <is>
          <t>Data</t>
        </is>
      </c>
      <c r="H355" s="81" t="inlineStr">
        <is>
          <t>Ora</t>
        </is>
      </c>
      <c r="I355" s="10" t="n"/>
      <c r="J355" s="81" t="inlineStr">
        <is>
          <t>Risultato</t>
        </is>
      </c>
      <c r="K355" s="9" t="n"/>
      <c r="L355" s="10" t="n"/>
      <c r="M355" s="201" t="inlineStr">
        <is>
          <t>1o Arbitro</t>
        </is>
      </c>
      <c r="N355" s="201" t="inlineStr">
        <is>
          <t>2o Arbitro</t>
        </is>
      </c>
      <c r="O355" s="201" t="inlineStr">
        <is>
          <t>3o Arbitro/Tirocinante</t>
        </is>
      </c>
      <c r="P355" s="201" t="inlineStr">
        <is>
          <t>Referto</t>
        </is>
      </c>
      <c r="Q355" s="201" t="inlineStr">
        <is>
          <t>Cronometro</t>
        </is>
      </c>
      <c r="R355" s="201" t="inlineStr">
        <is>
          <t>Foglio Tiri</t>
        </is>
      </c>
    </row>
    <row r="356" ht="22" customHeight="1">
      <c r="A356" s="83">
        <f>IF('Calendario C'!A16="","",'Calendario C'!A16)</f>
        <v/>
      </c>
      <c r="B356" s="61">
        <f>IF('Calendario C'!B16="","",'Calendario C'!B16)</f>
        <v/>
      </c>
      <c r="C356" s="62">
        <f>IF('Calendario C'!C16="","",'Calendario C'!C16)</f>
        <v/>
      </c>
      <c r="D356" s="61">
        <f>IF('Calendario C'!D16="","",'Calendario C'!D16)</f>
        <v/>
      </c>
      <c r="E356" s="62">
        <f>IF('Calendario C'!E16="","",'Calendario C'!E16)</f>
        <v/>
      </c>
      <c r="F356" s="63">
        <f>IF('Calendario C'!F16="","",'Calendario C'!F16)</f>
        <v/>
      </c>
      <c r="G356" s="9" t="n"/>
      <c r="H356" s="9" t="n"/>
      <c r="I356" s="10" t="n"/>
      <c r="J356" s="195">
        <f>IF('Calendario C'!J16="","",'Calendario C'!J16)</f>
        <v/>
      </c>
      <c r="K356" s="64" t="inlineStr">
        <is>
          <t>-</t>
        </is>
      </c>
      <c r="L356" s="195">
        <f>IF('Calendario C'!L16="","",'Calendario C'!L16)</f>
        <v/>
      </c>
      <c r="M356" s="196" t="n"/>
      <c r="N356" s="196" t="n"/>
      <c r="O356" s="196" t="n"/>
      <c r="P356" s="196" t="n"/>
      <c r="Q356" s="196" t="n"/>
      <c r="R356" s="196" t="n"/>
    </row>
    <row r="357" ht="15" customHeight="1">
      <c r="A357" s="141" t="n"/>
      <c r="B357" s="69">
        <f>IF('Calendario C'!B17="","",'Calendario C'!B17)</f>
        <v/>
      </c>
      <c r="C357" s="9" t="n"/>
      <c r="D357" s="9" t="n"/>
      <c r="E357" s="9" t="n"/>
      <c r="F357" s="9" t="n"/>
      <c r="G357" s="9" t="n"/>
      <c r="H357" s="10" t="n"/>
      <c r="I357" s="62">
        <f>IF('Calendario C'!I17="","",'Calendario C'!I17)</f>
        <v/>
      </c>
      <c r="J357" s="141" t="n"/>
      <c r="K357" s="141" t="n"/>
      <c r="L357" s="141" t="n"/>
      <c r="M357" s="141" t="n"/>
      <c r="N357" s="141" t="n"/>
      <c r="O357" s="141" t="n"/>
      <c r="P357" s="141" t="n"/>
      <c r="Q357" s="141" t="n"/>
      <c r="R357" s="141" t="n"/>
    </row>
    <row r="358" ht="14" customHeight="1">
      <c r="A358" s="81" t="inlineStr">
        <is>
          <t>Gara N.</t>
        </is>
      </c>
      <c r="B358" s="81" t="inlineStr">
        <is>
          <t>Squadra A</t>
        </is>
      </c>
      <c r="C358" s="10" t="n"/>
      <c r="D358" s="81" t="inlineStr">
        <is>
          <t>Squadra B</t>
        </is>
      </c>
      <c r="E358" s="10" t="n"/>
      <c r="F358" s="81" t="inlineStr">
        <is>
          <t>Giorno</t>
        </is>
      </c>
      <c r="G358" s="81" t="inlineStr">
        <is>
          <t>Data</t>
        </is>
      </c>
      <c r="H358" s="81" t="inlineStr">
        <is>
          <t>Ora</t>
        </is>
      </c>
      <c r="I358" s="10" t="n"/>
      <c r="J358" s="81" t="inlineStr">
        <is>
          <t>Risultato</t>
        </is>
      </c>
      <c r="K358" s="9" t="n"/>
      <c r="L358" s="10" t="n"/>
      <c r="M358" s="201" t="inlineStr">
        <is>
          <t>1o Arbitro</t>
        </is>
      </c>
      <c r="N358" s="201" t="inlineStr">
        <is>
          <t>2o Arbitro</t>
        </is>
      </c>
      <c r="O358" s="201" t="inlineStr">
        <is>
          <t>3o Arbitro/Tirocinante</t>
        </is>
      </c>
      <c r="P358" s="201" t="inlineStr">
        <is>
          <t>Referto</t>
        </is>
      </c>
      <c r="Q358" s="201" t="inlineStr">
        <is>
          <t>Cronometro</t>
        </is>
      </c>
      <c r="R358" s="201" t="inlineStr">
        <is>
          <t>Foglio Tiri</t>
        </is>
      </c>
    </row>
    <row r="359" ht="22" customHeight="1">
      <c r="A359" s="83">
        <f>IF('Calendario C'!A19="","",'Calendario C'!A19)</f>
        <v/>
      </c>
      <c r="B359" s="61">
        <f>IF('Calendario C'!B19="","",'Calendario C'!B19)</f>
        <v/>
      </c>
      <c r="C359" s="62">
        <f>IF('Calendario C'!C19="","",'Calendario C'!C19)</f>
        <v/>
      </c>
      <c r="D359" s="61">
        <f>IF('Calendario C'!D19="","",'Calendario C'!D19)</f>
        <v/>
      </c>
      <c r="E359" s="62">
        <f>IF('Calendario C'!E19="","",'Calendario C'!E19)</f>
        <v/>
      </c>
      <c r="F359" s="63">
        <f>IF('Calendario C'!F19="","",'Calendario C'!F19)</f>
        <v/>
      </c>
      <c r="G359" s="9" t="n"/>
      <c r="H359" s="9" t="n"/>
      <c r="I359" s="10" t="n"/>
      <c r="J359" s="195">
        <f>IF('Calendario C'!J19="","",'Calendario C'!J19)</f>
        <v/>
      </c>
      <c r="K359" s="64" t="inlineStr">
        <is>
          <t>-</t>
        </is>
      </c>
      <c r="L359" s="195">
        <f>IF('Calendario C'!L19="","",'Calendario C'!L19)</f>
        <v/>
      </c>
      <c r="M359" s="196" t="n"/>
      <c r="N359" s="196" t="n"/>
      <c r="O359" s="196" t="n"/>
      <c r="P359" s="196" t="n"/>
      <c r="Q359" s="196" t="n"/>
      <c r="R359" s="196" t="n"/>
    </row>
    <row r="360" ht="15" customHeight="1">
      <c r="A360" s="141" t="n"/>
      <c r="B360" s="69">
        <f>IF('Calendario C'!B20="","",'Calendario C'!B20)</f>
        <v/>
      </c>
      <c r="C360" s="9" t="n"/>
      <c r="D360" s="9" t="n"/>
      <c r="E360" s="9" t="n"/>
      <c r="F360" s="9" t="n"/>
      <c r="G360" s="9" t="n"/>
      <c r="H360" s="10" t="n"/>
      <c r="I360" s="62">
        <f>IF('Calendario C'!I20="","",'Calendario C'!I20)</f>
        <v/>
      </c>
      <c r="J360" s="141" t="n"/>
      <c r="K360" s="141" t="n"/>
      <c r="L360" s="141" t="n"/>
      <c r="M360" s="141" t="n"/>
      <c r="N360" s="141" t="n"/>
      <c r="O360" s="141" t="n"/>
      <c r="P360" s="141" t="n"/>
      <c r="Q360" s="141" t="n"/>
      <c r="R360" s="141" t="n"/>
    </row>
    <row r="361" ht="14" customHeight="1">
      <c r="A361" s="81" t="inlineStr">
        <is>
          <t>Gara N.</t>
        </is>
      </c>
      <c r="B361" s="81" t="inlineStr">
        <is>
          <t>Squadra A</t>
        </is>
      </c>
      <c r="C361" s="10" t="n"/>
      <c r="D361" s="81" t="inlineStr">
        <is>
          <t>Squadra B</t>
        </is>
      </c>
      <c r="E361" s="10" t="n"/>
      <c r="F361" s="81" t="inlineStr">
        <is>
          <t>Giorno</t>
        </is>
      </c>
      <c r="G361" s="81" t="inlineStr">
        <is>
          <t>Data</t>
        </is>
      </c>
      <c r="H361" s="81" t="inlineStr">
        <is>
          <t>Ora</t>
        </is>
      </c>
      <c r="I361" s="10" t="n"/>
      <c r="J361" s="81" t="inlineStr">
        <is>
          <t>Risultato</t>
        </is>
      </c>
      <c r="K361" s="9" t="n"/>
      <c r="L361" s="10" t="n"/>
      <c r="M361" s="201" t="inlineStr">
        <is>
          <t>1o Arbitro</t>
        </is>
      </c>
      <c r="N361" s="201" t="inlineStr">
        <is>
          <t>2o Arbitro</t>
        </is>
      </c>
      <c r="O361" s="201" t="inlineStr">
        <is>
          <t>3o Arbitro/Tirocinante</t>
        </is>
      </c>
      <c r="P361" s="201" t="inlineStr">
        <is>
          <t>Referto</t>
        </is>
      </c>
      <c r="Q361" s="201" t="inlineStr">
        <is>
          <t>Cronometro</t>
        </is>
      </c>
      <c r="R361" s="201" t="inlineStr">
        <is>
          <t>Foglio Tiri</t>
        </is>
      </c>
    </row>
    <row r="362" ht="22" customHeight="1">
      <c r="A362" s="83">
        <f>IF('Calendario C'!A22="","",'Calendario C'!A22)</f>
        <v/>
      </c>
      <c r="B362" s="61">
        <f>IF('Calendario C'!B22="","",'Calendario C'!B22)</f>
        <v/>
      </c>
      <c r="C362" s="62">
        <f>IF('Calendario C'!C22="","",'Calendario C'!C22)</f>
        <v/>
      </c>
      <c r="D362" s="61">
        <f>IF('Calendario C'!D22="","",'Calendario C'!D22)</f>
        <v/>
      </c>
      <c r="E362" s="62">
        <f>IF('Calendario C'!E22="","",'Calendario C'!E22)</f>
        <v/>
      </c>
      <c r="F362" s="63">
        <f>IF('Calendario C'!F22="","",'Calendario C'!F22)</f>
        <v/>
      </c>
      <c r="G362" s="9" t="n"/>
      <c r="H362" s="9" t="n"/>
      <c r="I362" s="10" t="n"/>
      <c r="J362" s="195">
        <f>IF('Calendario C'!J22="","",'Calendario C'!J22)</f>
        <v/>
      </c>
      <c r="K362" s="64" t="inlineStr">
        <is>
          <t>-</t>
        </is>
      </c>
      <c r="L362" s="195">
        <f>IF('Calendario C'!L22="","",'Calendario C'!L22)</f>
        <v/>
      </c>
      <c r="M362" s="196" t="n"/>
      <c r="N362" s="196" t="n"/>
      <c r="O362" s="196" t="n"/>
      <c r="P362" s="196" t="n"/>
      <c r="Q362" s="196" t="n"/>
      <c r="R362" s="196" t="n"/>
    </row>
    <row r="363" ht="15" customHeight="1">
      <c r="A363" s="141" t="n"/>
      <c r="B363" s="69">
        <f>IF('Calendario C'!B23="","",'Calendario C'!B23)</f>
        <v/>
      </c>
      <c r="C363" s="9" t="n"/>
      <c r="D363" s="9" t="n"/>
      <c r="E363" s="9" t="n"/>
      <c r="F363" s="9" t="n"/>
      <c r="G363" s="9" t="n"/>
      <c r="H363" s="10" t="n"/>
      <c r="I363" s="62">
        <f>IF('Calendario C'!I23="","",'Calendario C'!I23)</f>
        <v/>
      </c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</row>
    <row r="365" ht="20" customHeight="1">
      <c r="A365" s="78">
        <f>IF('Calendario C'!A25="","",'Calendario C'!A25)</f>
        <v/>
      </c>
      <c r="B365" s="79">
        <f>IF('Calendario C'!B25="","",'Calendario C'!B25)</f>
        <v/>
      </c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10" t="n"/>
      <c r="M365" s="200" t="inlineStr">
        <is>
          <t>ARBITRI</t>
        </is>
      </c>
      <c r="N365" s="9" t="n"/>
      <c r="O365" s="10" t="n"/>
      <c r="P365" s="200" t="inlineStr">
        <is>
          <t>UFFICIALI DI CAMPO</t>
        </is>
      </c>
      <c r="Q365" s="9" t="n"/>
      <c r="R365" s="10" t="n"/>
    </row>
    <row r="366" ht="14" customHeight="1">
      <c r="A366" s="81" t="inlineStr">
        <is>
          <t>Gara N.</t>
        </is>
      </c>
      <c r="B366" s="81" t="inlineStr">
        <is>
          <t>Squadra A</t>
        </is>
      </c>
      <c r="C366" s="10" t="n"/>
      <c r="D366" s="81" t="inlineStr">
        <is>
          <t>Squadra B</t>
        </is>
      </c>
      <c r="E366" s="10" t="n"/>
      <c r="F366" s="81" t="inlineStr">
        <is>
          <t>Giorno</t>
        </is>
      </c>
      <c r="G366" s="81" t="inlineStr">
        <is>
          <t>Data</t>
        </is>
      </c>
      <c r="H366" s="81" t="inlineStr">
        <is>
          <t>Ora</t>
        </is>
      </c>
      <c r="I366" s="10" t="n"/>
      <c r="J366" s="81" t="inlineStr">
        <is>
          <t>Risultato</t>
        </is>
      </c>
      <c r="K366" s="9" t="n"/>
      <c r="L366" s="10" t="n"/>
      <c r="M366" s="201" t="inlineStr">
        <is>
          <t>1o Arbitro</t>
        </is>
      </c>
      <c r="N366" s="201" t="inlineStr">
        <is>
          <t>2o Arbitro</t>
        </is>
      </c>
      <c r="O366" s="201" t="inlineStr">
        <is>
          <t>3o Arbitro/Tirocinante</t>
        </is>
      </c>
      <c r="P366" s="201" t="inlineStr">
        <is>
          <t>Referto</t>
        </is>
      </c>
      <c r="Q366" s="201" t="inlineStr">
        <is>
          <t>Cronometro</t>
        </is>
      </c>
      <c r="R366" s="201" t="inlineStr">
        <is>
          <t>Foglio Tiri</t>
        </is>
      </c>
    </row>
    <row r="367" ht="22" customHeight="1">
      <c r="A367" s="83">
        <f>IF('Calendario C'!A27="","",'Calendario C'!A27)</f>
        <v/>
      </c>
      <c r="B367" s="61">
        <f>IF('Calendario C'!B27="","",'Calendario C'!B27)</f>
        <v/>
      </c>
      <c r="C367" s="62">
        <f>IF('Calendario C'!C27="","",'Calendario C'!C27)</f>
        <v/>
      </c>
      <c r="D367" s="61">
        <f>IF('Calendario C'!D27="","",'Calendario C'!D27)</f>
        <v/>
      </c>
      <c r="E367" s="62">
        <f>IF('Calendario C'!E27="","",'Calendario C'!E27)</f>
        <v/>
      </c>
      <c r="F367" s="63">
        <f>IF('Calendario C'!F27="","",'Calendario C'!F27)</f>
        <v/>
      </c>
      <c r="G367" s="9" t="n"/>
      <c r="H367" s="9" t="n"/>
      <c r="I367" s="10" t="n"/>
      <c r="J367" s="195">
        <f>IF('Calendario C'!J27="","",'Calendario C'!J27)</f>
        <v/>
      </c>
      <c r="K367" s="64" t="inlineStr">
        <is>
          <t>-</t>
        </is>
      </c>
      <c r="L367" s="195">
        <f>IF('Calendario C'!L27="","",'Calendario C'!L27)</f>
        <v/>
      </c>
      <c r="M367" s="196" t="n"/>
      <c r="N367" s="196" t="n"/>
      <c r="O367" s="196" t="n"/>
      <c r="P367" s="196" t="n"/>
      <c r="Q367" s="196" t="n"/>
      <c r="R367" s="196" t="n"/>
    </row>
    <row r="368" ht="15" customHeight="1">
      <c r="A368" s="141" t="n"/>
      <c r="B368" s="69">
        <f>IF('Calendario C'!B28="","",'Calendario C'!B28)</f>
        <v/>
      </c>
      <c r="C368" s="9" t="n"/>
      <c r="D368" s="9" t="n"/>
      <c r="E368" s="9" t="n"/>
      <c r="F368" s="9" t="n"/>
      <c r="G368" s="9" t="n"/>
      <c r="H368" s="10" t="n"/>
      <c r="I368" s="62">
        <f>IF('Calendario C'!I28="","",'Calendario C'!I28)</f>
        <v/>
      </c>
      <c r="J368" s="141" t="n"/>
      <c r="K368" s="141" t="n"/>
      <c r="L368" s="141" t="n"/>
      <c r="M368" s="141" t="n"/>
      <c r="N368" s="141" t="n"/>
      <c r="O368" s="141" t="n"/>
      <c r="P368" s="141" t="n"/>
      <c r="Q368" s="141" t="n"/>
      <c r="R368" s="141" t="n"/>
    </row>
    <row r="369" ht="14" customHeight="1">
      <c r="A369" s="81" t="inlineStr">
        <is>
          <t>Gara N.</t>
        </is>
      </c>
      <c r="B369" s="81" t="inlineStr">
        <is>
          <t>Squadra A</t>
        </is>
      </c>
      <c r="C369" s="10" t="n"/>
      <c r="D369" s="81" t="inlineStr">
        <is>
          <t>Squadra B</t>
        </is>
      </c>
      <c r="E369" s="10" t="n"/>
      <c r="F369" s="81" t="inlineStr">
        <is>
          <t>Giorno</t>
        </is>
      </c>
      <c r="G369" s="81" t="inlineStr">
        <is>
          <t>Data</t>
        </is>
      </c>
      <c r="H369" s="81" t="inlineStr">
        <is>
          <t>Ora</t>
        </is>
      </c>
      <c r="I369" s="10" t="n"/>
      <c r="J369" s="81" t="inlineStr">
        <is>
          <t>Risultato</t>
        </is>
      </c>
      <c r="K369" s="9" t="n"/>
      <c r="L369" s="10" t="n"/>
      <c r="M369" s="201" t="inlineStr">
        <is>
          <t>1o Arbitro</t>
        </is>
      </c>
      <c r="N369" s="201" t="inlineStr">
        <is>
          <t>2o Arbitro</t>
        </is>
      </c>
      <c r="O369" s="201" t="inlineStr">
        <is>
          <t>3o Arbitro/Tirocinante</t>
        </is>
      </c>
      <c r="P369" s="201" t="inlineStr">
        <is>
          <t>Referto</t>
        </is>
      </c>
      <c r="Q369" s="201" t="inlineStr">
        <is>
          <t>Cronometro</t>
        </is>
      </c>
      <c r="R369" s="201" t="inlineStr">
        <is>
          <t>Foglio Tiri</t>
        </is>
      </c>
    </row>
    <row r="370" ht="22" customHeight="1">
      <c r="A370" s="83">
        <f>IF('Calendario C'!A30="","",'Calendario C'!A30)</f>
        <v/>
      </c>
      <c r="B370" s="61">
        <f>IF('Calendario C'!B30="","",'Calendario C'!B30)</f>
        <v/>
      </c>
      <c r="C370" s="62">
        <f>IF('Calendario C'!C30="","",'Calendario C'!C30)</f>
        <v/>
      </c>
      <c r="D370" s="61">
        <f>IF('Calendario C'!D30="","",'Calendario C'!D30)</f>
        <v/>
      </c>
      <c r="E370" s="62">
        <f>IF('Calendario C'!E30="","",'Calendario C'!E30)</f>
        <v/>
      </c>
      <c r="F370" s="63">
        <f>IF('Calendario C'!F30="","",'Calendario C'!F30)</f>
        <v/>
      </c>
      <c r="G370" s="9" t="n"/>
      <c r="H370" s="9" t="n"/>
      <c r="I370" s="10" t="n"/>
      <c r="J370" s="195">
        <f>IF('Calendario C'!J30="","",'Calendario C'!J30)</f>
        <v/>
      </c>
      <c r="K370" s="64" t="inlineStr">
        <is>
          <t>-</t>
        </is>
      </c>
      <c r="L370" s="195">
        <f>IF('Calendario C'!L30="","",'Calendario C'!L30)</f>
        <v/>
      </c>
      <c r="M370" s="196" t="n"/>
      <c r="N370" s="196" t="n"/>
      <c r="O370" s="196" t="n"/>
      <c r="P370" s="196" t="n"/>
      <c r="Q370" s="196" t="n"/>
      <c r="R370" s="196" t="n"/>
    </row>
    <row r="371" ht="15" customHeight="1">
      <c r="A371" s="141" t="n"/>
      <c r="B371" s="69">
        <f>IF('Calendario C'!B31="","",'Calendario C'!B31)</f>
        <v/>
      </c>
      <c r="C371" s="9" t="n"/>
      <c r="D371" s="9" t="n"/>
      <c r="E371" s="9" t="n"/>
      <c r="F371" s="9" t="n"/>
      <c r="G371" s="9" t="n"/>
      <c r="H371" s="10" t="n"/>
      <c r="I371" s="62">
        <f>IF('Calendario C'!I31="","",'Calendario C'!I31)</f>
        <v/>
      </c>
      <c r="J371" s="141" t="n"/>
      <c r="K371" s="141" t="n"/>
      <c r="L371" s="141" t="n"/>
      <c r="M371" s="141" t="n"/>
      <c r="N371" s="141" t="n"/>
      <c r="O371" s="141" t="n"/>
      <c r="P371" s="141" t="n"/>
      <c r="Q371" s="141" t="n"/>
      <c r="R371" s="141" t="n"/>
    </row>
    <row r="372" ht="14" customHeight="1">
      <c r="A372" s="81" t="inlineStr">
        <is>
          <t>Gara N.</t>
        </is>
      </c>
      <c r="B372" s="81" t="inlineStr">
        <is>
          <t>Squadra A</t>
        </is>
      </c>
      <c r="C372" s="10" t="n"/>
      <c r="D372" s="81" t="inlineStr">
        <is>
          <t>Squadra B</t>
        </is>
      </c>
      <c r="E372" s="10" t="n"/>
      <c r="F372" s="81" t="inlineStr">
        <is>
          <t>Giorno</t>
        </is>
      </c>
      <c r="G372" s="81" t="inlineStr">
        <is>
          <t>Data</t>
        </is>
      </c>
      <c r="H372" s="81" t="inlineStr">
        <is>
          <t>Ora</t>
        </is>
      </c>
      <c r="I372" s="10" t="n"/>
      <c r="J372" s="81" t="inlineStr">
        <is>
          <t>Risultato</t>
        </is>
      </c>
      <c r="K372" s="9" t="n"/>
      <c r="L372" s="10" t="n"/>
      <c r="M372" s="201" t="inlineStr">
        <is>
          <t>1o Arbitro</t>
        </is>
      </c>
      <c r="N372" s="201" t="inlineStr">
        <is>
          <t>2o Arbitro</t>
        </is>
      </c>
      <c r="O372" s="201" t="inlineStr">
        <is>
          <t>3o Arbitro/Tirocinante</t>
        </is>
      </c>
      <c r="P372" s="201" t="inlineStr">
        <is>
          <t>Referto</t>
        </is>
      </c>
      <c r="Q372" s="201" t="inlineStr">
        <is>
          <t>Cronometro</t>
        </is>
      </c>
      <c r="R372" s="201" t="inlineStr">
        <is>
          <t>Foglio Tiri</t>
        </is>
      </c>
    </row>
    <row r="373" ht="22" customHeight="1">
      <c r="A373" s="83">
        <f>IF('Calendario C'!A33="","",'Calendario C'!A33)</f>
        <v/>
      </c>
      <c r="B373" s="61">
        <f>IF('Calendario C'!B33="","",'Calendario C'!B33)</f>
        <v/>
      </c>
      <c r="C373" s="62">
        <f>IF('Calendario C'!C33="","",'Calendario C'!C33)</f>
        <v/>
      </c>
      <c r="D373" s="61">
        <f>IF('Calendario C'!D33="","",'Calendario C'!D33)</f>
        <v/>
      </c>
      <c r="E373" s="62">
        <f>IF('Calendario C'!E33="","",'Calendario C'!E33)</f>
        <v/>
      </c>
      <c r="F373" s="63">
        <f>IF('Calendario C'!F33="","",'Calendario C'!F33)</f>
        <v/>
      </c>
      <c r="G373" s="9" t="n"/>
      <c r="H373" s="9" t="n"/>
      <c r="I373" s="10" t="n"/>
      <c r="J373" s="195">
        <f>IF('Calendario C'!J33="","",'Calendario C'!J33)</f>
        <v/>
      </c>
      <c r="K373" s="64" t="inlineStr">
        <is>
          <t>-</t>
        </is>
      </c>
      <c r="L373" s="195">
        <f>IF('Calendario C'!L33="","",'Calendario C'!L33)</f>
        <v/>
      </c>
      <c r="M373" s="196" t="n"/>
      <c r="N373" s="196" t="n"/>
      <c r="O373" s="196" t="n"/>
      <c r="P373" s="196" t="n"/>
      <c r="Q373" s="196" t="n"/>
      <c r="R373" s="196" t="n"/>
    </row>
    <row r="374" ht="15" customHeight="1">
      <c r="A374" s="141" t="n"/>
      <c r="B374" s="69">
        <f>IF('Calendario C'!B34="","",'Calendario C'!B34)</f>
        <v/>
      </c>
      <c r="C374" s="9" t="n"/>
      <c r="D374" s="9" t="n"/>
      <c r="E374" s="9" t="n"/>
      <c r="F374" s="9" t="n"/>
      <c r="G374" s="9" t="n"/>
      <c r="H374" s="10" t="n"/>
      <c r="I374" s="62">
        <f>IF('Calendario C'!I34="","",'Calendario C'!I34)</f>
        <v/>
      </c>
      <c r="J374" s="141" t="n"/>
      <c r="K374" s="141" t="n"/>
      <c r="L374" s="141" t="n"/>
      <c r="M374" s="141" t="n"/>
      <c r="N374" s="141" t="n"/>
      <c r="O374" s="141" t="n"/>
      <c r="P374" s="141" t="n"/>
      <c r="Q374" s="141" t="n"/>
      <c r="R374" s="141" t="n"/>
    </row>
    <row r="375" ht="14" customHeight="1">
      <c r="A375" s="81" t="inlineStr">
        <is>
          <t>Gara N.</t>
        </is>
      </c>
      <c r="B375" s="81" t="inlineStr">
        <is>
          <t>Squadra A</t>
        </is>
      </c>
      <c r="C375" s="10" t="n"/>
      <c r="D375" s="81" t="inlineStr">
        <is>
          <t>Squadra B</t>
        </is>
      </c>
      <c r="E375" s="10" t="n"/>
      <c r="F375" s="81" t="inlineStr">
        <is>
          <t>Giorno</t>
        </is>
      </c>
      <c r="G375" s="81" t="inlineStr">
        <is>
          <t>Data</t>
        </is>
      </c>
      <c r="H375" s="81" t="inlineStr">
        <is>
          <t>Ora</t>
        </is>
      </c>
      <c r="I375" s="10" t="n"/>
      <c r="J375" s="81" t="inlineStr">
        <is>
          <t>Risultato</t>
        </is>
      </c>
      <c r="K375" s="9" t="n"/>
      <c r="L375" s="10" t="n"/>
      <c r="M375" s="201" t="inlineStr">
        <is>
          <t>1o Arbitro</t>
        </is>
      </c>
      <c r="N375" s="201" t="inlineStr">
        <is>
          <t>2o Arbitro</t>
        </is>
      </c>
      <c r="O375" s="201" t="inlineStr">
        <is>
          <t>3o Arbitro/Tirocinante</t>
        </is>
      </c>
      <c r="P375" s="201" t="inlineStr">
        <is>
          <t>Referto</t>
        </is>
      </c>
      <c r="Q375" s="201" t="inlineStr">
        <is>
          <t>Cronometro</t>
        </is>
      </c>
      <c r="R375" s="201" t="inlineStr">
        <is>
          <t>Foglio Tiri</t>
        </is>
      </c>
    </row>
    <row r="376" ht="22" customHeight="1">
      <c r="A376" s="83">
        <f>IF('Calendario C'!A36="","",'Calendario C'!A36)</f>
        <v/>
      </c>
      <c r="B376" s="61">
        <f>IF('Calendario C'!B36="","",'Calendario C'!B36)</f>
        <v/>
      </c>
      <c r="C376" s="62">
        <f>IF('Calendario C'!C36="","",'Calendario C'!C36)</f>
        <v/>
      </c>
      <c r="D376" s="61">
        <f>IF('Calendario C'!D36="","",'Calendario C'!D36)</f>
        <v/>
      </c>
      <c r="E376" s="62">
        <f>IF('Calendario C'!E36="","",'Calendario C'!E36)</f>
        <v/>
      </c>
      <c r="F376" s="63">
        <f>IF('Calendario C'!F36="","",'Calendario C'!F36)</f>
        <v/>
      </c>
      <c r="G376" s="9" t="n"/>
      <c r="H376" s="9" t="n"/>
      <c r="I376" s="10" t="n"/>
      <c r="J376" s="195">
        <f>IF('Calendario C'!J36="","",'Calendario C'!J36)</f>
        <v/>
      </c>
      <c r="K376" s="64" t="inlineStr">
        <is>
          <t>-</t>
        </is>
      </c>
      <c r="L376" s="195">
        <f>IF('Calendario C'!L36="","",'Calendario C'!L36)</f>
        <v/>
      </c>
      <c r="M376" s="196" t="n"/>
      <c r="N376" s="196" t="n"/>
      <c r="O376" s="196" t="n"/>
      <c r="P376" s="196" t="n"/>
      <c r="Q376" s="196" t="n"/>
      <c r="R376" s="196" t="n"/>
    </row>
    <row r="377" ht="15" customHeight="1">
      <c r="A377" s="141" t="n"/>
      <c r="B377" s="69">
        <f>IF('Calendario C'!B37="","",'Calendario C'!B37)</f>
        <v/>
      </c>
      <c r="C377" s="9" t="n"/>
      <c r="D377" s="9" t="n"/>
      <c r="E377" s="9" t="n"/>
      <c r="F377" s="9" t="n"/>
      <c r="G377" s="9" t="n"/>
      <c r="H377" s="10" t="n"/>
      <c r="I377" s="62">
        <f>IF('Calendario C'!I37="","",'Calendario C'!I37)</f>
        <v/>
      </c>
      <c r="J377" s="141" t="n"/>
      <c r="K377" s="141" t="n"/>
      <c r="L377" s="141" t="n"/>
      <c r="M377" s="141" t="n"/>
      <c r="N377" s="141" t="n"/>
      <c r="O377" s="141" t="n"/>
      <c r="P377" s="141" t="n"/>
      <c r="Q377" s="141" t="n"/>
      <c r="R377" s="141" t="n"/>
    </row>
    <row r="378" ht="14" customHeight="1">
      <c r="A378" s="81" t="inlineStr">
        <is>
          <t>Gara N.</t>
        </is>
      </c>
      <c r="B378" s="81" t="inlineStr">
        <is>
          <t>Squadra A</t>
        </is>
      </c>
      <c r="C378" s="10" t="n"/>
      <c r="D378" s="81" t="inlineStr">
        <is>
          <t>Squadra B</t>
        </is>
      </c>
      <c r="E378" s="10" t="n"/>
      <c r="F378" s="81" t="inlineStr">
        <is>
          <t>Giorno</t>
        </is>
      </c>
      <c r="G378" s="81" t="inlineStr">
        <is>
          <t>Data</t>
        </is>
      </c>
      <c r="H378" s="81" t="inlineStr">
        <is>
          <t>Ora</t>
        </is>
      </c>
      <c r="I378" s="10" t="n"/>
      <c r="J378" s="81" t="inlineStr">
        <is>
          <t>Risultato</t>
        </is>
      </c>
      <c r="K378" s="9" t="n"/>
      <c r="L378" s="10" t="n"/>
      <c r="M378" s="201" t="inlineStr">
        <is>
          <t>1o Arbitro</t>
        </is>
      </c>
      <c r="N378" s="201" t="inlineStr">
        <is>
          <t>2o Arbitro</t>
        </is>
      </c>
      <c r="O378" s="201" t="inlineStr">
        <is>
          <t>3o Arbitro/Tirocinante</t>
        </is>
      </c>
      <c r="P378" s="201" t="inlineStr">
        <is>
          <t>Referto</t>
        </is>
      </c>
      <c r="Q378" s="201" t="inlineStr">
        <is>
          <t>Cronometro</t>
        </is>
      </c>
      <c r="R378" s="201" t="inlineStr">
        <is>
          <t>Foglio Tiri</t>
        </is>
      </c>
    </row>
    <row r="379" ht="22" customHeight="1">
      <c r="A379" s="83">
        <f>IF('Calendario C'!A39="","",'Calendario C'!A39)</f>
        <v/>
      </c>
      <c r="B379" s="61">
        <f>IF('Calendario C'!B39="","",'Calendario C'!B39)</f>
        <v/>
      </c>
      <c r="C379" s="62">
        <f>IF('Calendario C'!C39="","",'Calendario C'!C39)</f>
        <v/>
      </c>
      <c r="D379" s="61">
        <f>IF('Calendario C'!D39="","",'Calendario C'!D39)</f>
        <v/>
      </c>
      <c r="E379" s="62">
        <f>IF('Calendario C'!E39="","",'Calendario C'!E39)</f>
        <v/>
      </c>
      <c r="F379" s="63">
        <f>IF('Calendario C'!F39="","",'Calendario C'!F39)</f>
        <v/>
      </c>
      <c r="G379" s="9" t="n"/>
      <c r="H379" s="9" t="n"/>
      <c r="I379" s="10" t="n"/>
      <c r="J379" s="195">
        <f>IF('Calendario C'!J39="","",'Calendario C'!J39)</f>
        <v/>
      </c>
      <c r="K379" s="64" t="inlineStr">
        <is>
          <t>-</t>
        </is>
      </c>
      <c r="L379" s="195">
        <f>IF('Calendario C'!L39="","",'Calendario C'!L39)</f>
        <v/>
      </c>
      <c r="M379" s="196" t="n"/>
      <c r="N379" s="196" t="n"/>
      <c r="O379" s="196" t="n"/>
      <c r="P379" s="196" t="n"/>
      <c r="Q379" s="196" t="n"/>
      <c r="R379" s="196" t="n"/>
    </row>
    <row r="380" ht="15" customHeight="1">
      <c r="A380" s="141" t="n"/>
      <c r="B380" s="69">
        <f>IF('Calendario C'!B40="","",'Calendario C'!B40)</f>
        <v/>
      </c>
      <c r="C380" s="9" t="n"/>
      <c r="D380" s="9" t="n"/>
      <c r="E380" s="9" t="n"/>
      <c r="F380" s="9" t="n"/>
      <c r="G380" s="9" t="n"/>
      <c r="H380" s="10" t="n"/>
      <c r="I380" s="62">
        <f>IF('Calendario C'!I40="","",'Calendario C'!I40)</f>
        <v/>
      </c>
      <c r="J380" s="141" t="n"/>
      <c r="K380" s="141" t="n"/>
      <c r="L380" s="141" t="n"/>
      <c r="M380" s="141" t="n"/>
      <c r="N380" s="141" t="n"/>
      <c r="O380" s="141" t="n"/>
      <c r="P380" s="141" t="n"/>
      <c r="Q380" s="141" t="n"/>
      <c r="R380" s="141" t="n"/>
    </row>
    <row r="382" ht="20" customHeight="1">
      <c r="A382" s="78">
        <f>IF('Calendario C'!A42="","",'Calendario C'!A42)</f>
        <v/>
      </c>
      <c r="B382" s="79">
        <f>IF('Calendario C'!B42="","",'Calendario C'!B42)</f>
        <v/>
      </c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10" t="n"/>
      <c r="M382" s="200" t="inlineStr">
        <is>
          <t>ARBITRI</t>
        </is>
      </c>
      <c r="N382" s="9" t="n"/>
      <c r="O382" s="10" t="n"/>
      <c r="P382" s="200" t="inlineStr">
        <is>
          <t>UFFICIALI DI CAMPO</t>
        </is>
      </c>
      <c r="Q382" s="9" t="n"/>
      <c r="R382" s="10" t="n"/>
    </row>
    <row r="383" ht="14" customHeight="1">
      <c r="A383" s="81" t="inlineStr">
        <is>
          <t>Gara N.</t>
        </is>
      </c>
      <c r="B383" s="81" t="inlineStr">
        <is>
          <t>Squadra A</t>
        </is>
      </c>
      <c r="C383" s="10" t="n"/>
      <c r="D383" s="81" t="inlineStr">
        <is>
          <t>Squadra B</t>
        </is>
      </c>
      <c r="E383" s="10" t="n"/>
      <c r="F383" s="81" t="inlineStr">
        <is>
          <t>Giorno</t>
        </is>
      </c>
      <c r="G383" s="81" t="inlineStr">
        <is>
          <t>Data</t>
        </is>
      </c>
      <c r="H383" s="81" t="inlineStr">
        <is>
          <t>Ora</t>
        </is>
      </c>
      <c r="I383" s="10" t="n"/>
      <c r="J383" s="81" t="inlineStr">
        <is>
          <t>Risultato</t>
        </is>
      </c>
      <c r="K383" s="9" t="n"/>
      <c r="L383" s="10" t="n"/>
      <c r="M383" s="201" t="inlineStr">
        <is>
          <t>1o Arbitro</t>
        </is>
      </c>
      <c r="N383" s="201" t="inlineStr">
        <is>
          <t>2o Arbitro</t>
        </is>
      </c>
      <c r="O383" s="201" t="inlineStr">
        <is>
          <t>3o Arbitro/Tirocinante</t>
        </is>
      </c>
      <c r="P383" s="201" t="inlineStr">
        <is>
          <t>Referto</t>
        </is>
      </c>
      <c r="Q383" s="201" t="inlineStr">
        <is>
          <t>Cronometro</t>
        </is>
      </c>
      <c r="R383" s="201" t="inlineStr">
        <is>
          <t>Foglio Tiri</t>
        </is>
      </c>
    </row>
    <row r="384" ht="22" customHeight="1">
      <c r="A384" s="83">
        <f>IF('Calendario C'!A44="","",'Calendario C'!A44)</f>
        <v/>
      </c>
      <c r="B384" s="61">
        <f>IF('Calendario C'!B44="","",'Calendario C'!B44)</f>
        <v/>
      </c>
      <c r="C384" s="62">
        <f>IF('Calendario C'!C44="","",'Calendario C'!C44)</f>
        <v/>
      </c>
      <c r="D384" s="61">
        <f>IF('Calendario C'!D44="","",'Calendario C'!D44)</f>
        <v/>
      </c>
      <c r="E384" s="62">
        <f>IF('Calendario C'!E44="","",'Calendario C'!E44)</f>
        <v/>
      </c>
      <c r="F384" s="63">
        <f>IF('Calendario C'!F44="","",'Calendario C'!F44)</f>
        <v/>
      </c>
      <c r="G384" s="9" t="n"/>
      <c r="H384" s="9" t="n"/>
      <c r="I384" s="10" t="n"/>
      <c r="J384" s="195">
        <f>IF('Calendario C'!J44="","",'Calendario C'!J44)</f>
        <v/>
      </c>
      <c r="K384" s="64" t="inlineStr">
        <is>
          <t>-</t>
        </is>
      </c>
      <c r="L384" s="195">
        <f>IF('Calendario C'!L44="","",'Calendario C'!L44)</f>
        <v/>
      </c>
      <c r="M384" s="196" t="n"/>
      <c r="N384" s="196" t="n"/>
      <c r="O384" s="196" t="n"/>
      <c r="P384" s="196" t="n"/>
      <c r="Q384" s="196" t="n"/>
      <c r="R384" s="196" t="n"/>
    </row>
    <row r="385" ht="15" customHeight="1">
      <c r="A385" s="141" t="n"/>
      <c r="B385" s="69">
        <f>IF('Calendario C'!B45="","",'Calendario C'!B45)</f>
        <v/>
      </c>
      <c r="C385" s="9" t="n"/>
      <c r="D385" s="9" t="n"/>
      <c r="E385" s="9" t="n"/>
      <c r="F385" s="9" t="n"/>
      <c r="G385" s="9" t="n"/>
      <c r="H385" s="10" t="n"/>
      <c r="I385" s="62">
        <f>IF('Calendario C'!I45="","",'Calendario C'!I45)</f>
        <v/>
      </c>
      <c r="J385" s="141" t="n"/>
      <c r="K385" s="141" t="n"/>
      <c r="L385" s="141" t="n"/>
      <c r="M385" s="141" t="n"/>
      <c r="N385" s="141" t="n"/>
      <c r="O385" s="141" t="n"/>
      <c r="P385" s="141" t="n"/>
      <c r="Q385" s="141" t="n"/>
      <c r="R385" s="141" t="n"/>
    </row>
    <row r="386" ht="14" customHeight="1">
      <c r="A386" s="81" t="inlineStr">
        <is>
          <t>Gara N.</t>
        </is>
      </c>
      <c r="B386" s="81" t="inlineStr">
        <is>
          <t>Squadra A</t>
        </is>
      </c>
      <c r="C386" s="10" t="n"/>
      <c r="D386" s="81" t="inlineStr">
        <is>
          <t>Squadra B</t>
        </is>
      </c>
      <c r="E386" s="10" t="n"/>
      <c r="F386" s="81" t="inlineStr">
        <is>
          <t>Giorno</t>
        </is>
      </c>
      <c r="G386" s="81" t="inlineStr">
        <is>
          <t>Data</t>
        </is>
      </c>
      <c r="H386" s="81" t="inlineStr">
        <is>
          <t>Ora</t>
        </is>
      </c>
      <c r="I386" s="10" t="n"/>
      <c r="J386" s="81" t="inlineStr">
        <is>
          <t>Risultato</t>
        </is>
      </c>
      <c r="K386" s="9" t="n"/>
      <c r="L386" s="10" t="n"/>
      <c r="M386" s="201" t="inlineStr">
        <is>
          <t>1o Arbitro</t>
        </is>
      </c>
      <c r="N386" s="201" t="inlineStr">
        <is>
          <t>2o Arbitro</t>
        </is>
      </c>
      <c r="O386" s="201" t="inlineStr">
        <is>
          <t>3o Arbitro/Tirocinante</t>
        </is>
      </c>
      <c r="P386" s="201" t="inlineStr">
        <is>
          <t>Referto</t>
        </is>
      </c>
      <c r="Q386" s="201" t="inlineStr">
        <is>
          <t>Cronometro</t>
        </is>
      </c>
      <c r="R386" s="201" t="inlineStr">
        <is>
          <t>Foglio Tiri</t>
        </is>
      </c>
    </row>
    <row r="387" ht="22" customHeight="1">
      <c r="A387" s="83">
        <f>IF('Calendario C'!A47="","",'Calendario C'!A47)</f>
        <v/>
      </c>
      <c r="B387" s="61">
        <f>IF('Calendario C'!B47="","",'Calendario C'!B47)</f>
        <v/>
      </c>
      <c r="C387" s="62">
        <f>IF('Calendario C'!C47="","",'Calendario C'!C47)</f>
        <v/>
      </c>
      <c r="D387" s="61">
        <f>IF('Calendario C'!D47="","",'Calendario C'!D47)</f>
        <v/>
      </c>
      <c r="E387" s="62">
        <f>IF('Calendario C'!E47="","",'Calendario C'!E47)</f>
        <v/>
      </c>
      <c r="F387" s="63">
        <f>IF('Calendario C'!F47="","",'Calendario C'!F47)</f>
        <v/>
      </c>
      <c r="G387" s="9" t="n"/>
      <c r="H387" s="9" t="n"/>
      <c r="I387" s="10" t="n"/>
      <c r="J387" s="195">
        <f>IF('Calendario C'!J47="","",'Calendario C'!J47)</f>
        <v/>
      </c>
      <c r="K387" s="64" t="inlineStr">
        <is>
          <t>-</t>
        </is>
      </c>
      <c r="L387" s="195">
        <f>IF('Calendario C'!L47="","",'Calendario C'!L47)</f>
        <v/>
      </c>
      <c r="M387" s="196" t="n"/>
      <c r="N387" s="196" t="n"/>
      <c r="O387" s="196" t="n"/>
      <c r="P387" s="196" t="n"/>
      <c r="Q387" s="196" t="n"/>
      <c r="R387" s="196" t="n"/>
    </row>
    <row r="388" ht="15" customHeight="1">
      <c r="A388" s="141" t="n"/>
      <c r="B388" s="69">
        <f>IF('Calendario C'!B48="","",'Calendario C'!B48)</f>
        <v/>
      </c>
      <c r="C388" s="9" t="n"/>
      <c r="D388" s="9" t="n"/>
      <c r="E388" s="9" t="n"/>
      <c r="F388" s="9" t="n"/>
      <c r="G388" s="9" t="n"/>
      <c r="H388" s="10" t="n"/>
      <c r="I388" s="62">
        <f>IF('Calendario C'!I48="","",'Calendario C'!I48)</f>
        <v/>
      </c>
      <c r="J388" s="141" t="n"/>
      <c r="K388" s="141" t="n"/>
      <c r="L388" s="141" t="n"/>
      <c r="M388" s="141" t="n"/>
      <c r="N388" s="141" t="n"/>
      <c r="O388" s="141" t="n"/>
      <c r="P388" s="141" t="n"/>
      <c r="Q388" s="141" t="n"/>
      <c r="R388" s="141" t="n"/>
    </row>
    <row r="389" ht="14" customHeight="1">
      <c r="A389" s="81" t="inlineStr">
        <is>
          <t>Gara N.</t>
        </is>
      </c>
      <c r="B389" s="81" t="inlineStr">
        <is>
          <t>Squadra A</t>
        </is>
      </c>
      <c r="C389" s="10" t="n"/>
      <c r="D389" s="81" t="inlineStr">
        <is>
          <t>Squadra B</t>
        </is>
      </c>
      <c r="E389" s="10" t="n"/>
      <c r="F389" s="81" t="inlineStr">
        <is>
          <t>Giorno</t>
        </is>
      </c>
      <c r="G389" s="81" t="inlineStr">
        <is>
          <t>Data</t>
        </is>
      </c>
      <c r="H389" s="81" t="inlineStr">
        <is>
          <t>Ora</t>
        </is>
      </c>
      <c r="I389" s="10" t="n"/>
      <c r="J389" s="81" t="inlineStr">
        <is>
          <t>Risultato</t>
        </is>
      </c>
      <c r="K389" s="9" t="n"/>
      <c r="L389" s="10" t="n"/>
      <c r="M389" s="201" t="inlineStr">
        <is>
          <t>1o Arbitro</t>
        </is>
      </c>
      <c r="N389" s="201" t="inlineStr">
        <is>
          <t>2o Arbitro</t>
        </is>
      </c>
      <c r="O389" s="201" t="inlineStr">
        <is>
          <t>3o Arbitro/Tirocinante</t>
        </is>
      </c>
      <c r="P389" s="201" t="inlineStr">
        <is>
          <t>Referto</t>
        </is>
      </c>
      <c r="Q389" s="201" t="inlineStr">
        <is>
          <t>Cronometro</t>
        </is>
      </c>
      <c r="R389" s="201" t="inlineStr">
        <is>
          <t>Foglio Tiri</t>
        </is>
      </c>
    </row>
    <row r="390" ht="22" customHeight="1">
      <c r="A390" s="83">
        <f>IF('Calendario C'!A50="","",'Calendario C'!A50)</f>
        <v/>
      </c>
      <c r="B390" s="61">
        <f>IF('Calendario C'!B50="","",'Calendario C'!B50)</f>
        <v/>
      </c>
      <c r="C390" s="62">
        <f>IF('Calendario C'!C50="","",'Calendario C'!C50)</f>
        <v/>
      </c>
      <c r="D390" s="61">
        <f>IF('Calendario C'!D50="","",'Calendario C'!D50)</f>
        <v/>
      </c>
      <c r="E390" s="62">
        <f>IF('Calendario C'!E50="","",'Calendario C'!E50)</f>
        <v/>
      </c>
      <c r="F390" s="63">
        <f>IF('Calendario C'!F50="","",'Calendario C'!F50)</f>
        <v/>
      </c>
      <c r="G390" s="9" t="n"/>
      <c r="H390" s="9" t="n"/>
      <c r="I390" s="10" t="n"/>
      <c r="J390" s="195">
        <f>IF('Calendario C'!J50="","",'Calendario C'!J50)</f>
        <v/>
      </c>
      <c r="K390" s="64" t="inlineStr">
        <is>
          <t>-</t>
        </is>
      </c>
      <c r="L390" s="195">
        <f>IF('Calendario C'!L50="","",'Calendario C'!L50)</f>
        <v/>
      </c>
      <c r="M390" s="196" t="n"/>
      <c r="N390" s="196" t="n"/>
      <c r="O390" s="196" t="n"/>
      <c r="P390" s="196" t="n"/>
      <c r="Q390" s="196" t="n"/>
      <c r="R390" s="196" t="n"/>
    </row>
    <row r="391" ht="15" customHeight="1">
      <c r="A391" s="141" t="n"/>
      <c r="B391" s="69">
        <f>IF('Calendario C'!B51="","",'Calendario C'!B51)</f>
        <v/>
      </c>
      <c r="C391" s="9" t="n"/>
      <c r="D391" s="9" t="n"/>
      <c r="E391" s="9" t="n"/>
      <c r="F391" s="9" t="n"/>
      <c r="G391" s="9" t="n"/>
      <c r="H391" s="10" t="n"/>
      <c r="I391" s="62">
        <f>IF('Calendario C'!I51="","",'Calendario C'!I51)</f>
        <v/>
      </c>
      <c r="J391" s="141" t="n"/>
      <c r="K391" s="141" t="n"/>
      <c r="L391" s="141" t="n"/>
      <c r="M391" s="141" t="n"/>
      <c r="N391" s="141" t="n"/>
      <c r="O391" s="141" t="n"/>
      <c r="P391" s="141" t="n"/>
      <c r="Q391" s="141" t="n"/>
      <c r="R391" s="141" t="n"/>
    </row>
    <row r="392" ht="14" customHeight="1">
      <c r="A392" s="81" t="inlineStr">
        <is>
          <t>Gara N.</t>
        </is>
      </c>
      <c r="B392" s="81" t="inlineStr">
        <is>
          <t>Squadra A</t>
        </is>
      </c>
      <c r="C392" s="10" t="n"/>
      <c r="D392" s="81" t="inlineStr">
        <is>
          <t>Squadra B</t>
        </is>
      </c>
      <c r="E392" s="10" t="n"/>
      <c r="F392" s="81" t="inlineStr">
        <is>
          <t>Giorno</t>
        </is>
      </c>
      <c r="G392" s="81" t="inlineStr">
        <is>
          <t>Data</t>
        </is>
      </c>
      <c r="H392" s="81" t="inlineStr">
        <is>
          <t>Ora</t>
        </is>
      </c>
      <c r="I392" s="10" t="n"/>
      <c r="J392" s="81" t="inlineStr">
        <is>
          <t>Risultato</t>
        </is>
      </c>
      <c r="K392" s="9" t="n"/>
      <c r="L392" s="10" t="n"/>
      <c r="M392" s="201" t="inlineStr">
        <is>
          <t>1o Arbitro</t>
        </is>
      </c>
      <c r="N392" s="201" t="inlineStr">
        <is>
          <t>2o Arbitro</t>
        </is>
      </c>
      <c r="O392" s="201" t="inlineStr">
        <is>
          <t>3o Arbitro/Tirocinante</t>
        </is>
      </c>
      <c r="P392" s="201" t="inlineStr">
        <is>
          <t>Referto</t>
        </is>
      </c>
      <c r="Q392" s="201" t="inlineStr">
        <is>
          <t>Cronometro</t>
        </is>
      </c>
      <c r="R392" s="201" t="inlineStr">
        <is>
          <t>Foglio Tiri</t>
        </is>
      </c>
    </row>
    <row r="393" ht="22" customHeight="1">
      <c r="A393" s="83">
        <f>IF('Calendario C'!A53="","",'Calendario C'!A53)</f>
        <v/>
      </c>
      <c r="B393" s="61">
        <f>IF('Calendario C'!B53="","",'Calendario C'!B53)</f>
        <v/>
      </c>
      <c r="C393" s="62">
        <f>IF('Calendario C'!C53="","",'Calendario C'!C53)</f>
        <v/>
      </c>
      <c r="D393" s="61">
        <f>IF('Calendario C'!D53="","",'Calendario C'!D53)</f>
        <v/>
      </c>
      <c r="E393" s="62">
        <f>IF('Calendario C'!E53="","",'Calendario C'!E53)</f>
        <v/>
      </c>
      <c r="F393" s="63">
        <f>IF('Calendario C'!F53="","",'Calendario C'!F53)</f>
        <v/>
      </c>
      <c r="G393" s="9" t="n"/>
      <c r="H393" s="9" t="n"/>
      <c r="I393" s="10" t="n"/>
      <c r="J393" s="195">
        <f>IF('Calendario C'!J53="","",'Calendario C'!J53)</f>
        <v/>
      </c>
      <c r="K393" s="64" t="inlineStr">
        <is>
          <t>-</t>
        </is>
      </c>
      <c r="L393" s="195">
        <f>IF('Calendario C'!L53="","",'Calendario C'!L53)</f>
        <v/>
      </c>
      <c r="M393" s="196" t="n"/>
      <c r="N393" s="196" t="n"/>
      <c r="O393" s="196" t="n"/>
      <c r="P393" s="196" t="n"/>
      <c r="Q393" s="196" t="n"/>
      <c r="R393" s="196" t="n"/>
    </row>
    <row r="394" ht="15" customHeight="1">
      <c r="A394" s="141" t="n"/>
      <c r="B394" s="69">
        <f>IF('Calendario C'!B54="","",'Calendario C'!B54)</f>
        <v/>
      </c>
      <c r="C394" s="9" t="n"/>
      <c r="D394" s="9" t="n"/>
      <c r="E394" s="9" t="n"/>
      <c r="F394" s="9" t="n"/>
      <c r="G394" s="9" t="n"/>
      <c r="H394" s="10" t="n"/>
      <c r="I394" s="62">
        <f>IF('Calendario C'!I54="","",'Calendario C'!I54)</f>
        <v/>
      </c>
      <c r="J394" s="141" t="n"/>
      <c r="K394" s="141" t="n"/>
      <c r="L394" s="141" t="n"/>
      <c r="M394" s="141" t="n"/>
      <c r="N394" s="141" t="n"/>
      <c r="O394" s="141" t="n"/>
      <c r="P394" s="141" t="n"/>
      <c r="Q394" s="141" t="n"/>
      <c r="R394" s="141" t="n"/>
    </row>
    <row r="395" ht="14" customHeight="1">
      <c r="A395" s="81" t="inlineStr">
        <is>
          <t>Gara N.</t>
        </is>
      </c>
      <c r="B395" s="81" t="inlineStr">
        <is>
          <t>Squadra A</t>
        </is>
      </c>
      <c r="C395" s="10" t="n"/>
      <c r="D395" s="81" t="inlineStr">
        <is>
          <t>Squadra B</t>
        </is>
      </c>
      <c r="E395" s="10" t="n"/>
      <c r="F395" s="81" t="inlineStr">
        <is>
          <t>Giorno</t>
        </is>
      </c>
      <c r="G395" s="81" t="inlineStr">
        <is>
          <t>Data</t>
        </is>
      </c>
      <c r="H395" s="81" t="inlineStr">
        <is>
          <t>Ora</t>
        </is>
      </c>
      <c r="I395" s="10" t="n"/>
      <c r="J395" s="81" t="inlineStr">
        <is>
          <t>Risultato</t>
        </is>
      </c>
      <c r="K395" s="9" t="n"/>
      <c r="L395" s="10" t="n"/>
      <c r="M395" s="201" t="inlineStr">
        <is>
          <t>1o Arbitro</t>
        </is>
      </c>
      <c r="N395" s="201" t="inlineStr">
        <is>
          <t>2o Arbitro</t>
        </is>
      </c>
      <c r="O395" s="201" t="inlineStr">
        <is>
          <t>3o Arbitro/Tirocinante</t>
        </is>
      </c>
      <c r="P395" s="201" t="inlineStr">
        <is>
          <t>Referto</t>
        </is>
      </c>
      <c r="Q395" s="201" t="inlineStr">
        <is>
          <t>Cronometro</t>
        </is>
      </c>
      <c r="R395" s="201" t="inlineStr">
        <is>
          <t>Foglio Tiri</t>
        </is>
      </c>
    </row>
    <row r="396" ht="22" customHeight="1">
      <c r="A396" s="83">
        <f>IF('Calendario C'!A56="","",'Calendario C'!A56)</f>
        <v/>
      </c>
      <c r="B396" s="61">
        <f>IF('Calendario C'!B56="","",'Calendario C'!B56)</f>
        <v/>
      </c>
      <c r="C396" s="62">
        <f>IF('Calendario C'!C56="","",'Calendario C'!C56)</f>
        <v/>
      </c>
      <c r="D396" s="61">
        <f>IF('Calendario C'!D56="","",'Calendario C'!D56)</f>
        <v/>
      </c>
      <c r="E396" s="62">
        <f>IF('Calendario C'!E56="","",'Calendario C'!E56)</f>
        <v/>
      </c>
      <c r="F396" s="63">
        <f>IF('Calendario C'!F56="","",'Calendario C'!F56)</f>
        <v/>
      </c>
      <c r="G396" s="9" t="n"/>
      <c r="H396" s="9" t="n"/>
      <c r="I396" s="10" t="n"/>
      <c r="J396" s="195">
        <f>IF('Calendario C'!J56="","",'Calendario C'!J56)</f>
        <v/>
      </c>
      <c r="K396" s="64" t="inlineStr">
        <is>
          <t>-</t>
        </is>
      </c>
      <c r="L396" s="195">
        <f>IF('Calendario C'!L56="","",'Calendario C'!L56)</f>
        <v/>
      </c>
      <c r="M396" s="196" t="n"/>
      <c r="N396" s="196" t="n"/>
      <c r="O396" s="196" t="n"/>
      <c r="P396" s="196" t="n"/>
      <c r="Q396" s="196" t="n"/>
      <c r="R396" s="196" t="n"/>
    </row>
    <row r="397" ht="15" customHeight="1">
      <c r="A397" s="141" t="n"/>
      <c r="B397" s="69">
        <f>IF('Calendario C'!B57="","",'Calendario C'!B57)</f>
        <v/>
      </c>
      <c r="C397" s="9" t="n"/>
      <c r="D397" s="9" t="n"/>
      <c r="E397" s="9" t="n"/>
      <c r="F397" s="9" t="n"/>
      <c r="G397" s="9" t="n"/>
      <c r="H397" s="10" t="n"/>
      <c r="I397" s="62">
        <f>IF('Calendario C'!I57="","",'Calendario C'!I57)</f>
        <v/>
      </c>
      <c r="J397" s="141" t="n"/>
      <c r="K397" s="141" t="n"/>
      <c r="L397" s="141" t="n"/>
      <c r="M397" s="141" t="n"/>
      <c r="N397" s="141" t="n"/>
      <c r="O397" s="141" t="n"/>
      <c r="P397" s="141" t="n"/>
      <c r="Q397" s="141" t="n"/>
      <c r="R397" s="141" t="n"/>
    </row>
    <row r="399" ht="20" customHeight="1">
      <c r="A399" s="78">
        <f>IF('Calendario C'!A59="","",'Calendario C'!A59)</f>
        <v/>
      </c>
      <c r="B399" s="79">
        <f>IF('Calendario C'!B59="","",'Calendario C'!B59)</f>
        <v/>
      </c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10" t="n"/>
      <c r="M399" s="200" t="inlineStr">
        <is>
          <t>ARBITRI</t>
        </is>
      </c>
      <c r="N399" s="9" t="n"/>
      <c r="O399" s="10" t="n"/>
      <c r="P399" s="200" t="inlineStr">
        <is>
          <t>UFFICIALI DI CAMPO</t>
        </is>
      </c>
      <c r="Q399" s="9" t="n"/>
      <c r="R399" s="10" t="n"/>
    </row>
    <row r="400" ht="14" customHeight="1">
      <c r="A400" s="81" t="inlineStr">
        <is>
          <t>Gara N.</t>
        </is>
      </c>
      <c r="B400" s="81" t="inlineStr">
        <is>
          <t>Squadra A</t>
        </is>
      </c>
      <c r="C400" s="10" t="n"/>
      <c r="D400" s="81" t="inlineStr">
        <is>
          <t>Squadra B</t>
        </is>
      </c>
      <c r="E400" s="10" t="n"/>
      <c r="F400" s="81" t="inlineStr">
        <is>
          <t>Giorno</t>
        </is>
      </c>
      <c r="G400" s="81" t="inlineStr">
        <is>
          <t>Data</t>
        </is>
      </c>
      <c r="H400" s="81" t="inlineStr">
        <is>
          <t>Ora</t>
        </is>
      </c>
      <c r="I400" s="10" t="n"/>
      <c r="J400" s="81" t="inlineStr">
        <is>
          <t>Risultato</t>
        </is>
      </c>
      <c r="K400" s="9" t="n"/>
      <c r="L400" s="10" t="n"/>
      <c r="M400" s="201" t="inlineStr">
        <is>
          <t>1o Arbitro</t>
        </is>
      </c>
      <c r="N400" s="201" t="inlineStr">
        <is>
          <t>2o Arbitro</t>
        </is>
      </c>
      <c r="O400" s="201" t="inlineStr">
        <is>
          <t>3o Arbitro/Tirocinante</t>
        </is>
      </c>
      <c r="P400" s="201" t="inlineStr">
        <is>
          <t>Referto</t>
        </is>
      </c>
      <c r="Q400" s="201" t="inlineStr">
        <is>
          <t>Cronometro</t>
        </is>
      </c>
      <c r="R400" s="201" t="inlineStr">
        <is>
          <t>Foglio Tiri</t>
        </is>
      </c>
    </row>
    <row r="401" ht="22" customHeight="1">
      <c r="A401" s="83">
        <f>IF('Calendario C'!A61="","",'Calendario C'!A61)</f>
        <v/>
      </c>
      <c r="B401" s="61">
        <f>IF('Calendario C'!B61="","",'Calendario C'!B61)</f>
        <v/>
      </c>
      <c r="C401" s="62">
        <f>IF('Calendario C'!C61="","",'Calendario C'!C61)</f>
        <v/>
      </c>
      <c r="D401" s="61">
        <f>IF('Calendario C'!D61="","",'Calendario C'!D61)</f>
        <v/>
      </c>
      <c r="E401" s="62">
        <f>IF('Calendario C'!E61="","",'Calendario C'!E61)</f>
        <v/>
      </c>
      <c r="F401" s="63">
        <f>IF('Calendario C'!F61="","",'Calendario C'!F61)</f>
        <v/>
      </c>
      <c r="G401" s="9" t="n"/>
      <c r="H401" s="9" t="n"/>
      <c r="I401" s="10" t="n"/>
      <c r="J401" s="195">
        <f>IF('Calendario C'!J61="","",'Calendario C'!J61)</f>
        <v/>
      </c>
      <c r="K401" s="64" t="inlineStr">
        <is>
          <t>-</t>
        </is>
      </c>
      <c r="L401" s="195">
        <f>IF('Calendario C'!L61="","",'Calendario C'!L61)</f>
        <v/>
      </c>
      <c r="M401" s="196" t="n"/>
      <c r="N401" s="196" t="n"/>
      <c r="O401" s="196" t="n"/>
      <c r="P401" s="196" t="n"/>
      <c r="Q401" s="196" t="n"/>
      <c r="R401" s="196" t="n"/>
    </row>
    <row r="402" ht="15" customHeight="1">
      <c r="A402" s="141" t="n"/>
      <c r="B402" s="69">
        <f>IF('Calendario C'!B62="","",'Calendario C'!B62)</f>
        <v/>
      </c>
      <c r="C402" s="9" t="n"/>
      <c r="D402" s="9" t="n"/>
      <c r="E402" s="9" t="n"/>
      <c r="F402" s="9" t="n"/>
      <c r="G402" s="9" t="n"/>
      <c r="H402" s="10" t="n"/>
      <c r="I402" s="62">
        <f>IF('Calendario C'!I62="","",'Calendario C'!I62)</f>
        <v/>
      </c>
      <c r="J402" s="141" t="n"/>
      <c r="K402" s="141" t="n"/>
      <c r="L402" s="141" t="n"/>
      <c r="M402" s="141" t="n"/>
      <c r="N402" s="141" t="n"/>
      <c r="O402" s="141" t="n"/>
      <c r="P402" s="141" t="n"/>
      <c r="Q402" s="141" t="n"/>
      <c r="R402" s="141" t="n"/>
    </row>
    <row r="403" ht="14" customHeight="1">
      <c r="A403" s="81" t="inlineStr">
        <is>
          <t>Gara N.</t>
        </is>
      </c>
      <c r="B403" s="81" t="inlineStr">
        <is>
          <t>Squadra A</t>
        </is>
      </c>
      <c r="C403" s="10" t="n"/>
      <c r="D403" s="81" t="inlineStr">
        <is>
          <t>Squadra B</t>
        </is>
      </c>
      <c r="E403" s="10" t="n"/>
      <c r="F403" s="81" t="inlineStr">
        <is>
          <t>Giorno</t>
        </is>
      </c>
      <c r="G403" s="81" t="inlineStr">
        <is>
          <t>Data</t>
        </is>
      </c>
      <c r="H403" s="81" t="inlineStr">
        <is>
          <t>Ora</t>
        </is>
      </c>
      <c r="I403" s="10" t="n"/>
      <c r="J403" s="81" t="inlineStr">
        <is>
          <t>Risultato</t>
        </is>
      </c>
      <c r="K403" s="9" t="n"/>
      <c r="L403" s="10" t="n"/>
      <c r="M403" s="201" t="inlineStr">
        <is>
          <t>1o Arbitro</t>
        </is>
      </c>
      <c r="N403" s="201" t="inlineStr">
        <is>
          <t>2o Arbitro</t>
        </is>
      </c>
      <c r="O403" s="201" t="inlineStr">
        <is>
          <t>3o Arbitro/Tirocinante</t>
        </is>
      </c>
      <c r="P403" s="201" t="inlineStr">
        <is>
          <t>Referto</t>
        </is>
      </c>
      <c r="Q403" s="201" t="inlineStr">
        <is>
          <t>Cronometro</t>
        </is>
      </c>
      <c r="R403" s="201" t="inlineStr">
        <is>
          <t>Foglio Tiri</t>
        </is>
      </c>
    </row>
    <row r="404" ht="22" customHeight="1">
      <c r="A404" s="83">
        <f>IF('Calendario C'!A64="","",'Calendario C'!A64)</f>
        <v/>
      </c>
      <c r="B404" s="61">
        <f>IF('Calendario C'!B64="","",'Calendario C'!B64)</f>
        <v/>
      </c>
      <c r="C404" s="62">
        <f>IF('Calendario C'!C64="","",'Calendario C'!C64)</f>
        <v/>
      </c>
      <c r="D404" s="61">
        <f>IF('Calendario C'!D64="","",'Calendario C'!D64)</f>
        <v/>
      </c>
      <c r="E404" s="62">
        <f>IF('Calendario C'!E64="","",'Calendario C'!E64)</f>
        <v/>
      </c>
      <c r="F404" s="63">
        <f>IF('Calendario C'!F64="","",'Calendario C'!F64)</f>
        <v/>
      </c>
      <c r="G404" s="9" t="n"/>
      <c r="H404" s="9" t="n"/>
      <c r="I404" s="10" t="n"/>
      <c r="J404" s="195">
        <f>IF('Calendario C'!J64="","",'Calendario C'!J64)</f>
        <v/>
      </c>
      <c r="K404" s="64" t="inlineStr">
        <is>
          <t>-</t>
        </is>
      </c>
      <c r="L404" s="195">
        <f>IF('Calendario C'!L64="","",'Calendario C'!L64)</f>
        <v/>
      </c>
      <c r="M404" s="196" t="n"/>
      <c r="N404" s="196" t="n"/>
      <c r="O404" s="196" t="n"/>
      <c r="P404" s="196" t="n"/>
      <c r="Q404" s="196" t="n"/>
      <c r="R404" s="196" t="n"/>
    </row>
    <row r="405" ht="15" customHeight="1">
      <c r="A405" s="141" t="n"/>
      <c r="B405" s="69">
        <f>IF('Calendario C'!B65="","",'Calendario C'!B65)</f>
        <v/>
      </c>
      <c r="C405" s="9" t="n"/>
      <c r="D405" s="9" t="n"/>
      <c r="E405" s="9" t="n"/>
      <c r="F405" s="9" t="n"/>
      <c r="G405" s="9" t="n"/>
      <c r="H405" s="10" t="n"/>
      <c r="I405" s="62">
        <f>IF('Calendario C'!I65="","",'Calendario C'!I65)</f>
        <v/>
      </c>
      <c r="J405" s="141" t="n"/>
      <c r="K405" s="141" t="n"/>
      <c r="L405" s="141" t="n"/>
      <c r="M405" s="141" t="n"/>
      <c r="N405" s="141" t="n"/>
      <c r="O405" s="141" t="n"/>
      <c r="P405" s="141" t="n"/>
      <c r="Q405" s="141" t="n"/>
      <c r="R405" s="141" t="n"/>
    </row>
    <row r="406" ht="14" customHeight="1">
      <c r="A406" s="81" t="inlineStr">
        <is>
          <t>Gara N.</t>
        </is>
      </c>
      <c r="B406" s="81" t="inlineStr">
        <is>
          <t>Squadra A</t>
        </is>
      </c>
      <c r="C406" s="10" t="n"/>
      <c r="D406" s="81" t="inlineStr">
        <is>
          <t>Squadra B</t>
        </is>
      </c>
      <c r="E406" s="10" t="n"/>
      <c r="F406" s="81" t="inlineStr">
        <is>
          <t>Giorno</t>
        </is>
      </c>
      <c r="G406" s="81" t="inlineStr">
        <is>
          <t>Data</t>
        </is>
      </c>
      <c r="H406" s="81" t="inlineStr">
        <is>
          <t>Ora</t>
        </is>
      </c>
      <c r="I406" s="10" t="n"/>
      <c r="J406" s="81" t="inlineStr">
        <is>
          <t>Risultato</t>
        </is>
      </c>
      <c r="K406" s="9" t="n"/>
      <c r="L406" s="10" t="n"/>
      <c r="M406" s="201" t="inlineStr">
        <is>
          <t>1o Arbitro</t>
        </is>
      </c>
      <c r="N406" s="201" t="inlineStr">
        <is>
          <t>2o Arbitro</t>
        </is>
      </c>
      <c r="O406" s="201" t="inlineStr">
        <is>
          <t>3o Arbitro/Tirocinante</t>
        </is>
      </c>
      <c r="P406" s="201" t="inlineStr">
        <is>
          <t>Referto</t>
        </is>
      </c>
      <c r="Q406" s="201" t="inlineStr">
        <is>
          <t>Cronometro</t>
        </is>
      </c>
      <c r="R406" s="201" t="inlineStr">
        <is>
          <t>Foglio Tiri</t>
        </is>
      </c>
    </row>
    <row r="407" ht="22" customHeight="1">
      <c r="A407" s="83">
        <f>IF('Calendario C'!A67="","",'Calendario C'!A67)</f>
        <v/>
      </c>
      <c r="B407" s="61">
        <f>IF('Calendario C'!B67="","",'Calendario C'!B67)</f>
        <v/>
      </c>
      <c r="C407" s="62">
        <f>IF('Calendario C'!C67="","",'Calendario C'!C67)</f>
        <v/>
      </c>
      <c r="D407" s="61">
        <f>IF('Calendario C'!D67="","",'Calendario C'!D67)</f>
        <v/>
      </c>
      <c r="E407" s="62">
        <f>IF('Calendario C'!E67="","",'Calendario C'!E67)</f>
        <v/>
      </c>
      <c r="F407" s="63">
        <f>IF('Calendario C'!F67="","",'Calendario C'!F67)</f>
        <v/>
      </c>
      <c r="G407" s="9" t="n"/>
      <c r="H407" s="9" t="n"/>
      <c r="I407" s="10" t="n"/>
      <c r="J407" s="195">
        <f>IF('Calendario C'!J67="","",'Calendario C'!J67)</f>
        <v/>
      </c>
      <c r="K407" s="64" t="inlineStr">
        <is>
          <t>-</t>
        </is>
      </c>
      <c r="L407" s="195">
        <f>IF('Calendario C'!L67="","",'Calendario C'!L67)</f>
        <v/>
      </c>
      <c r="M407" s="196" t="n"/>
      <c r="N407" s="196" t="n"/>
      <c r="O407" s="196" t="n"/>
      <c r="P407" s="196" t="n"/>
      <c r="Q407" s="196" t="n"/>
      <c r="R407" s="196" t="n"/>
    </row>
    <row r="408" ht="15" customHeight="1">
      <c r="A408" s="141" t="n"/>
      <c r="B408" s="69">
        <f>IF('Calendario C'!B68="","",'Calendario C'!B68)</f>
        <v/>
      </c>
      <c r="C408" s="9" t="n"/>
      <c r="D408" s="9" t="n"/>
      <c r="E408" s="9" t="n"/>
      <c r="F408" s="9" t="n"/>
      <c r="G408" s="9" t="n"/>
      <c r="H408" s="10" t="n"/>
      <c r="I408" s="62">
        <f>IF('Calendario C'!I68="","",'Calendario C'!I68)</f>
        <v/>
      </c>
      <c r="J408" s="141" t="n"/>
      <c r="K408" s="141" t="n"/>
      <c r="L408" s="141" t="n"/>
      <c r="M408" s="141" t="n"/>
      <c r="N408" s="141" t="n"/>
      <c r="O408" s="141" t="n"/>
      <c r="P408" s="141" t="n"/>
      <c r="Q408" s="141" t="n"/>
      <c r="R408" s="141" t="n"/>
    </row>
    <row r="409" ht="14" customHeight="1">
      <c r="A409" s="81" t="inlineStr">
        <is>
          <t>Gara N.</t>
        </is>
      </c>
      <c r="B409" s="81" t="inlineStr">
        <is>
          <t>Squadra A</t>
        </is>
      </c>
      <c r="C409" s="10" t="n"/>
      <c r="D409" s="81" t="inlineStr">
        <is>
          <t>Squadra B</t>
        </is>
      </c>
      <c r="E409" s="10" t="n"/>
      <c r="F409" s="81" t="inlineStr">
        <is>
          <t>Giorno</t>
        </is>
      </c>
      <c r="G409" s="81" t="inlineStr">
        <is>
          <t>Data</t>
        </is>
      </c>
      <c r="H409" s="81" t="inlineStr">
        <is>
          <t>Ora</t>
        </is>
      </c>
      <c r="I409" s="10" t="n"/>
      <c r="J409" s="81" t="inlineStr">
        <is>
          <t>Risultato</t>
        </is>
      </c>
      <c r="K409" s="9" t="n"/>
      <c r="L409" s="10" t="n"/>
      <c r="M409" s="201" t="inlineStr">
        <is>
          <t>1o Arbitro</t>
        </is>
      </c>
      <c r="N409" s="201" t="inlineStr">
        <is>
          <t>2o Arbitro</t>
        </is>
      </c>
      <c r="O409" s="201" t="inlineStr">
        <is>
          <t>3o Arbitro/Tirocinante</t>
        </is>
      </c>
      <c r="P409" s="201" t="inlineStr">
        <is>
          <t>Referto</t>
        </is>
      </c>
      <c r="Q409" s="201" t="inlineStr">
        <is>
          <t>Cronometro</t>
        </is>
      </c>
      <c r="R409" s="201" t="inlineStr">
        <is>
          <t>Foglio Tiri</t>
        </is>
      </c>
    </row>
    <row r="410" ht="22" customHeight="1">
      <c r="A410" s="83">
        <f>IF('Calendario C'!A70="","",'Calendario C'!A70)</f>
        <v/>
      </c>
      <c r="B410" s="61">
        <f>IF('Calendario C'!B70="","",'Calendario C'!B70)</f>
        <v/>
      </c>
      <c r="C410" s="62">
        <f>IF('Calendario C'!C70="","",'Calendario C'!C70)</f>
        <v/>
      </c>
      <c r="D410" s="61">
        <f>IF('Calendario C'!D70="","",'Calendario C'!D70)</f>
        <v/>
      </c>
      <c r="E410" s="62">
        <f>IF('Calendario C'!E70="","",'Calendario C'!E70)</f>
        <v/>
      </c>
      <c r="F410" s="63">
        <f>IF('Calendario C'!F70="","",'Calendario C'!F70)</f>
        <v/>
      </c>
      <c r="G410" s="9" t="n"/>
      <c r="H410" s="9" t="n"/>
      <c r="I410" s="10" t="n"/>
      <c r="J410" s="195">
        <f>IF('Calendario C'!J70="","",'Calendario C'!J70)</f>
        <v/>
      </c>
      <c r="K410" s="64" t="inlineStr">
        <is>
          <t>-</t>
        </is>
      </c>
      <c r="L410" s="195">
        <f>IF('Calendario C'!L70="","",'Calendario C'!L70)</f>
        <v/>
      </c>
      <c r="M410" s="196" t="n"/>
      <c r="N410" s="196" t="n"/>
      <c r="O410" s="196" t="n"/>
      <c r="P410" s="196" t="n"/>
      <c r="Q410" s="196" t="n"/>
      <c r="R410" s="196" t="n"/>
    </row>
    <row r="411" ht="15" customHeight="1">
      <c r="A411" s="141" t="n"/>
      <c r="B411" s="69">
        <f>IF('Calendario C'!B71="","",'Calendario C'!B71)</f>
        <v/>
      </c>
      <c r="C411" s="9" t="n"/>
      <c r="D411" s="9" t="n"/>
      <c r="E411" s="9" t="n"/>
      <c r="F411" s="9" t="n"/>
      <c r="G411" s="9" t="n"/>
      <c r="H411" s="10" t="n"/>
      <c r="I411" s="62">
        <f>IF('Calendario C'!I71="","",'Calendario C'!I71)</f>
        <v/>
      </c>
      <c r="J411" s="141" t="n"/>
      <c r="K411" s="141" t="n"/>
      <c r="L411" s="141" t="n"/>
      <c r="M411" s="141" t="n"/>
      <c r="N411" s="141" t="n"/>
      <c r="O411" s="141" t="n"/>
      <c r="P411" s="141" t="n"/>
      <c r="Q411" s="141" t="n"/>
      <c r="R411" s="141" t="n"/>
    </row>
    <row r="412" ht="14" customHeight="1">
      <c r="A412" s="81" t="inlineStr">
        <is>
          <t>Gara N.</t>
        </is>
      </c>
      <c r="B412" s="81" t="inlineStr">
        <is>
          <t>Squadra A</t>
        </is>
      </c>
      <c r="C412" s="10" t="n"/>
      <c r="D412" s="81" t="inlineStr">
        <is>
          <t>Squadra B</t>
        </is>
      </c>
      <c r="E412" s="10" t="n"/>
      <c r="F412" s="81" t="inlineStr">
        <is>
          <t>Giorno</t>
        </is>
      </c>
      <c r="G412" s="81" t="inlineStr">
        <is>
          <t>Data</t>
        </is>
      </c>
      <c r="H412" s="81" t="inlineStr">
        <is>
          <t>Ora</t>
        </is>
      </c>
      <c r="I412" s="10" t="n"/>
      <c r="J412" s="81" t="inlineStr">
        <is>
          <t>Risultato</t>
        </is>
      </c>
      <c r="K412" s="9" t="n"/>
      <c r="L412" s="10" t="n"/>
      <c r="M412" s="201" t="inlineStr">
        <is>
          <t>1o Arbitro</t>
        </is>
      </c>
      <c r="N412" s="201" t="inlineStr">
        <is>
          <t>2o Arbitro</t>
        </is>
      </c>
      <c r="O412" s="201" t="inlineStr">
        <is>
          <t>3o Arbitro/Tirocinante</t>
        </is>
      </c>
      <c r="P412" s="201" t="inlineStr">
        <is>
          <t>Referto</t>
        </is>
      </c>
      <c r="Q412" s="201" t="inlineStr">
        <is>
          <t>Cronometro</t>
        </is>
      </c>
      <c r="R412" s="201" t="inlineStr">
        <is>
          <t>Foglio Tiri</t>
        </is>
      </c>
    </row>
    <row r="413" ht="22" customHeight="1">
      <c r="A413" s="83">
        <f>IF('Calendario C'!A73="","",'Calendario C'!A73)</f>
        <v/>
      </c>
      <c r="B413" s="61">
        <f>IF('Calendario C'!B73="","",'Calendario C'!B73)</f>
        <v/>
      </c>
      <c r="C413" s="62">
        <f>IF('Calendario C'!C73="","",'Calendario C'!C73)</f>
        <v/>
      </c>
      <c r="D413" s="61">
        <f>IF('Calendario C'!D73="","",'Calendario C'!D73)</f>
        <v/>
      </c>
      <c r="E413" s="62">
        <f>IF('Calendario C'!E73="","",'Calendario C'!E73)</f>
        <v/>
      </c>
      <c r="F413" s="63">
        <f>IF('Calendario C'!F73="","",'Calendario C'!F73)</f>
        <v/>
      </c>
      <c r="G413" s="9" t="n"/>
      <c r="H413" s="9" t="n"/>
      <c r="I413" s="10" t="n"/>
      <c r="J413" s="195">
        <f>IF('Calendario C'!J73="","",'Calendario C'!J73)</f>
        <v/>
      </c>
      <c r="K413" s="64" t="inlineStr">
        <is>
          <t>-</t>
        </is>
      </c>
      <c r="L413" s="195">
        <f>IF('Calendario C'!L73="","",'Calendario C'!L73)</f>
        <v/>
      </c>
      <c r="M413" s="196" t="n"/>
      <c r="N413" s="196" t="n"/>
      <c r="O413" s="196" t="n"/>
      <c r="P413" s="196" t="n"/>
      <c r="Q413" s="196" t="n"/>
      <c r="R413" s="196" t="n"/>
    </row>
    <row r="414" ht="15" customHeight="1">
      <c r="A414" s="141" t="n"/>
      <c r="B414" s="69">
        <f>IF('Calendario C'!B74="","",'Calendario C'!B74)</f>
        <v/>
      </c>
      <c r="C414" s="9" t="n"/>
      <c r="D414" s="9" t="n"/>
      <c r="E414" s="9" t="n"/>
      <c r="F414" s="9" t="n"/>
      <c r="G414" s="9" t="n"/>
      <c r="H414" s="10" t="n"/>
      <c r="I414" s="62">
        <f>IF('Calendario C'!I74="","",'Calendario C'!I74)</f>
        <v/>
      </c>
      <c r="J414" s="141" t="n"/>
      <c r="K414" s="141" t="n"/>
      <c r="L414" s="141" t="n"/>
      <c r="M414" s="141" t="n"/>
      <c r="N414" s="141" t="n"/>
      <c r="O414" s="141" t="n"/>
      <c r="P414" s="141" t="n"/>
      <c r="Q414" s="141" t="n"/>
      <c r="R414" s="141" t="n"/>
    </row>
    <row r="416" ht="20" customHeight="1">
      <c r="A416" s="78">
        <f>IF('Calendario C'!A76="","",'Calendario C'!A76)</f>
        <v/>
      </c>
      <c r="B416" s="79">
        <f>IF('Calendario C'!B76="","",'Calendario C'!B76)</f>
        <v/>
      </c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10" t="n"/>
      <c r="M416" s="200" t="inlineStr">
        <is>
          <t>ARBITRI</t>
        </is>
      </c>
      <c r="N416" s="9" t="n"/>
      <c r="O416" s="10" t="n"/>
      <c r="P416" s="200" t="inlineStr">
        <is>
          <t>UFFICIALI DI CAMPO</t>
        </is>
      </c>
      <c r="Q416" s="9" t="n"/>
      <c r="R416" s="10" t="n"/>
    </row>
    <row r="417" ht="14" customHeight="1">
      <c r="A417" s="81" t="inlineStr">
        <is>
          <t>Gara N.</t>
        </is>
      </c>
      <c r="B417" s="81" t="inlineStr">
        <is>
          <t>Squadra A</t>
        </is>
      </c>
      <c r="C417" s="10" t="n"/>
      <c r="D417" s="81" t="inlineStr">
        <is>
          <t>Squadra B</t>
        </is>
      </c>
      <c r="E417" s="10" t="n"/>
      <c r="F417" s="81" t="inlineStr">
        <is>
          <t>Giorno</t>
        </is>
      </c>
      <c r="G417" s="81" t="inlineStr">
        <is>
          <t>Data</t>
        </is>
      </c>
      <c r="H417" s="81" t="inlineStr">
        <is>
          <t>Ora</t>
        </is>
      </c>
      <c r="I417" s="10" t="n"/>
      <c r="J417" s="81" t="inlineStr">
        <is>
          <t>Risultato</t>
        </is>
      </c>
      <c r="K417" s="9" t="n"/>
      <c r="L417" s="10" t="n"/>
      <c r="M417" s="201" t="inlineStr">
        <is>
          <t>1o Arbitro</t>
        </is>
      </c>
      <c r="N417" s="201" t="inlineStr">
        <is>
          <t>2o Arbitro</t>
        </is>
      </c>
      <c r="O417" s="201" t="inlineStr">
        <is>
          <t>3o Arbitro/Tirocinante</t>
        </is>
      </c>
      <c r="P417" s="201" t="inlineStr">
        <is>
          <t>Referto</t>
        </is>
      </c>
      <c r="Q417" s="201" t="inlineStr">
        <is>
          <t>Cronometro</t>
        </is>
      </c>
      <c r="R417" s="201" t="inlineStr">
        <is>
          <t>Foglio Tiri</t>
        </is>
      </c>
    </row>
    <row r="418" ht="22" customHeight="1">
      <c r="A418" s="83">
        <f>IF('Calendario C'!A78="","",'Calendario C'!A78)</f>
        <v/>
      </c>
      <c r="B418" s="61">
        <f>IF('Calendario C'!B78="","",'Calendario C'!B78)</f>
        <v/>
      </c>
      <c r="C418" s="62">
        <f>IF('Calendario C'!C78="","",'Calendario C'!C78)</f>
        <v/>
      </c>
      <c r="D418" s="61">
        <f>IF('Calendario C'!D78="","",'Calendario C'!D78)</f>
        <v/>
      </c>
      <c r="E418" s="62">
        <f>IF('Calendario C'!E78="","",'Calendario C'!E78)</f>
        <v/>
      </c>
      <c r="F418" s="63">
        <f>IF('Calendario C'!F78="","",'Calendario C'!F78)</f>
        <v/>
      </c>
      <c r="G418" s="9" t="n"/>
      <c r="H418" s="9" t="n"/>
      <c r="I418" s="10" t="n"/>
      <c r="J418" s="195">
        <f>IF('Calendario C'!J78="","",'Calendario C'!J78)</f>
        <v/>
      </c>
      <c r="K418" s="64" t="inlineStr">
        <is>
          <t>-</t>
        </is>
      </c>
      <c r="L418" s="195">
        <f>IF('Calendario C'!L78="","",'Calendario C'!L78)</f>
        <v/>
      </c>
      <c r="M418" s="196" t="n"/>
      <c r="N418" s="196" t="n"/>
      <c r="O418" s="196" t="n"/>
      <c r="P418" s="196" t="n"/>
      <c r="Q418" s="196" t="n"/>
      <c r="R418" s="196" t="n"/>
    </row>
    <row r="419" ht="15" customHeight="1">
      <c r="A419" s="141" t="n"/>
      <c r="B419" s="69">
        <f>IF('Calendario C'!B79="","",'Calendario C'!B79)</f>
        <v/>
      </c>
      <c r="C419" s="9" t="n"/>
      <c r="D419" s="9" t="n"/>
      <c r="E419" s="9" t="n"/>
      <c r="F419" s="9" t="n"/>
      <c r="G419" s="9" t="n"/>
      <c r="H419" s="10" t="n"/>
      <c r="I419" s="62">
        <f>IF('Calendario C'!I79="","",'Calendario C'!I79)</f>
        <v/>
      </c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</row>
    <row r="420" ht="14" customHeight="1">
      <c r="A420" s="81" t="inlineStr">
        <is>
          <t>Gara N.</t>
        </is>
      </c>
      <c r="B420" s="81" t="inlineStr">
        <is>
          <t>Squadra A</t>
        </is>
      </c>
      <c r="C420" s="10" t="n"/>
      <c r="D420" s="81" t="inlineStr">
        <is>
          <t>Squadra B</t>
        </is>
      </c>
      <c r="E420" s="10" t="n"/>
      <c r="F420" s="81" t="inlineStr">
        <is>
          <t>Giorno</t>
        </is>
      </c>
      <c r="G420" s="81" t="inlineStr">
        <is>
          <t>Data</t>
        </is>
      </c>
      <c r="H420" s="81" t="inlineStr">
        <is>
          <t>Ora</t>
        </is>
      </c>
      <c r="I420" s="10" t="n"/>
      <c r="J420" s="81" t="inlineStr">
        <is>
          <t>Risultato</t>
        </is>
      </c>
      <c r="K420" s="9" t="n"/>
      <c r="L420" s="10" t="n"/>
      <c r="M420" s="201" t="inlineStr">
        <is>
          <t>1o Arbitro</t>
        </is>
      </c>
      <c r="N420" s="201" t="inlineStr">
        <is>
          <t>2o Arbitro</t>
        </is>
      </c>
      <c r="O420" s="201" t="inlineStr">
        <is>
          <t>3o Arbitro/Tirocinante</t>
        </is>
      </c>
      <c r="P420" s="201" t="inlineStr">
        <is>
          <t>Referto</t>
        </is>
      </c>
      <c r="Q420" s="201" t="inlineStr">
        <is>
          <t>Cronometro</t>
        </is>
      </c>
      <c r="R420" s="201" t="inlineStr">
        <is>
          <t>Foglio Tiri</t>
        </is>
      </c>
    </row>
    <row r="421" ht="22" customHeight="1">
      <c r="A421" s="83">
        <f>IF('Calendario C'!A81="","",'Calendario C'!A81)</f>
        <v/>
      </c>
      <c r="B421" s="61">
        <f>IF('Calendario C'!B81="","",'Calendario C'!B81)</f>
        <v/>
      </c>
      <c r="C421" s="62">
        <f>IF('Calendario C'!C81="","",'Calendario C'!C81)</f>
        <v/>
      </c>
      <c r="D421" s="61">
        <f>IF('Calendario C'!D81="","",'Calendario C'!D81)</f>
        <v/>
      </c>
      <c r="E421" s="62">
        <f>IF('Calendario C'!E81="","",'Calendario C'!E81)</f>
        <v/>
      </c>
      <c r="F421" s="63">
        <f>IF('Calendario C'!F81="","",'Calendario C'!F81)</f>
        <v/>
      </c>
      <c r="G421" s="9" t="n"/>
      <c r="H421" s="9" t="n"/>
      <c r="I421" s="10" t="n"/>
      <c r="J421" s="195">
        <f>IF('Calendario C'!J81="","",'Calendario C'!J81)</f>
        <v/>
      </c>
      <c r="K421" s="64" t="inlineStr">
        <is>
          <t>-</t>
        </is>
      </c>
      <c r="L421" s="195">
        <f>IF('Calendario C'!L81="","",'Calendario C'!L81)</f>
        <v/>
      </c>
      <c r="M421" s="196" t="n"/>
      <c r="N421" s="196" t="n"/>
      <c r="O421" s="196" t="n"/>
      <c r="P421" s="196" t="n"/>
      <c r="Q421" s="196" t="n"/>
      <c r="R421" s="196" t="n"/>
    </row>
    <row r="422" ht="15" customHeight="1">
      <c r="A422" s="141" t="n"/>
      <c r="B422" s="69">
        <f>IF('Calendario C'!B82="","",'Calendario C'!B82)</f>
        <v/>
      </c>
      <c r="C422" s="9" t="n"/>
      <c r="D422" s="9" t="n"/>
      <c r="E422" s="9" t="n"/>
      <c r="F422" s="9" t="n"/>
      <c r="G422" s="9" t="n"/>
      <c r="H422" s="10" t="n"/>
      <c r="I422" s="62">
        <f>IF('Calendario C'!I82="","",'Calendario C'!I82)</f>
        <v/>
      </c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</row>
    <row r="423" ht="14" customHeight="1">
      <c r="A423" s="81" t="inlineStr">
        <is>
          <t>Gara N.</t>
        </is>
      </c>
      <c r="B423" s="81" t="inlineStr">
        <is>
          <t>Squadra A</t>
        </is>
      </c>
      <c r="C423" s="10" t="n"/>
      <c r="D423" s="81" t="inlineStr">
        <is>
          <t>Squadra B</t>
        </is>
      </c>
      <c r="E423" s="10" t="n"/>
      <c r="F423" s="81" t="inlineStr">
        <is>
          <t>Giorno</t>
        </is>
      </c>
      <c r="G423" s="81" t="inlineStr">
        <is>
          <t>Data</t>
        </is>
      </c>
      <c r="H423" s="81" t="inlineStr">
        <is>
          <t>Ora</t>
        </is>
      </c>
      <c r="I423" s="10" t="n"/>
      <c r="J423" s="81" t="inlineStr">
        <is>
          <t>Risultato</t>
        </is>
      </c>
      <c r="K423" s="9" t="n"/>
      <c r="L423" s="10" t="n"/>
      <c r="M423" s="201" t="inlineStr">
        <is>
          <t>1o Arbitro</t>
        </is>
      </c>
      <c r="N423" s="201" t="inlineStr">
        <is>
          <t>2o Arbitro</t>
        </is>
      </c>
      <c r="O423" s="201" t="inlineStr">
        <is>
          <t>3o Arbitro/Tirocinante</t>
        </is>
      </c>
      <c r="P423" s="201" t="inlineStr">
        <is>
          <t>Referto</t>
        </is>
      </c>
      <c r="Q423" s="201" t="inlineStr">
        <is>
          <t>Cronometro</t>
        </is>
      </c>
      <c r="R423" s="201" t="inlineStr">
        <is>
          <t>Foglio Tiri</t>
        </is>
      </c>
    </row>
    <row r="424" ht="22" customHeight="1">
      <c r="A424" s="83">
        <f>IF('Calendario C'!A84="","",'Calendario C'!A84)</f>
        <v/>
      </c>
      <c r="B424" s="61">
        <f>IF('Calendario C'!B84="","",'Calendario C'!B84)</f>
        <v/>
      </c>
      <c r="C424" s="62">
        <f>IF('Calendario C'!C84="","",'Calendario C'!C84)</f>
        <v/>
      </c>
      <c r="D424" s="61">
        <f>IF('Calendario C'!D84="","",'Calendario C'!D84)</f>
        <v/>
      </c>
      <c r="E424" s="62">
        <f>IF('Calendario C'!E84="","",'Calendario C'!E84)</f>
        <v/>
      </c>
      <c r="F424" s="63">
        <f>IF('Calendario C'!F84="","",'Calendario C'!F84)</f>
        <v/>
      </c>
      <c r="G424" s="9" t="n"/>
      <c r="H424" s="9" t="n"/>
      <c r="I424" s="10" t="n"/>
      <c r="J424" s="195">
        <f>IF('Calendario C'!J84="","",'Calendario C'!J84)</f>
        <v/>
      </c>
      <c r="K424" s="64" t="inlineStr">
        <is>
          <t>-</t>
        </is>
      </c>
      <c r="L424" s="195">
        <f>IF('Calendario C'!L84="","",'Calendario C'!L84)</f>
        <v/>
      </c>
      <c r="M424" s="196" t="n"/>
      <c r="N424" s="196" t="n"/>
      <c r="O424" s="196" t="n"/>
      <c r="P424" s="196" t="n"/>
      <c r="Q424" s="196" t="n"/>
      <c r="R424" s="196" t="n"/>
    </row>
    <row r="425" ht="15" customHeight="1">
      <c r="A425" s="141" t="n"/>
      <c r="B425" s="69">
        <f>IF('Calendario C'!B85="","",'Calendario C'!B85)</f>
        <v/>
      </c>
      <c r="C425" s="9" t="n"/>
      <c r="D425" s="9" t="n"/>
      <c r="E425" s="9" t="n"/>
      <c r="F425" s="9" t="n"/>
      <c r="G425" s="9" t="n"/>
      <c r="H425" s="10" t="n"/>
      <c r="I425" s="62">
        <f>IF('Calendario C'!I85="","",'Calendario C'!I85)</f>
        <v/>
      </c>
      <c r="J425" s="141" t="n"/>
      <c r="K425" s="141" t="n"/>
      <c r="L425" s="141" t="n"/>
      <c r="M425" s="141" t="n"/>
      <c r="N425" s="141" t="n"/>
      <c r="O425" s="141" t="n"/>
      <c r="P425" s="141" t="n"/>
      <c r="Q425" s="141" t="n"/>
      <c r="R425" s="141" t="n"/>
    </row>
    <row r="426" ht="14" customHeight="1">
      <c r="A426" s="81" t="inlineStr">
        <is>
          <t>Gara N.</t>
        </is>
      </c>
      <c r="B426" s="81" t="inlineStr">
        <is>
          <t>Squadra A</t>
        </is>
      </c>
      <c r="C426" s="10" t="n"/>
      <c r="D426" s="81" t="inlineStr">
        <is>
          <t>Squadra B</t>
        </is>
      </c>
      <c r="E426" s="10" t="n"/>
      <c r="F426" s="81" t="inlineStr">
        <is>
          <t>Giorno</t>
        </is>
      </c>
      <c r="G426" s="81" t="inlineStr">
        <is>
          <t>Data</t>
        </is>
      </c>
      <c r="H426" s="81" t="inlineStr">
        <is>
          <t>Ora</t>
        </is>
      </c>
      <c r="I426" s="10" t="n"/>
      <c r="J426" s="81" t="inlineStr">
        <is>
          <t>Risultato</t>
        </is>
      </c>
      <c r="K426" s="9" t="n"/>
      <c r="L426" s="10" t="n"/>
      <c r="M426" s="201" t="inlineStr">
        <is>
          <t>1o Arbitro</t>
        </is>
      </c>
      <c r="N426" s="201" t="inlineStr">
        <is>
          <t>2o Arbitro</t>
        </is>
      </c>
      <c r="O426" s="201" t="inlineStr">
        <is>
          <t>3o Arbitro/Tirocinante</t>
        </is>
      </c>
      <c r="P426" s="201" t="inlineStr">
        <is>
          <t>Referto</t>
        </is>
      </c>
      <c r="Q426" s="201" t="inlineStr">
        <is>
          <t>Cronometro</t>
        </is>
      </c>
      <c r="R426" s="201" t="inlineStr">
        <is>
          <t>Foglio Tiri</t>
        </is>
      </c>
    </row>
    <row r="427" ht="22" customHeight="1">
      <c r="A427" s="83">
        <f>IF('Calendario C'!A87="","",'Calendario C'!A87)</f>
        <v/>
      </c>
      <c r="B427" s="61">
        <f>IF('Calendario C'!B87="","",'Calendario C'!B87)</f>
        <v/>
      </c>
      <c r="C427" s="62">
        <f>IF('Calendario C'!C87="","",'Calendario C'!C87)</f>
        <v/>
      </c>
      <c r="D427" s="61">
        <f>IF('Calendario C'!D87="","",'Calendario C'!D87)</f>
        <v/>
      </c>
      <c r="E427" s="62">
        <f>IF('Calendario C'!E87="","",'Calendario C'!E87)</f>
        <v/>
      </c>
      <c r="F427" s="63">
        <f>IF('Calendario C'!F87="","",'Calendario C'!F87)</f>
        <v/>
      </c>
      <c r="G427" s="9" t="n"/>
      <c r="H427" s="9" t="n"/>
      <c r="I427" s="10" t="n"/>
      <c r="J427" s="195">
        <f>IF('Calendario C'!J87="","",'Calendario C'!J87)</f>
        <v/>
      </c>
      <c r="K427" s="64" t="inlineStr">
        <is>
          <t>-</t>
        </is>
      </c>
      <c r="L427" s="195">
        <f>IF('Calendario C'!L87="","",'Calendario C'!L87)</f>
        <v/>
      </c>
      <c r="M427" s="196" t="n"/>
      <c r="N427" s="196" t="n"/>
      <c r="O427" s="196" t="n"/>
      <c r="P427" s="196" t="n"/>
      <c r="Q427" s="196" t="n"/>
      <c r="R427" s="196" t="n"/>
    </row>
    <row r="428" ht="15" customHeight="1">
      <c r="A428" s="141" t="n"/>
      <c r="B428" s="69">
        <f>IF('Calendario C'!B88="","",'Calendario C'!B88)</f>
        <v/>
      </c>
      <c r="C428" s="9" t="n"/>
      <c r="D428" s="9" t="n"/>
      <c r="E428" s="9" t="n"/>
      <c r="F428" s="9" t="n"/>
      <c r="G428" s="9" t="n"/>
      <c r="H428" s="10" t="n"/>
      <c r="I428" s="62">
        <f>IF('Calendario C'!I88="","",'Calendario C'!I88)</f>
        <v/>
      </c>
      <c r="J428" s="141" t="n"/>
      <c r="K428" s="141" t="n"/>
      <c r="L428" s="141" t="n"/>
      <c r="M428" s="141" t="n"/>
      <c r="N428" s="141" t="n"/>
      <c r="O428" s="141" t="n"/>
      <c r="P428" s="141" t="n"/>
      <c r="Q428" s="141" t="n"/>
      <c r="R428" s="141" t="n"/>
    </row>
    <row r="429" ht="14" customHeight="1">
      <c r="A429" s="81" t="inlineStr">
        <is>
          <t>Gara N.</t>
        </is>
      </c>
      <c r="B429" s="81" t="inlineStr">
        <is>
          <t>Squadra A</t>
        </is>
      </c>
      <c r="C429" s="10" t="n"/>
      <c r="D429" s="81" t="inlineStr">
        <is>
          <t>Squadra B</t>
        </is>
      </c>
      <c r="E429" s="10" t="n"/>
      <c r="F429" s="81" t="inlineStr">
        <is>
          <t>Giorno</t>
        </is>
      </c>
      <c r="G429" s="81" t="inlineStr">
        <is>
          <t>Data</t>
        </is>
      </c>
      <c r="H429" s="81" t="inlineStr">
        <is>
          <t>Ora</t>
        </is>
      </c>
      <c r="I429" s="10" t="n"/>
      <c r="J429" s="81" t="inlineStr">
        <is>
          <t>Risultato</t>
        </is>
      </c>
      <c r="K429" s="9" t="n"/>
      <c r="L429" s="10" t="n"/>
      <c r="M429" s="201" t="inlineStr">
        <is>
          <t>1o Arbitro</t>
        </is>
      </c>
      <c r="N429" s="201" t="inlineStr">
        <is>
          <t>2o Arbitro</t>
        </is>
      </c>
      <c r="O429" s="201" t="inlineStr">
        <is>
          <t>3o Arbitro/Tirocinante</t>
        </is>
      </c>
      <c r="P429" s="201" t="inlineStr">
        <is>
          <t>Referto</t>
        </is>
      </c>
      <c r="Q429" s="201" t="inlineStr">
        <is>
          <t>Cronometro</t>
        </is>
      </c>
      <c r="R429" s="201" t="inlineStr">
        <is>
          <t>Foglio Tiri</t>
        </is>
      </c>
    </row>
    <row r="430" ht="22" customHeight="1">
      <c r="A430" s="83">
        <f>IF('Calendario C'!A90="","",'Calendario C'!A90)</f>
        <v/>
      </c>
      <c r="B430" s="61">
        <f>IF('Calendario C'!B90="","",'Calendario C'!B90)</f>
        <v/>
      </c>
      <c r="C430" s="62">
        <f>IF('Calendario C'!C90="","",'Calendario C'!C90)</f>
        <v/>
      </c>
      <c r="D430" s="61">
        <f>IF('Calendario C'!D90="","",'Calendario C'!D90)</f>
        <v/>
      </c>
      <c r="E430" s="62">
        <f>IF('Calendario C'!E90="","",'Calendario C'!E90)</f>
        <v/>
      </c>
      <c r="F430" s="63">
        <f>IF('Calendario C'!F90="","",'Calendario C'!F90)</f>
        <v/>
      </c>
      <c r="G430" s="9" t="n"/>
      <c r="H430" s="9" t="n"/>
      <c r="I430" s="10" t="n"/>
      <c r="J430" s="195">
        <f>IF('Calendario C'!J90="","",'Calendario C'!J90)</f>
        <v/>
      </c>
      <c r="K430" s="64" t="inlineStr">
        <is>
          <t>-</t>
        </is>
      </c>
      <c r="L430" s="195">
        <f>IF('Calendario C'!L90="","",'Calendario C'!L90)</f>
        <v/>
      </c>
      <c r="M430" s="196" t="n"/>
      <c r="N430" s="196" t="n"/>
      <c r="O430" s="196" t="n"/>
      <c r="P430" s="196" t="n"/>
      <c r="Q430" s="196" t="n"/>
      <c r="R430" s="196" t="n"/>
    </row>
    <row r="431" ht="15" customHeight="1">
      <c r="A431" s="141" t="n"/>
      <c r="B431" s="69">
        <f>IF('Calendario C'!B91="","",'Calendario C'!B91)</f>
        <v/>
      </c>
      <c r="C431" s="9" t="n"/>
      <c r="D431" s="9" t="n"/>
      <c r="E431" s="9" t="n"/>
      <c r="F431" s="9" t="n"/>
      <c r="G431" s="9" t="n"/>
      <c r="H431" s="10" t="n"/>
      <c r="I431" s="62">
        <f>IF('Calendario C'!I91="","",'Calendario C'!I91)</f>
        <v/>
      </c>
      <c r="J431" s="141" t="n"/>
      <c r="K431" s="141" t="n"/>
      <c r="L431" s="141" t="n"/>
      <c r="M431" s="141" t="n"/>
      <c r="N431" s="141" t="n"/>
      <c r="O431" s="141" t="n"/>
      <c r="P431" s="141" t="n"/>
      <c r="Q431" s="141" t="n"/>
      <c r="R431" s="141" t="n"/>
    </row>
    <row r="433" ht="20" customHeight="1">
      <c r="A433" s="78">
        <f>IF('Calendario C'!A93="","",'Calendario C'!A93)</f>
        <v/>
      </c>
      <c r="B433" s="79">
        <f>IF('Calendario C'!B93="","",'Calendario C'!B93)</f>
        <v/>
      </c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10" t="n"/>
      <c r="M433" s="200" t="inlineStr">
        <is>
          <t>ARBITRI</t>
        </is>
      </c>
      <c r="N433" s="9" t="n"/>
      <c r="O433" s="10" t="n"/>
      <c r="P433" s="200" t="inlineStr">
        <is>
          <t>UFFICIALI DI CAMPO</t>
        </is>
      </c>
      <c r="Q433" s="9" t="n"/>
      <c r="R433" s="10" t="n"/>
    </row>
    <row r="434" ht="14" customHeight="1">
      <c r="A434" s="81" t="inlineStr">
        <is>
          <t>Gara N.</t>
        </is>
      </c>
      <c r="B434" s="81" t="inlineStr">
        <is>
          <t>Squadra A</t>
        </is>
      </c>
      <c r="C434" s="10" t="n"/>
      <c r="D434" s="81" t="inlineStr">
        <is>
          <t>Squadra B</t>
        </is>
      </c>
      <c r="E434" s="10" t="n"/>
      <c r="F434" s="81" t="inlineStr">
        <is>
          <t>Giorno</t>
        </is>
      </c>
      <c r="G434" s="81" t="inlineStr">
        <is>
          <t>Data</t>
        </is>
      </c>
      <c r="H434" s="81" t="inlineStr">
        <is>
          <t>Ora</t>
        </is>
      </c>
      <c r="I434" s="10" t="n"/>
      <c r="J434" s="81" t="inlineStr">
        <is>
          <t>Risultato</t>
        </is>
      </c>
      <c r="K434" s="9" t="n"/>
      <c r="L434" s="10" t="n"/>
      <c r="M434" s="201" t="inlineStr">
        <is>
          <t>1o Arbitro</t>
        </is>
      </c>
      <c r="N434" s="201" t="inlineStr">
        <is>
          <t>2o Arbitro</t>
        </is>
      </c>
      <c r="O434" s="201" t="inlineStr">
        <is>
          <t>3o Arbitro/Tirocinante</t>
        </is>
      </c>
      <c r="P434" s="201" t="inlineStr">
        <is>
          <t>Referto</t>
        </is>
      </c>
      <c r="Q434" s="201" t="inlineStr">
        <is>
          <t>Cronometro</t>
        </is>
      </c>
      <c r="R434" s="201" t="inlineStr">
        <is>
          <t>Foglio Tiri</t>
        </is>
      </c>
    </row>
    <row r="435" ht="22" customHeight="1">
      <c r="A435" s="83">
        <f>IF('Calendario C'!A95="","",'Calendario C'!A95)</f>
        <v/>
      </c>
      <c r="B435" s="61">
        <f>IF('Calendario C'!B95="","",'Calendario C'!B95)</f>
        <v/>
      </c>
      <c r="C435" s="62">
        <f>IF('Calendario C'!C95="","",'Calendario C'!C95)</f>
        <v/>
      </c>
      <c r="D435" s="61">
        <f>IF('Calendario C'!D95="","",'Calendario C'!D95)</f>
        <v/>
      </c>
      <c r="E435" s="62">
        <f>IF('Calendario C'!E95="","",'Calendario C'!E95)</f>
        <v/>
      </c>
      <c r="F435" s="63">
        <f>IF('Calendario C'!F95="","",'Calendario C'!F95)</f>
        <v/>
      </c>
      <c r="G435" s="9" t="n"/>
      <c r="H435" s="9" t="n"/>
      <c r="I435" s="10" t="n"/>
      <c r="J435" s="195">
        <f>IF('Calendario C'!J95="","",'Calendario C'!J95)</f>
        <v/>
      </c>
      <c r="K435" s="64" t="inlineStr">
        <is>
          <t>-</t>
        </is>
      </c>
      <c r="L435" s="195">
        <f>IF('Calendario C'!L95="","",'Calendario C'!L95)</f>
        <v/>
      </c>
      <c r="M435" s="196" t="n"/>
      <c r="N435" s="196" t="n"/>
      <c r="O435" s="196" t="n"/>
      <c r="P435" s="196" t="n"/>
      <c r="Q435" s="196" t="n"/>
      <c r="R435" s="196" t="n"/>
    </row>
    <row r="436" ht="15" customHeight="1">
      <c r="A436" s="141" t="n"/>
      <c r="B436" s="69">
        <f>IF('Calendario C'!B96="","",'Calendario C'!B96)</f>
        <v/>
      </c>
      <c r="C436" s="9" t="n"/>
      <c r="D436" s="9" t="n"/>
      <c r="E436" s="9" t="n"/>
      <c r="F436" s="9" t="n"/>
      <c r="G436" s="9" t="n"/>
      <c r="H436" s="10" t="n"/>
      <c r="I436" s="62">
        <f>IF('Calendario C'!I96="","",'Calendario C'!I96)</f>
        <v/>
      </c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</row>
    <row r="437" ht="14" customHeight="1">
      <c r="A437" s="81" t="inlineStr">
        <is>
          <t>Gara N.</t>
        </is>
      </c>
      <c r="B437" s="81" t="inlineStr">
        <is>
          <t>Squadra A</t>
        </is>
      </c>
      <c r="C437" s="10" t="n"/>
      <c r="D437" s="81" t="inlineStr">
        <is>
          <t>Squadra B</t>
        </is>
      </c>
      <c r="E437" s="10" t="n"/>
      <c r="F437" s="81" t="inlineStr">
        <is>
          <t>Giorno</t>
        </is>
      </c>
      <c r="G437" s="81" t="inlineStr">
        <is>
          <t>Data</t>
        </is>
      </c>
      <c r="H437" s="81" t="inlineStr">
        <is>
          <t>Ora</t>
        </is>
      </c>
      <c r="I437" s="10" t="n"/>
      <c r="J437" s="81" t="inlineStr">
        <is>
          <t>Risultato</t>
        </is>
      </c>
      <c r="K437" s="9" t="n"/>
      <c r="L437" s="10" t="n"/>
      <c r="M437" s="201" t="inlineStr">
        <is>
          <t>1o Arbitro</t>
        </is>
      </c>
      <c r="N437" s="201" t="inlineStr">
        <is>
          <t>2o Arbitro</t>
        </is>
      </c>
      <c r="O437" s="201" t="inlineStr">
        <is>
          <t>3o Arbitro/Tirocinante</t>
        </is>
      </c>
      <c r="P437" s="201" t="inlineStr">
        <is>
          <t>Referto</t>
        </is>
      </c>
      <c r="Q437" s="201" t="inlineStr">
        <is>
          <t>Cronometro</t>
        </is>
      </c>
      <c r="R437" s="201" t="inlineStr">
        <is>
          <t>Foglio Tiri</t>
        </is>
      </c>
    </row>
    <row r="438" ht="22" customHeight="1">
      <c r="A438" s="83">
        <f>IF('Calendario C'!A98="","",'Calendario C'!A98)</f>
        <v/>
      </c>
      <c r="B438" s="61">
        <f>IF('Calendario C'!B98="","",'Calendario C'!B98)</f>
        <v/>
      </c>
      <c r="C438" s="62">
        <f>IF('Calendario C'!C98="","",'Calendario C'!C98)</f>
        <v/>
      </c>
      <c r="D438" s="61">
        <f>IF('Calendario C'!D98="","",'Calendario C'!D98)</f>
        <v/>
      </c>
      <c r="E438" s="62">
        <f>IF('Calendario C'!E98="","",'Calendario C'!E98)</f>
        <v/>
      </c>
      <c r="F438" s="63">
        <f>IF('Calendario C'!F98="","",'Calendario C'!F98)</f>
        <v/>
      </c>
      <c r="G438" s="9" t="n"/>
      <c r="H438" s="9" t="n"/>
      <c r="I438" s="10" t="n"/>
      <c r="J438" s="195">
        <f>IF('Calendario C'!J98="","",'Calendario C'!J98)</f>
        <v/>
      </c>
      <c r="K438" s="64" t="inlineStr">
        <is>
          <t>-</t>
        </is>
      </c>
      <c r="L438" s="195">
        <f>IF('Calendario C'!L98="","",'Calendario C'!L98)</f>
        <v/>
      </c>
      <c r="M438" s="196" t="n"/>
      <c r="N438" s="196" t="n"/>
      <c r="O438" s="196" t="n"/>
      <c r="P438" s="196" t="n"/>
      <c r="Q438" s="196" t="n"/>
      <c r="R438" s="196" t="n"/>
    </row>
    <row r="439" ht="15" customHeight="1">
      <c r="A439" s="141" t="n"/>
      <c r="B439" s="69">
        <f>IF('Calendario C'!B99="","",'Calendario C'!B99)</f>
        <v/>
      </c>
      <c r="C439" s="9" t="n"/>
      <c r="D439" s="9" t="n"/>
      <c r="E439" s="9" t="n"/>
      <c r="F439" s="9" t="n"/>
      <c r="G439" s="9" t="n"/>
      <c r="H439" s="10" t="n"/>
      <c r="I439" s="62">
        <f>IF('Calendario C'!I99="","",'Calendario C'!I99)</f>
        <v/>
      </c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</row>
    <row r="440" ht="14" customHeight="1">
      <c r="A440" s="81" t="inlineStr">
        <is>
          <t>Gara N.</t>
        </is>
      </c>
      <c r="B440" s="81" t="inlineStr">
        <is>
          <t>Squadra A</t>
        </is>
      </c>
      <c r="C440" s="10" t="n"/>
      <c r="D440" s="81" t="inlineStr">
        <is>
          <t>Squadra B</t>
        </is>
      </c>
      <c r="E440" s="10" t="n"/>
      <c r="F440" s="81" t="inlineStr">
        <is>
          <t>Giorno</t>
        </is>
      </c>
      <c r="G440" s="81" t="inlineStr">
        <is>
          <t>Data</t>
        </is>
      </c>
      <c r="H440" s="81" t="inlineStr">
        <is>
          <t>Ora</t>
        </is>
      </c>
      <c r="I440" s="10" t="n"/>
      <c r="J440" s="81" t="inlineStr">
        <is>
          <t>Risultato</t>
        </is>
      </c>
      <c r="K440" s="9" t="n"/>
      <c r="L440" s="10" t="n"/>
      <c r="M440" s="201" t="inlineStr">
        <is>
          <t>1o Arbitro</t>
        </is>
      </c>
      <c r="N440" s="201" t="inlineStr">
        <is>
          <t>2o Arbitro</t>
        </is>
      </c>
      <c r="O440" s="201" t="inlineStr">
        <is>
          <t>3o Arbitro/Tirocinante</t>
        </is>
      </c>
      <c r="P440" s="201" t="inlineStr">
        <is>
          <t>Referto</t>
        </is>
      </c>
      <c r="Q440" s="201" t="inlineStr">
        <is>
          <t>Cronometro</t>
        </is>
      </c>
      <c r="R440" s="201" t="inlineStr">
        <is>
          <t>Foglio Tiri</t>
        </is>
      </c>
    </row>
    <row r="441" ht="22" customHeight="1">
      <c r="A441" s="83">
        <f>IF('Calendario C'!A101="","",'Calendario C'!A101)</f>
        <v/>
      </c>
      <c r="B441" s="61">
        <f>IF('Calendario C'!B101="","",'Calendario C'!B101)</f>
        <v/>
      </c>
      <c r="C441" s="62">
        <f>IF('Calendario C'!C101="","",'Calendario C'!C101)</f>
        <v/>
      </c>
      <c r="D441" s="61">
        <f>IF('Calendario C'!D101="","",'Calendario C'!D101)</f>
        <v/>
      </c>
      <c r="E441" s="62">
        <f>IF('Calendario C'!E101="","",'Calendario C'!E101)</f>
        <v/>
      </c>
      <c r="F441" s="63">
        <f>IF('Calendario C'!F101="","",'Calendario C'!F101)</f>
        <v/>
      </c>
      <c r="G441" s="9" t="n"/>
      <c r="H441" s="9" t="n"/>
      <c r="I441" s="10" t="n"/>
      <c r="J441" s="195">
        <f>IF('Calendario C'!J101="","",'Calendario C'!J101)</f>
        <v/>
      </c>
      <c r="K441" s="64" t="inlineStr">
        <is>
          <t>-</t>
        </is>
      </c>
      <c r="L441" s="195">
        <f>IF('Calendario C'!L101="","",'Calendario C'!L101)</f>
        <v/>
      </c>
      <c r="M441" s="196" t="n"/>
      <c r="N441" s="196" t="n"/>
      <c r="O441" s="196" t="n"/>
      <c r="P441" s="196" t="n"/>
      <c r="Q441" s="196" t="n"/>
      <c r="R441" s="196" t="n"/>
    </row>
    <row r="442" ht="15" customHeight="1">
      <c r="A442" s="141" t="n"/>
      <c r="B442" s="69">
        <f>IF('Calendario C'!B102="","",'Calendario C'!B102)</f>
        <v/>
      </c>
      <c r="C442" s="9" t="n"/>
      <c r="D442" s="9" t="n"/>
      <c r="E442" s="9" t="n"/>
      <c r="F442" s="9" t="n"/>
      <c r="G442" s="9" t="n"/>
      <c r="H442" s="10" t="n"/>
      <c r="I442" s="62">
        <f>IF('Calendario C'!I102="","",'Calendario C'!I102)</f>
        <v/>
      </c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</row>
    <row r="443" ht="14" customHeight="1">
      <c r="A443" s="81" t="inlineStr">
        <is>
          <t>Gara N.</t>
        </is>
      </c>
      <c r="B443" s="81" t="inlineStr">
        <is>
          <t>Squadra A</t>
        </is>
      </c>
      <c r="C443" s="10" t="n"/>
      <c r="D443" s="81" t="inlineStr">
        <is>
          <t>Squadra B</t>
        </is>
      </c>
      <c r="E443" s="10" t="n"/>
      <c r="F443" s="81" t="inlineStr">
        <is>
          <t>Giorno</t>
        </is>
      </c>
      <c r="G443" s="81" t="inlineStr">
        <is>
          <t>Data</t>
        </is>
      </c>
      <c r="H443" s="81" t="inlineStr">
        <is>
          <t>Ora</t>
        </is>
      </c>
      <c r="I443" s="10" t="n"/>
      <c r="J443" s="81" t="inlineStr">
        <is>
          <t>Risultato</t>
        </is>
      </c>
      <c r="K443" s="9" t="n"/>
      <c r="L443" s="10" t="n"/>
      <c r="M443" s="201" t="inlineStr">
        <is>
          <t>1o Arbitro</t>
        </is>
      </c>
      <c r="N443" s="201" t="inlineStr">
        <is>
          <t>2o Arbitro</t>
        </is>
      </c>
      <c r="O443" s="201" t="inlineStr">
        <is>
          <t>3o Arbitro/Tirocinante</t>
        </is>
      </c>
      <c r="P443" s="201" t="inlineStr">
        <is>
          <t>Referto</t>
        </is>
      </c>
      <c r="Q443" s="201" t="inlineStr">
        <is>
          <t>Cronometro</t>
        </is>
      </c>
      <c r="R443" s="201" t="inlineStr">
        <is>
          <t>Foglio Tiri</t>
        </is>
      </c>
    </row>
    <row r="444" ht="22" customHeight="1">
      <c r="A444" s="83">
        <f>IF('Calendario C'!A104="","",'Calendario C'!A104)</f>
        <v/>
      </c>
      <c r="B444" s="61">
        <f>IF('Calendario C'!B104="","",'Calendario C'!B104)</f>
        <v/>
      </c>
      <c r="C444" s="62">
        <f>IF('Calendario C'!C104="","",'Calendario C'!C104)</f>
        <v/>
      </c>
      <c r="D444" s="61">
        <f>IF('Calendario C'!D104="","",'Calendario C'!D104)</f>
        <v/>
      </c>
      <c r="E444" s="62">
        <f>IF('Calendario C'!E104="","",'Calendario C'!E104)</f>
        <v/>
      </c>
      <c r="F444" s="63">
        <f>IF('Calendario C'!F104="","",'Calendario C'!F104)</f>
        <v/>
      </c>
      <c r="G444" s="9" t="n"/>
      <c r="H444" s="9" t="n"/>
      <c r="I444" s="10" t="n"/>
      <c r="J444" s="195">
        <f>IF('Calendario C'!J104="","",'Calendario C'!J104)</f>
        <v/>
      </c>
      <c r="K444" s="64" t="inlineStr">
        <is>
          <t>-</t>
        </is>
      </c>
      <c r="L444" s="195">
        <f>IF('Calendario C'!L104="","",'Calendario C'!L104)</f>
        <v/>
      </c>
      <c r="M444" s="196" t="n"/>
      <c r="N444" s="196" t="n"/>
      <c r="O444" s="196" t="n"/>
      <c r="P444" s="196" t="n"/>
      <c r="Q444" s="196" t="n"/>
      <c r="R444" s="196" t="n"/>
    </row>
    <row r="445" ht="15" customHeight="1">
      <c r="A445" s="141" t="n"/>
      <c r="B445" s="69">
        <f>IF('Calendario C'!B105="","",'Calendario C'!B105)</f>
        <v/>
      </c>
      <c r="C445" s="9" t="n"/>
      <c r="D445" s="9" t="n"/>
      <c r="E445" s="9" t="n"/>
      <c r="F445" s="9" t="n"/>
      <c r="G445" s="9" t="n"/>
      <c r="H445" s="10" t="n"/>
      <c r="I445" s="62">
        <f>IF('Calendario C'!I105="","",'Calendario C'!I105)</f>
        <v/>
      </c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</row>
    <row r="446" ht="14" customHeight="1">
      <c r="A446" s="81" t="inlineStr">
        <is>
          <t>Gara N.</t>
        </is>
      </c>
      <c r="B446" s="81" t="inlineStr">
        <is>
          <t>Squadra A</t>
        </is>
      </c>
      <c r="C446" s="10" t="n"/>
      <c r="D446" s="81" t="inlineStr">
        <is>
          <t>Squadra B</t>
        </is>
      </c>
      <c r="E446" s="10" t="n"/>
      <c r="F446" s="81" t="inlineStr">
        <is>
          <t>Giorno</t>
        </is>
      </c>
      <c r="G446" s="81" t="inlineStr">
        <is>
          <t>Data</t>
        </is>
      </c>
      <c r="H446" s="81" t="inlineStr">
        <is>
          <t>Ora</t>
        </is>
      </c>
      <c r="I446" s="10" t="n"/>
      <c r="J446" s="81" t="inlineStr">
        <is>
          <t>Risultato</t>
        </is>
      </c>
      <c r="K446" s="9" t="n"/>
      <c r="L446" s="10" t="n"/>
      <c r="M446" s="201" t="inlineStr">
        <is>
          <t>1o Arbitro</t>
        </is>
      </c>
      <c r="N446" s="201" t="inlineStr">
        <is>
          <t>2o Arbitro</t>
        </is>
      </c>
      <c r="O446" s="201" t="inlineStr">
        <is>
          <t>3o Arbitro/Tirocinante</t>
        </is>
      </c>
      <c r="P446" s="201" t="inlineStr">
        <is>
          <t>Referto</t>
        </is>
      </c>
      <c r="Q446" s="201" t="inlineStr">
        <is>
          <t>Cronometro</t>
        </is>
      </c>
      <c r="R446" s="201" t="inlineStr">
        <is>
          <t>Foglio Tiri</t>
        </is>
      </c>
    </row>
    <row r="447" ht="22" customHeight="1">
      <c r="A447" s="83">
        <f>IF('Calendario C'!A107="","",'Calendario C'!A107)</f>
        <v/>
      </c>
      <c r="B447" s="61">
        <f>IF('Calendario C'!B107="","",'Calendario C'!B107)</f>
        <v/>
      </c>
      <c r="C447" s="62">
        <f>IF('Calendario C'!C107="","",'Calendario C'!C107)</f>
        <v/>
      </c>
      <c r="D447" s="61">
        <f>IF('Calendario C'!D107="","",'Calendario C'!D107)</f>
        <v/>
      </c>
      <c r="E447" s="62">
        <f>IF('Calendario C'!E107="","",'Calendario C'!E107)</f>
        <v/>
      </c>
      <c r="F447" s="63">
        <f>IF('Calendario C'!F107="","",'Calendario C'!F107)</f>
        <v/>
      </c>
      <c r="G447" s="9" t="n"/>
      <c r="H447" s="9" t="n"/>
      <c r="I447" s="10" t="n"/>
      <c r="J447" s="195">
        <f>IF('Calendario C'!J107="","",'Calendario C'!J107)</f>
        <v/>
      </c>
      <c r="K447" s="64" t="inlineStr">
        <is>
          <t>-</t>
        </is>
      </c>
      <c r="L447" s="195">
        <f>IF('Calendario C'!L107="","",'Calendario C'!L107)</f>
        <v/>
      </c>
      <c r="M447" s="196" t="n"/>
      <c r="N447" s="196" t="n"/>
      <c r="O447" s="196" t="n"/>
      <c r="P447" s="196" t="n"/>
      <c r="Q447" s="196" t="n"/>
      <c r="R447" s="196" t="n"/>
    </row>
    <row r="448" ht="15" customHeight="1">
      <c r="A448" s="141" t="n"/>
      <c r="B448" s="69">
        <f>IF('Calendario C'!B108="","",'Calendario C'!B108)</f>
        <v/>
      </c>
      <c r="C448" s="9" t="n"/>
      <c r="D448" s="9" t="n"/>
      <c r="E448" s="9" t="n"/>
      <c r="F448" s="9" t="n"/>
      <c r="G448" s="9" t="n"/>
      <c r="H448" s="10" t="n"/>
      <c r="I448" s="62">
        <f>IF('Calendario C'!I108="","",'Calendario C'!I108)</f>
        <v/>
      </c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</row>
    <row r="450" ht="20" customHeight="1">
      <c r="A450" s="78">
        <f>IF('Calendario C'!A110="","",'Calendario C'!A110)</f>
        <v/>
      </c>
      <c r="B450" s="79">
        <f>IF('Calendario C'!B110="","",'Calendario C'!B110)</f>
        <v/>
      </c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10" t="n"/>
      <c r="M450" s="200" t="inlineStr">
        <is>
          <t>ARBITRI</t>
        </is>
      </c>
      <c r="N450" s="9" t="n"/>
      <c r="O450" s="10" t="n"/>
      <c r="P450" s="200" t="inlineStr">
        <is>
          <t>UFFICIALI DI CAMPO</t>
        </is>
      </c>
      <c r="Q450" s="9" t="n"/>
      <c r="R450" s="10" t="n"/>
    </row>
    <row r="451" ht="14" customHeight="1">
      <c r="A451" s="81" t="inlineStr">
        <is>
          <t>Gara N.</t>
        </is>
      </c>
      <c r="B451" s="81" t="inlineStr">
        <is>
          <t>Squadra A</t>
        </is>
      </c>
      <c r="C451" s="10" t="n"/>
      <c r="D451" s="81" t="inlineStr">
        <is>
          <t>Squadra B</t>
        </is>
      </c>
      <c r="E451" s="10" t="n"/>
      <c r="F451" s="81" t="inlineStr">
        <is>
          <t>Giorno</t>
        </is>
      </c>
      <c r="G451" s="81" t="inlineStr">
        <is>
          <t>Data</t>
        </is>
      </c>
      <c r="H451" s="81" t="inlineStr">
        <is>
          <t>Ora</t>
        </is>
      </c>
      <c r="I451" s="10" t="n"/>
      <c r="J451" s="81" t="inlineStr">
        <is>
          <t>Risultato</t>
        </is>
      </c>
      <c r="K451" s="9" t="n"/>
      <c r="L451" s="10" t="n"/>
      <c r="M451" s="201" t="inlineStr">
        <is>
          <t>1o Arbitro</t>
        </is>
      </c>
      <c r="N451" s="201" t="inlineStr">
        <is>
          <t>2o Arbitro</t>
        </is>
      </c>
      <c r="O451" s="201" t="inlineStr">
        <is>
          <t>3o Arbitro/Tirocinante</t>
        </is>
      </c>
      <c r="P451" s="201" t="inlineStr">
        <is>
          <t>Referto</t>
        </is>
      </c>
      <c r="Q451" s="201" t="inlineStr">
        <is>
          <t>Cronometro</t>
        </is>
      </c>
      <c r="R451" s="201" t="inlineStr">
        <is>
          <t>Foglio Tiri</t>
        </is>
      </c>
    </row>
    <row r="452" ht="22" customHeight="1">
      <c r="A452" s="83">
        <f>IF('Calendario C'!A112="","",'Calendario C'!A112)</f>
        <v/>
      </c>
      <c r="B452" s="61">
        <f>IF('Calendario C'!B112="","",'Calendario C'!B112)</f>
        <v/>
      </c>
      <c r="C452" s="62">
        <f>IF('Calendario C'!C112="","",'Calendario C'!C112)</f>
        <v/>
      </c>
      <c r="D452" s="61">
        <f>IF('Calendario C'!D112="","",'Calendario C'!D112)</f>
        <v/>
      </c>
      <c r="E452" s="62">
        <f>IF('Calendario C'!E112="","",'Calendario C'!E112)</f>
        <v/>
      </c>
      <c r="F452" s="63">
        <f>IF('Calendario C'!F112="","",'Calendario C'!F112)</f>
        <v/>
      </c>
      <c r="G452" s="9" t="n"/>
      <c r="H452" s="9" t="n"/>
      <c r="I452" s="10" t="n"/>
      <c r="J452" s="195">
        <f>IF('Calendario C'!J112="","",'Calendario C'!J112)</f>
        <v/>
      </c>
      <c r="K452" s="64" t="inlineStr">
        <is>
          <t>-</t>
        </is>
      </c>
      <c r="L452" s="195">
        <f>IF('Calendario C'!L112="","",'Calendario C'!L112)</f>
        <v/>
      </c>
      <c r="M452" s="196" t="n"/>
      <c r="N452" s="196" t="n"/>
      <c r="O452" s="196" t="n"/>
      <c r="P452" s="196" t="n"/>
      <c r="Q452" s="196" t="n"/>
      <c r="R452" s="196" t="n"/>
    </row>
    <row r="453" ht="15" customHeight="1">
      <c r="A453" s="141" t="n"/>
      <c r="B453" s="69">
        <f>IF('Calendario C'!B113="","",'Calendario C'!B113)</f>
        <v/>
      </c>
      <c r="C453" s="9" t="n"/>
      <c r="D453" s="9" t="n"/>
      <c r="E453" s="9" t="n"/>
      <c r="F453" s="9" t="n"/>
      <c r="G453" s="9" t="n"/>
      <c r="H453" s="10" t="n"/>
      <c r="I453" s="62">
        <f>IF('Calendario C'!I113="","",'Calendario C'!I113)</f>
        <v/>
      </c>
      <c r="J453" s="141" t="n"/>
      <c r="K453" s="141" t="n"/>
      <c r="L453" s="141" t="n"/>
      <c r="M453" s="141" t="n"/>
      <c r="N453" s="141" t="n"/>
      <c r="O453" s="141" t="n"/>
      <c r="P453" s="141" t="n"/>
      <c r="Q453" s="141" t="n"/>
      <c r="R453" s="141" t="n"/>
    </row>
    <row r="454" ht="14" customHeight="1">
      <c r="A454" s="81" t="inlineStr">
        <is>
          <t>Gara N.</t>
        </is>
      </c>
      <c r="B454" s="81" t="inlineStr">
        <is>
          <t>Squadra A</t>
        </is>
      </c>
      <c r="C454" s="10" t="n"/>
      <c r="D454" s="81" t="inlineStr">
        <is>
          <t>Squadra B</t>
        </is>
      </c>
      <c r="E454" s="10" t="n"/>
      <c r="F454" s="81" t="inlineStr">
        <is>
          <t>Giorno</t>
        </is>
      </c>
      <c r="G454" s="81" t="inlineStr">
        <is>
          <t>Data</t>
        </is>
      </c>
      <c r="H454" s="81" t="inlineStr">
        <is>
          <t>Ora</t>
        </is>
      </c>
      <c r="I454" s="10" t="n"/>
      <c r="J454" s="81" t="inlineStr">
        <is>
          <t>Risultato</t>
        </is>
      </c>
      <c r="K454" s="9" t="n"/>
      <c r="L454" s="10" t="n"/>
      <c r="M454" s="201" t="inlineStr">
        <is>
          <t>1o Arbitro</t>
        </is>
      </c>
      <c r="N454" s="201" t="inlineStr">
        <is>
          <t>2o Arbitro</t>
        </is>
      </c>
      <c r="O454" s="201" t="inlineStr">
        <is>
          <t>3o Arbitro/Tirocinante</t>
        </is>
      </c>
      <c r="P454" s="201" t="inlineStr">
        <is>
          <t>Referto</t>
        </is>
      </c>
      <c r="Q454" s="201" t="inlineStr">
        <is>
          <t>Cronometro</t>
        </is>
      </c>
      <c r="R454" s="201" t="inlineStr">
        <is>
          <t>Foglio Tiri</t>
        </is>
      </c>
    </row>
    <row r="455" ht="22" customHeight="1">
      <c r="A455" s="83">
        <f>IF('Calendario C'!A115="","",'Calendario C'!A115)</f>
        <v/>
      </c>
      <c r="B455" s="61">
        <f>IF('Calendario C'!B115="","",'Calendario C'!B115)</f>
        <v/>
      </c>
      <c r="C455" s="62">
        <f>IF('Calendario C'!C115="","",'Calendario C'!C115)</f>
        <v/>
      </c>
      <c r="D455" s="61">
        <f>IF('Calendario C'!D115="","",'Calendario C'!D115)</f>
        <v/>
      </c>
      <c r="E455" s="62">
        <f>IF('Calendario C'!E115="","",'Calendario C'!E115)</f>
        <v/>
      </c>
      <c r="F455" s="63">
        <f>IF('Calendario C'!F115="","",'Calendario C'!F115)</f>
        <v/>
      </c>
      <c r="G455" s="9" t="n"/>
      <c r="H455" s="9" t="n"/>
      <c r="I455" s="10" t="n"/>
      <c r="J455" s="195">
        <f>IF('Calendario C'!J115="","",'Calendario C'!J115)</f>
        <v/>
      </c>
      <c r="K455" s="64" t="inlineStr">
        <is>
          <t>-</t>
        </is>
      </c>
      <c r="L455" s="195">
        <f>IF('Calendario C'!L115="","",'Calendario C'!L115)</f>
        <v/>
      </c>
      <c r="M455" s="196" t="n"/>
      <c r="N455" s="196" t="n"/>
      <c r="O455" s="196" t="n"/>
      <c r="P455" s="196" t="n"/>
      <c r="Q455" s="196" t="n"/>
      <c r="R455" s="196" t="n"/>
    </row>
    <row r="456" ht="15" customHeight="1">
      <c r="A456" s="141" t="n"/>
      <c r="B456" s="69">
        <f>IF('Calendario C'!B116="","",'Calendario C'!B116)</f>
        <v/>
      </c>
      <c r="C456" s="9" t="n"/>
      <c r="D456" s="9" t="n"/>
      <c r="E456" s="9" t="n"/>
      <c r="F456" s="9" t="n"/>
      <c r="G456" s="9" t="n"/>
      <c r="H456" s="10" t="n"/>
      <c r="I456" s="62">
        <f>IF('Calendario C'!I116="","",'Calendario C'!I116)</f>
        <v/>
      </c>
      <c r="J456" s="141" t="n"/>
      <c r="K456" s="141" t="n"/>
      <c r="L456" s="141" t="n"/>
      <c r="M456" s="141" t="n"/>
      <c r="N456" s="141" t="n"/>
      <c r="O456" s="141" t="n"/>
      <c r="P456" s="141" t="n"/>
      <c r="Q456" s="141" t="n"/>
      <c r="R456" s="141" t="n"/>
    </row>
    <row r="457" ht="14" customHeight="1">
      <c r="A457" s="81" t="inlineStr">
        <is>
          <t>Gara N.</t>
        </is>
      </c>
      <c r="B457" s="81" t="inlineStr">
        <is>
          <t>Squadra A</t>
        </is>
      </c>
      <c r="C457" s="10" t="n"/>
      <c r="D457" s="81" t="inlineStr">
        <is>
          <t>Squadra B</t>
        </is>
      </c>
      <c r="E457" s="10" t="n"/>
      <c r="F457" s="81" t="inlineStr">
        <is>
          <t>Giorno</t>
        </is>
      </c>
      <c r="G457" s="81" t="inlineStr">
        <is>
          <t>Data</t>
        </is>
      </c>
      <c r="H457" s="81" t="inlineStr">
        <is>
          <t>Ora</t>
        </is>
      </c>
      <c r="I457" s="10" t="n"/>
      <c r="J457" s="81" t="inlineStr">
        <is>
          <t>Risultato</t>
        </is>
      </c>
      <c r="K457" s="9" t="n"/>
      <c r="L457" s="10" t="n"/>
      <c r="M457" s="201" t="inlineStr">
        <is>
          <t>1o Arbitro</t>
        </is>
      </c>
      <c r="N457" s="201" t="inlineStr">
        <is>
          <t>2o Arbitro</t>
        </is>
      </c>
      <c r="O457" s="201" t="inlineStr">
        <is>
          <t>3o Arbitro/Tirocinante</t>
        </is>
      </c>
      <c r="P457" s="201" t="inlineStr">
        <is>
          <t>Referto</t>
        </is>
      </c>
      <c r="Q457" s="201" t="inlineStr">
        <is>
          <t>Cronometro</t>
        </is>
      </c>
      <c r="R457" s="201" t="inlineStr">
        <is>
          <t>Foglio Tiri</t>
        </is>
      </c>
    </row>
    <row r="458" ht="22" customHeight="1">
      <c r="A458" s="83">
        <f>IF('Calendario C'!A118="","",'Calendario C'!A118)</f>
        <v/>
      </c>
      <c r="B458" s="61">
        <f>IF('Calendario C'!B118="","",'Calendario C'!B118)</f>
        <v/>
      </c>
      <c r="C458" s="62">
        <f>IF('Calendario C'!C118="","",'Calendario C'!C118)</f>
        <v/>
      </c>
      <c r="D458" s="61">
        <f>IF('Calendario C'!D118="","",'Calendario C'!D118)</f>
        <v/>
      </c>
      <c r="E458" s="62">
        <f>IF('Calendario C'!E118="","",'Calendario C'!E118)</f>
        <v/>
      </c>
      <c r="F458" s="63">
        <f>IF('Calendario C'!F118="","",'Calendario C'!F118)</f>
        <v/>
      </c>
      <c r="G458" s="9" t="n"/>
      <c r="H458" s="9" t="n"/>
      <c r="I458" s="10" t="n"/>
      <c r="J458" s="195">
        <f>IF('Calendario C'!J118="","",'Calendario C'!J118)</f>
        <v/>
      </c>
      <c r="K458" s="64" t="inlineStr">
        <is>
          <t>-</t>
        </is>
      </c>
      <c r="L458" s="195">
        <f>IF('Calendario C'!L118="","",'Calendario C'!L118)</f>
        <v/>
      </c>
      <c r="M458" s="196" t="n"/>
      <c r="N458" s="196" t="n"/>
      <c r="O458" s="196" t="n"/>
      <c r="P458" s="196" t="n"/>
      <c r="Q458" s="196" t="n"/>
      <c r="R458" s="196" t="n"/>
    </row>
    <row r="459" ht="15" customHeight="1">
      <c r="A459" s="141" t="n"/>
      <c r="B459" s="69">
        <f>IF('Calendario C'!B119="","",'Calendario C'!B119)</f>
        <v/>
      </c>
      <c r="C459" s="9" t="n"/>
      <c r="D459" s="9" t="n"/>
      <c r="E459" s="9" t="n"/>
      <c r="F459" s="9" t="n"/>
      <c r="G459" s="9" t="n"/>
      <c r="H459" s="10" t="n"/>
      <c r="I459" s="62">
        <f>IF('Calendario C'!I119="","",'Calendario C'!I119)</f>
        <v/>
      </c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</row>
    <row r="460" ht="14" customHeight="1">
      <c r="A460" s="81" t="inlineStr">
        <is>
          <t>Gara N.</t>
        </is>
      </c>
      <c r="B460" s="81" t="inlineStr">
        <is>
          <t>Squadra A</t>
        </is>
      </c>
      <c r="C460" s="10" t="n"/>
      <c r="D460" s="81" t="inlineStr">
        <is>
          <t>Squadra B</t>
        </is>
      </c>
      <c r="E460" s="10" t="n"/>
      <c r="F460" s="81" t="inlineStr">
        <is>
          <t>Giorno</t>
        </is>
      </c>
      <c r="G460" s="81" t="inlineStr">
        <is>
          <t>Data</t>
        </is>
      </c>
      <c r="H460" s="81" t="inlineStr">
        <is>
          <t>Ora</t>
        </is>
      </c>
      <c r="I460" s="10" t="n"/>
      <c r="J460" s="81" t="inlineStr">
        <is>
          <t>Risultato</t>
        </is>
      </c>
      <c r="K460" s="9" t="n"/>
      <c r="L460" s="10" t="n"/>
      <c r="M460" s="201" t="inlineStr">
        <is>
          <t>1o Arbitro</t>
        </is>
      </c>
      <c r="N460" s="201" t="inlineStr">
        <is>
          <t>2o Arbitro</t>
        </is>
      </c>
      <c r="O460" s="201" t="inlineStr">
        <is>
          <t>3o Arbitro/Tirocinante</t>
        </is>
      </c>
      <c r="P460" s="201" t="inlineStr">
        <is>
          <t>Referto</t>
        </is>
      </c>
      <c r="Q460" s="201" t="inlineStr">
        <is>
          <t>Cronometro</t>
        </is>
      </c>
      <c r="R460" s="201" t="inlineStr">
        <is>
          <t>Foglio Tiri</t>
        </is>
      </c>
    </row>
    <row r="461" ht="22" customHeight="1">
      <c r="A461" s="83">
        <f>IF('Calendario C'!A121="","",'Calendario C'!A121)</f>
        <v/>
      </c>
      <c r="B461" s="61">
        <f>IF('Calendario C'!B121="","",'Calendario C'!B121)</f>
        <v/>
      </c>
      <c r="C461" s="62">
        <f>IF('Calendario C'!C121="","",'Calendario C'!C121)</f>
        <v/>
      </c>
      <c r="D461" s="61">
        <f>IF('Calendario C'!D121="","",'Calendario C'!D121)</f>
        <v/>
      </c>
      <c r="E461" s="62">
        <f>IF('Calendario C'!E121="","",'Calendario C'!E121)</f>
        <v/>
      </c>
      <c r="F461" s="63">
        <f>IF('Calendario C'!F121="","",'Calendario C'!F121)</f>
        <v/>
      </c>
      <c r="G461" s="9" t="n"/>
      <c r="H461" s="9" t="n"/>
      <c r="I461" s="10" t="n"/>
      <c r="J461" s="195">
        <f>IF('Calendario C'!J121="","",'Calendario C'!J121)</f>
        <v/>
      </c>
      <c r="K461" s="64" t="inlineStr">
        <is>
          <t>-</t>
        </is>
      </c>
      <c r="L461" s="195">
        <f>IF('Calendario C'!L121="","",'Calendario C'!L121)</f>
        <v/>
      </c>
      <c r="M461" s="196" t="n"/>
      <c r="N461" s="196" t="n"/>
      <c r="O461" s="196" t="n"/>
      <c r="P461" s="196" t="n"/>
      <c r="Q461" s="196" t="n"/>
      <c r="R461" s="196" t="n"/>
    </row>
    <row r="462" ht="15" customHeight="1">
      <c r="A462" s="141" t="n"/>
      <c r="B462" s="69">
        <f>IF('Calendario C'!B122="","",'Calendario C'!B122)</f>
        <v/>
      </c>
      <c r="C462" s="9" t="n"/>
      <c r="D462" s="9" t="n"/>
      <c r="E462" s="9" t="n"/>
      <c r="F462" s="9" t="n"/>
      <c r="G462" s="9" t="n"/>
      <c r="H462" s="10" t="n"/>
      <c r="I462" s="62">
        <f>IF('Calendario C'!I122="","",'Calendario C'!I122)</f>
        <v/>
      </c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</row>
    <row r="463" ht="14" customHeight="1">
      <c r="A463" s="81" t="inlineStr">
        <is>
          <t>Gara N.</t>
        </is>
      </c>
      <c r="B463" s="81" t="inlineStr">
        <is>
          <t>Squadra A</t>
        </is>
      </c>
      <c r="C463" s="10" t="n"/>
      <c r="D463" s="81" t="inlineStr">
        <is>
          <t>Squadra B</t>
        </is>
      </c>
      <c r="E463" s="10" t="n"/>
      <c r="F463" s="81" t="inlineStr">
        <is>
          <t>Giorno</t>
        </is>
      </c>
      <c r="G463" s="81" t="inlineStr">
        <is>
          <t>Data</t>
        </is>
      </c>
      <c r="H463" s="81" t="inlineStr">
        <is>
          <t>Ora</t>
        </is>
      </c>
      <c r="I463" s="10" t="n"/>
      <c r="J463" s="81" t="inlineStr">
        <is>
          <t>Risultato</t>
        </is>
      </c>
      <c r="K463" s="9" t="n"/>
      <c r="L463" s="10" t="n"/>
      <c r="M463" s="201" t="inlineStr">
        <is>
          <t>1o Arbitro</t>
        </is>
      </c>
      <c r="N463" s="201" t="inlineStr">
        <is>
          <t>2o Arbitro</t>
        </is>
      </c>
      <c r="O463" s="201" t="inlineStr">
        <is>
          <t>3o Arbitro/Tirocinante</t>
        </is>
      </c>
      <c r="P463" s="201" t="inlineStr">
        <is>
          <t>Referto</t>
        </is>
      </c>
      <c r="Q463" s="201" t="inlineStr">
        <is>
          <t>Cronometro</t>
        </is>
      </c>
      <c r="R463" s="201" t="inlineStr">
        <is>
          <t>Foglio Tiri</t>
        </is>
      </c>
    </row>
    <row r="464" ht="22" customHeight="1">
      <c r="A464" s="83">
        <f>IF('Calendario C'!A124="","",'Calendario C'!A124)</f>
        <v/>
      </c>
      <c r="B464" s="61">
        <f>IF('Calendario C'!B124="","",'Calendario C'!B124)</f>
        <v/>
      </c>
      <c r="C464" s="62">
        <f>IF('Calendario C'!C124="","",'Calendario C'!C124)</f>
        <v/>
      </c>
      <c r="D464" s="61">
        <f>IF('Calendario C'!D124="","",'Calendario C'!D124)</f>
        <v/>
      </c>
      <c r="E464" s="62">
        <f>IF('Calendario C'!E124="","",'Calendario C'!E124)</f>
        <v/>
      </c>
      <c r="F464" s="63">
        <f>IF('Calendario C'!F124="","",'Calendario C'!F124)</f>
        <v/>
      </c>
      <c r="G464" s="9" t="n"/>
      <c r="H464" s="9" t="n"/>
      <c r="I464" s="10" t="n"/>
      <c r="J464" s="195">
        <f>IF('Calendario C'!J124="","",'Calendario C'!J124)</f>
        <v/>
      </c>
      <c r="K464" s="64" t="inlineStr">
        <is>
          <t>-</t>
        </is>
      </c>
      <c r="L464" s="195">
        <f>IF('Calendario C'!L124="","",'Calendario C'!L124)</f>
        <v/>
      </c>
      <c r="M464" s="196" t="n"/>
      <c r="N464" s="196" t="n"/>
      <c r="O464" s="196" t="n"/>
      <c r="P464" s="196" t="n"/>
      <c r="Q464" s="196" t="n"/>
      <c r="R464" s="196" t="n"/>
    </row>
    <row r="465" ht="15" customHeight="1">
      <c r="A465" s="141" t="n"/>
      <c r="B465" s="69">
        <f>IF('Calendario C'!B125="","",'Calendario C'!B125)</f>
        <v/>
      </c>
      <c r="C465" s="9" t="n"/>
      <c r="D465" s="9" t="n"/>
      <c r="E465" s="9" t="n"/>
      <c r="F465" s="9" t="n"/>
      <c r="G465" s="9" t="n"/>
      <c r="H465" s="10" t="n"/>
      <c r="I465" s="62">
        <f>IF('Calendario C'!I125="","",'Calendario C'!I125)</f>
        <v/>
      </c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</row>
    <row r="467" ht="20" customHeight="1">
      <c r="A467" s="78">
        <f>IF('Calendario C'!A127="","",'Calendario C'!A127)</f>
        <v/>
      </c>
      <c r="B467" s="79">
        <f>IF('Calendario C'!B127="","",'Calendario C'!B127)</f>
        <v/>
      </c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10" t="n"/>
      <c r="M467" s="200" t="inlineStr">
        <is>
          <t>ARBITRI</t>
        </is>
      </c>
      <c r="N467" s="9" t="n"/>
      <c r="O467" s="10" t="n"/>
      <c r="P467" s="200" t="inlineStr">
        <is>
          <t>UFFICIALI DI CAMPO</t>
        </is>
      </c>
      <c r="Q467" s="9" t="n"/>
      <c r="R467" s="10" t="n"/>
    </row>
    <row r="468" ht="14" customHeight="1">
      <c r="A468" s="81" t="inlineStr">
        <is>
          <t>Gara N.</t>
        </is>
      </c>
      <c r="B468" s="81" t="inlineStr">
        <is>
          <t>Squadra A</t>
        </is>
      </c>
      <c r="C468" s="10" t="n"/>
      <c r="D468" s="81" t="inlineStr">
        <is>
          <t>Squadra B</t>
        </is>
      </c>
      <c r="E468" s="10" t="n"/>
      <c r="F468" s="81" t="inlineStr">
        <is>
          <t>Giorno</t>
        </is>
      </c>
      <c r="G468" s="81" t="inlineStr">
        <is>
          <t>Data</t>
        </is>
      </c>
      <c r="H468" s="81" t="inlineStr">
        <is>
          <t>Ora</t>
        </is>
      </c>
      <c r="I468" s="10" t="n"/>
      <c r="J468" s="81" t="inlineStr">
        <is>
          <t>Risultato</t>
        </is>
      </c>
      <c r="K468" s="9" t="n"/>
      <c r="L468" s="10" t="n"/>
      <c r="M468" s="201" t="inlineStr">
        <is>
          <t>1o Arbitro</t>
        </is>
      </c>
      <c r="N468" s="201" t="inlineStr">
        <is>
          <t>2o Arbitro</t>
        </is>
      </c>
      <c r="O468" s="201" t="inlineStr">
        <is>
          <t>3o Arbitro/Tirocinante</t>
        </is>
      </c>
      <c r="P468" s="201" t="inlineStr">
        <is>
          <t>Referto</t>
        </is>
      </c>
      <c r="Q468" s="201" t="inlineStr">
        <is>
          <t>Cronometro</t>
        </is>
      </c>
      <c r="R468" s="201" t="inlineStr">
        <is>
          <t>Foglio Tiri</t>
        </is>
      </c>
    </row>
    <row r="469" ht="22" customHeight="1">
      <c r="A469" s="83">
        <f>IF('Calendario C'!A129="","",'Calendario C'!A129)</f>
        <v/>
      </c>
      <c r="B469" s="61">
        <f>IF('Calendario C'!B129="","",'Calendario C'!B129)</f>
        <v/>
      </c>
      <c r="C469" s="62">
        <f>IF('Calendario C'!C129="","",'Calendario C'!C129)</f>
        <v/>
      </c>
      <c r="D469" s="61">
        <f>IF('Calendario C'!D129="","",'Calendario C'!D129)</f>
        <v/>
      </c>
      <c r="E469" s="62">
        <f>IF('Calendario C'!E129="","",'Calendario C'!E129)</f>
        <v/>
      </c>
      <c r="F469" s="63">
        <f>IF('Calendario C'!F129="","",'Calendario C'!F129)</f>
        <v/>
      </c>
      <c r="G469" s="9" t="n"/>
      <c r="H469" s="9" t="n"/>
      <c r="I469" s="10" t="n"/>
      <c r="J469" s="195">
        <f>IF('Calendario C'!J129="","",'Calendario C'!J129)</f>
        <v/>
      </c>
      <c r="K469" s="64" t="inlineStr">
        <is>
          <t>-</t>
        </is>
      </c>
      <c r="L469" s="195">
        <f>IF('Calendario C'!L129="","",'Calendario C'!L129)</f>
        <v/>
      </c>
      <c r="M469" s="196" t="n"/>
      <c r="N469" s="196" t="n"/>
      <c r="O469" s="196" t="n"/>
      <c r="P469" s="196" t="n"/>
      <c r="Q469" s="196" t="n"/>
      <c r="R469" s="196" t="n"/>
    </row>
    <row r="470" ht="15" customHeight="1">
      <c r="A470" s="141" t="n"/>
      <c r="B470" s="69">
        <f>IF('Calendario C'!B130="","",'Calendario C'!B130)</f>
        <v/>
      </c>
      <c r="C470" s="9" t="n"/>
      <c r="D470" s="9" t="n"/>
      <c r="E470" s="9" t="n"/>
      <c r="F470" s="9" t="n"/>
      <c r="G470" s="9" t="n"/>
      <c r="H470" s="10" t="n"/>
      <c r="I470" s="62">
        <f>IF('Calendario C'!I130="","",'Calendario C'!I130)</f>
        <v/>
      </c>
      <c r="J470" s="141" t="n"/>
      <c r="K470" s="141" t="n"/>
      <c r="L470" s="141" t="n"/>
      <c r="M470" s="141" t="n"/>
      <c r="N470" s="141" t="n"/>
      <c r="O470" s="141" t="n"/>
      <c r="P470" s="141" t="n"/>
      <c r="Q470" s="141" t="n"/>
      <c r="R470" s="141" t="n"/>
    </row>
    <row r="471" ht="14" customHeight="1">
      <c r="A471" s="81" t="inlineStr">
        <is>
          <t>Gara N.</t>
        </is>
      </c>
      <c r="B471" s="81" t="inlineStr">
        <is>
          <t>Squadra A</t>
        </is>
      </c>
      <c r="C471" s="10" t="n"/>
      <c r="D471" s="81" t="inlineStr">
        <is>
          <t>Squadra B</t>
        </is>
      </c>
      <c r="E471" s="10" t="n"/>
      <c r="F471" s="81" t="inlineStr">
        <is>
          <t>Giorno</t>
        </is>
      </c>
      <c r="G471" s="81" t="inlineStr">
        <is>
          <t>Data</t>
        </is>
      </c>
      <c r="H471" s="81" t="inlineStr">
        <is>
          <t>Ora</t>
        </is>
      </c>
      <c r="I471" s="10" t="n"/>
      <c r="J471" s="81" t="inlineStr">
        <is>
          <t>Risultato</t>
        </is>
      </c>
      <c r="K471" s="9" t="n"/>
      <c r="L471" s="10" t="n"/>
      <c r="M471" s="201" t="inlineStr">
        <is>
          <t>1o Arbitro</t>
        </is>
      </c>
      <c r="N471" s="201" t="inlineStr">
        <is>
          <t>2o Arbitro</t>
        </is>
      </c>
      <c r="O471" s="201" t="inlineStr">
        <is>
          <t>3o Arbitro/Tirocinante</t>
        </is>
      </c>
      <c r="P471" s="201" t="inlineStr">
        <is>
          <t>Referto</t>
        </is>
      </c>
      <c r="Q471" s="201" t="inlineStr">
        <is>
          <t>Cronometro</t>
        </is>
      </c>
      <c r="R471" s="201" t="inlineStr">
        <is>
          <t>Foglio Tiri</t>
        </is>
      </c>
    </row>
    <row r="472" ht="22" customHeight="1">
      <c r="A472" s="83">
        <f>IF('Calendario C'!A132="","",'Calendario C'!A132)</f>
        <v/>
      </c>
      <c r="B472" s="61">
        <f>IF('Calendario C'!B132="","",'Calendario C'!B132)</f>
        <v/>
      </c>
      <c r="C472" s="62">
        <f>IF('Calendario C'!C132="","",'Calendario C'!C132)</f>
        <v/>
      </c>
      <c r="D472" s="61">
        <f>IF('Calendario C'!D132="","",'Calendario C'!D132)</f>
        <v/>
      </c>
      <c r="E472" s="62">
        <f>IF('Calendario C'!E132="","",'Calendario C'!E132)</f>
        <v/>
      </c>
      <c r="F472" s="63">
        <f>IF('Calendario C'!F132="","",'Calendario C'!F132)</f>
        <v/>
      </c>
      <c r="G472" s="9" t="n"/>
      <c r="H472" s="9" t="n"/>
      <c r="I472" s="10" t="n"/>
      <c r="J472" s="195">
        <f>IF('Calendario C'!J132="","",'Calendario C'!J132)</f>
        <v/>
      </c>
      <c r="K472" s="64" t="inlineStr">
        <is>
          <t>-</t>
        </is>
      </c>
      <c r="L472" s="195">
        <f>IF('Calendario C'!L132="","",'Calendario C'!L132)</f>
        <v/>
      </c>
      <c r="M472" s="196" t="n"/>
      <c r="N472" s="196" t="n"/>
      <c r="O472" s="196" t="n"/>
      <c r="P472" s="196" t="n"/>
      <c r="Q472" s="196" t="n"/>
      <c r="R472" s="196" t="n"/>
    </row>
    <row r="473" ht="15" customHeight="1">
      <c r="A473" s="141" t="n"/>
      <c r="B473" s="69">
        <f>IF('Calendario C'!B133="","",'Calendario C'!B133)</f>
        <v/>
      </c>
      <c r="C473" s="9" t="n"/>
      <c r="D473" s="9" t="n"/>
      <c r="E473" s="9" t="n"/>
      <c r="F473" s="9" t="n"/>
      <c r="G473" s="9" t="n"/>
      <c r="H473" s="10" t="n"/>
      <c r="I473" s="62">
        <f>IF('Calendario C'!I133="","",'Calendario C'!I133)</f>
        <v/>
      </c>
      <c r="J473" s="141" t="n"/>
      <c r="K473" s="141" t="n"/>
      <c r="L473" s="141" t="n"/>
      <c r="M473" s="141" t="n"/>
      <c r="N473" s="141" t="n"/>
      <c r="O473" s="141" t="n"/>
      <c r="P473" s="141" t="n"/>
      <c r="Q473" s="141" t="n"/>
      <c r="R473" s="141" t="n"/>
    </row>
    <row r="474" ht="14" customHeight="1">
      <c r="A474" s="81" t="inlineStr">
        <is>
          <t>Gara N.</t>
        </is>
      </c>
      <c r="B474" s="81" t="inlineStr">
        <is>
          <t>Squadra A</t>
        </is>
      </c>
      <c r="C474" s="10" t="n"/>
      <c r="D474" s="81" t="inlineStr">
        <is>
          <t>Squadra B</t>
        </is>
      </c>
      <c r="E474" s="10" t="n"/>
      <c r="F474" s="81" t="inlineStr">
        <is>
          <t>Giorno</t>
        </is>
      </c>
      <c r="G474" s="81" t="inlineStr">
        <is>
          <t>Data</t>
        </is>
      </c>
      <c r="H474" s="81" t="inlineStr">
        <is>
          <t>Ora</t>
        </is>
      </c>
      <c r="I474" s="10" t="n"/>
      <c r="J474" s="81" t="inlineStr">
        <is>
          <t>Risultato</t>
        </is>
      </c>
      <c r="K474" s="9" t="n"/>
      <c r="L474" s="10" t="n"/>
      <c r="M474" s="201" t="inlineStr">
        <is>
          <t>1o Arbitro</t>
        </is>
      </c>
      <c r="N474" s="201" t="inlineStr">
        <is>
          <t>2o Arbitro</t>
        </is>
      </c>
      <c r="O474" s="201" t="inlineStr">
        <is>
          <t>3o Arbitro/Tirocinante</t>
        </is>
      </c>
      <c r="P474" s="201" t="inlineStr">
        <is>
          <t>Referto</t>
        </is>
      </c>
      <c r="Q474" s="201" t="inlineStr">
        <is>
          <t>Cronometro</t>
        </is>
      </c>
      <c r="R474" s="201" t="inlineStr">
        <is>
          <t>Foglio Tiri</t>
        </is>
      </c>
    </row>
    <row r="475" ht="22" customHeight="1">
      <c r="A475" s="83">
        <f>IF('Calendario C'!A135="","",'Calendario C'!A135)</f>
        <v/>
      </c>
      <c r="B475" s="61">
        <f>IF('Calendario C'!B135="","",'Calendario C'!B135)</f>
        <v/>
      </c>
      <c r="C475" s="62">
        <f>IF('Calendario C'!C135="","",'Calendario C'!C135)</f>
        <v/>
      </c>
      <c r="D475" s="61">
        <f>IF('Calendario C'!D135="","",'Calendario C'!D135)</f>
        <v/>
      </c>
      <c r="E475" s="62">
        <f>IF('Calendario C'!E135="","",'Calendario C'!E135)</f>
        <v/>
      </c>
      <c r="F475" s="63">
        <f>IF('Calendario C'!F135="","",'Calendario C'!F135)</f>
        <v/>
      </c>
      <c r="G475" s="9" t="n"/>
      <c r="H475" s="9" t="n"/>
      <c r="I475" s="10" t="n"/>
      <c r="J475" s="195">
        <f>IF('Calendario C'!J135="","",'Calendario C'!J135)</f>
        <v/>
      </c>
      <c r="K475" s="64" t="inlineStr">
        <is>
          <t>-</t>
        </is>
      </c>
      <c r="L475" s="195">
        <f>IF('Calendario C'!L135="","",'Calendario C'!L135)</f>
        <v/>
      </c>
      <c r="M475" s="196" t="n"/>
      <c r="N475" s="196" t="n"/>
      <c r="O475" s="196" t="n"/>
      <c r="P475" s="196" t="n"/>
      <c r="Q475" s="196" t="n"/>
      <c r="R475" s="196" t="n"/>
    </row>
    <row r="476" ht="15" customHeight="1">
      <c r="A476" s="141" t="n"/>
      <c r="B476" s="69">
        <f>IF('Calendario C'!B136="","",'Calendario C'!B136)</f>
        <v/>
      </c>
      <c r="C476" s="9" t="n"/>
      <c r="D476" s="9" t="n"/>
      <c r="E476" s="9" t="n"/>
      <c r="F476" s="9" t="n"/>
      <c r="G476" s="9" t="n"/>
      <c r="H476" s="10" t="n"/>
      <c r="I476" s="62">
        <f>IF('Calendario C'!I136="","",'Calendario C'!I136)</f>
        <v/>
      </c>
      <c r="J476" s="141" t="n"/>
      <c r="K476" s="141" t="n"/>
      <c r="L476" s="141" t="n"/>
      <c r="M476" s="141" t="n"/>
      <c r="N476" s="141" t="n"/>
      <c r="O476" s="141" t="n"/>
      <c r="P476" s="141" t="n"/>
      <c r="Q476" s="141" t="n"/>
      <c r="R476" s="141" t="n"/>
    </row>
    <row r="477" ht="14" customHeight="1">
      <c r="A477" s="81" t="inlineStr">
        <is>
          <t>Gara N.</t>
        </is>
      </c>
      <c r="B477" s="81" t="inlineStr">
        <is>
          <t>Squadra A</t>
        </is>
      </c>
      <c r="C477" s="10" t="n"/>
      <c r="D477" s="81" t="inlineStr">
        <is>
          <t>Squadra B</t>
        </is>
      </c>
      <c r="E477" s="10" t="n"/>
      <c r="F477" s="81" t="inlineStr">
        <is>
          <t>Giorno</t>
        </is>
      </c>
      <c r="G477" s="81" t="inlineStr">
        <is>
          <t>Data</t>
        </is>
      </c>
      <c r="H477" s="81" t="inlineStr">
        <is>
          <t>Ora</t>
        </is>
      </c>
      <c r="I477" s="10" t="n"/>
      <c r="J477" s="81" t="inlineStr">
        <is>
          <t>Risultato</t>
        </is>
      </c>
      <c r="K477" s="9" t="n"/>
      <c r="L477" s="10" t="n"/>
      <c r="M477" s="201" t="inlineStr">
        <is>
          <t>1o Arbitro</t>
        </is>
      </c>
      <c r="N477" s="201" t="inlineStr">
        <is>
          <t>2o Arbitro</t>
        </is>
      </c>
      <c r="O477" s="201" t="inlineStr">
        <is>
          <t>3o Arbitro/Tirocinante</t>
        </is>
      </c>
      <c r="P477" s="201" t="inlineStr">
        <is>
          <t>Referto</t>
        </is>
      </c>
      <c r="Q477" s="201" t="inlineStr">
        <is>
          <t>Cronometro</t>
        </is>
      </c>
      <c r="R477" s="201" t="inlineStr">
        <is>
          <t>Foglio Tiri</t>
        </is>
      </c>
    </row>
    <row r="478" ht="22" customHeight="1">
      <c r="A478" s="83">
        <f>IF('Calendario C'!A138="","",'Calendario C'!A138)</f>
        <v/>
      </c>
      <c r="B478" s="61">
        <f>IF('Calendario C'!B138="","",'Calendario C'!B138)</f>
        <v/>
      </c>
      <c r="C478" s="62">
        <f>IF('Calendario C'!C138="","",'Calendario C'!C138)</f>
        <v/>
      </c>
      <c r="D478" s="61">
        <f>IF('Calendario C'!D138="","",'Calendario C'!D138)</f>
        <v/>
      </c>
      <c r="E478" s="62">
        <f>IF('Calendario C'!E138="","",'Calendario C'!E138)</f>
        <v/>
      </c>
      <c r="F478" s="63">
        <f>IF('Calendario C'!F138="","",'Calendario C'!F138)</f>
        <v/>
      </c>
      <c r="G478" s="9" t="n"/>
      <c r="H478" s="9" t="n"/>
      <c r="I478" s="10" t="n"/>
      <c r="J478" s="195">
        <f>IF('Calendario C'!J138="","",'Calendario C'!J138)</f>
        <v/>
      </c>
      <c r="K478" s="64" t="inlineStr">
        <is>
          <t>-</t>
        </is>
      </c>
      <c r="L478" s="195">
        <f>IF('Calendario C'!L138="","",'Calendario C'!L138)</f>
        <v/>
      </c>
      <c r="M478" s="196" t="n"/>
      <c r="N478" s="196" t="n"/>
      <c r="O478" s="196" t="n"/>
      <c r="P478" s="196" t="n"/>
      <c r="Q478" s="196" t="n"/>
      <c r="R478" s="196" t="n"/>
    </row>
    <row r="479" ht="15" customHeight="1">
      <c r="A479" s="141" t="n"/>
      <c r="B479" s="69">
        <f>IF('Calendario C'!B139="","",'Calendario C'!B139)</f>
        <v/>
      </c>
      <c r="C479" s="9" t="n"/>
      <c r="D479" s="9" t="n"/>
      <c r="E479" s="9" t="n"/>
      <c r="F479" s="9" t="n"/>
      <c r="G479" s="9" t="n"/>
      <c r="H479" s="10" t="n"/>
      <c r="I479" s="62">
        <f>IF('Calendario C'!I139="","",'Calendario C'!I139)</f>
        <v/>
      </c>
      <c r="J479" s="141" t="n"/>
      <c r="K479" s="141" t="n"/>
      <c r="L479" s="141" t="n"/>
      <c r="M479" s="141" t="n"/>
      <c r="N479" s="141" t="n"/>
      <c r="O479" s="141" t="n"/>
      <c r="P479" s="141" t="n"/>
      <c r="Q479" s="141" t="n"/>
      <c r="R479" s="141" t="n"/>
    </row>
    <row r="480" ht="14" customHeight="1">
      <c r="A480" s="81" t="inlineStr">
        <is>
          <t>Gara N.</t>
        </is>
      </c>
      <c r="B480" s="81" t="inlineStr">
        <is>
          <t>Squadra A</t>
        </is>
      </c>
      <c r="C480" s="10" t="n"/>
      <c r="D480" s="81" t="inlineStr">
        <is>
          <t>Squadra B</t>
        </is>
      </c>
      <c r="E480" s="10" t="n"/>
      <c r="F480" s="81" t="inlineStr">
        <is>
          <t>Giorno</t>
        </is>
      </c>
      <c r="G480" s="81" t="inlineStr">
        <is>
          <t>Data</t>
        </is>
      </c>
      <c r="H480" s="81" t="inlineStr">
        <is>
          <t>Ora</t>
        </is>
      </c>
      <c r="I480" s="10" t="n"/>
      <c r="J480" s="81" t="inlineStr">
        <is>
          <t>Risultato</t>
        </is>
      </c>
      <c r="K480" s="9" t="n"/>
      <c r="L480" s="10" t="n"/>
      <c r="M480" s="201" t="inlineStr">
        <is>
          <t>1o Arbitro</t>
        </is>
      </c>
      <c r="N480" s="201" t="inlineStr">
        <is>
          <t>2o Arbitro</t>
        </is>
      </c>
      <c r="O480" s="201" t="inlineStr">
        <is>
          <t>3o Arbitro/Tirocinante</t>
        </is>
      </c>
      <c r="P480" s="201" t="inlineStr">
        <is>
          <t>Referto</t>
        </is>
      </c>
      <c r="Q480" s="201" t="inlineStr">
        <is>
          <t>Cronometro</t>
        </is>
      </c>
      <c r="R480" s="201" t="inlineStr">
        <is>
          <t>Foglio Tiri</t>
        </is>
      </c>
    </row>
    <row r="481" ht="22" customHeight="1">
      <c r="A481" s="83">
        <f>IF('Calendario C'!A141="","",'Calendario C'!A141)</f>
        <v/>
      </c>
      <c r="B481" s="61">
        <f>IF('Calendario C'!B141="","",'Calendario C'!B141)</f>
        <v/>
      </c>
      <c r="C481" s="62">
        <f>IF('Calendario C'!C141="","",'Calendario C'!C141)</f>
        <v/>
      </c>
      <c r="D481" s="61">
        <f>IF('Calendario C'!D141="","",'Calendario C'!D141)</f>
        <v/>
      </c>
      <c r="E481" s="62">
        <f>IF('Calendario C'!E141="","",'Calendario C'!E141)</f>
        <v/>
      </c>
      <c r="F481" s="63">
        <f>IF('Calendario C'!F141="","",'Calendario C'!F141)</f>
        <v/>
      </c>
      <c r="G481" s="9" t="n"/>
      <c r="H481" s="9" t="n"/>
      <c r="I481" s="10" t="n"/>
      <c r="J481" s="195">
        <f>IF('Calendario C'!J141="","",'Calendario C'!J141)</f>
        <v/>
      </c>
      <c r="K481" s="64" t="inlineStr">
        <is>
          <t>-</t>
        </is>
      </c>
      <c r="L481" s="195">
        <f>IF('Calendario C'!L141="","",'Calendario C'!L141)</f>
        <v/>
      </c>
      <c r="M481" s="196" t="n"/>
      <c r="N481" s="196" t="n"/>
      <c r="O481" s="196" t="n"/>
      <c r="P481" s="196" t="n"/>
      <c r="Q481" s="196" t="n"/>
      <c r="R481" s="196" t="n"/>
    </row>
    <row r="482" ht="15" customHeight="1">
      <c r="A482" s="141" t="n"/>
      <c r="B482" s="69">
        <f>IF('Calendario C'!B142="","",'Calendario C'!B142)</f>
        <v/>
      </c>
      <c r="C482" s="9" t="n"/>
      <c r="D482" s="9" t="n"/>
      <c r="E482" s="9" t="n"/>
      <c r="F482" s="9" t="n"/>
      <c r="G482" s="9" t="n"/>
      <c r="H482" s="10" t="n"/>
      <c r="I482" s="62">
        <f>IF('Calendario C'!I142="","",'Calendario C'!I142)</f>
        <v/>
      </c>
      <c r="J482" s="141" t="n"/>
      <c r="K482" s="141" t="n"/>
      <c r="L482" s="141" t="n"/>
      <c r="M482" s="141" t="n"/>
      <c r="N482" s="141" t="n"/>
      <c r="O482" s="141" t="n"/>
      <c r="P482" s="141" t="n"/>
      <c r="Q482" s="141" t="n"/>
      <c r="R482" s="141" t="n"/>
    </row>
    <row r="484" ht="20" customHeight="1">
      <c r="A484" s="78">
        <f>IF('Calendario C'!A144="","",'Calendario C'!A144)</f>
        <v/>
      </c>
      <c r="B484" s="79">
        <f>IF('Calendario C'!B144="","",'Calendario C'!B144)</f>
        <v/>
      </c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10" t="n"/>
      <c r="M484" s="200" t="inlineStr">
        <is>
          <t>ARBITRI</t>
        </is>
      </c>
      <c r="N484" s="9" t="n"/>
      <c r="O484" s="10" t="n"/>
      <c r="P484" s="200" t="inlineStr">
        <is>
          <t>UFFICIALI DI CAMPO</t>
        </is>
      </c>
      <c r="Q484" s="9" t="n"/>
      <c r="R484" s="10" t="n"/>
    </row>
    <row r="485" ht="14" customHeight="1">
      <c r="A485" s="81" t="inlineStr">
        <is>
          <t>Gara N.</t>
        </is>
      </c>
      <c r="B485" s="81" t="inlineStr">
        <is>
          <t>Squadra A</t>
        </is>
      </c>
      <c r="C485" s="10" t="n"/>
      <c r="D485" s="81" t="inlineStr">
        <is>
          <t>Squadra B</t>
        </is>
      </c>
      <c r="E485" s="10" t="n"/>
      <c r="F485" s="81" t="inlineStr">
        <is>
          <t>Giorno</t>
        </is>
      </c>
      <c r="G485" s="81" t="inlineStr">
        <is>
          <t>Data</t>
        </is>
      </c>
      <c r="H485" s="81" t="inlineStr">
        <is>
          <t>Ora</t>
        </is>
      </c>
      <c r="I485" s="10" t="n"/>
      <c r="J485" s="81" t="inlineStr">
        <is>
          <t>Risultato</t>
        </is>
      </c>
      <c r="K485" s="9" t="n"/>
      <c r="L485" s="10" t="n"/>
      <c r="M485" s="201" t="inlineStr">
        <is>
          <t>1o Arbitro</t>
        </is>
      </c>
      <c r="N485" s="201" t="inlineStr">
        <is>
          <t>2o Arbitro</t>
        </is>
      </c>
      <c r="O485" s="201" t="inlineStr">
        <is>
          <t>3o Arbitro/Tirocinante</t>
        </is>
      </c>
      <c r="P485" s="201" t="inlineStr">
        <is>
          <t>Referto</t>
        </is>
      </c>
      <c r="Q485" s="201" t="inlineStr">
        <is>
          <t>Cronometro</t>
        </is>
      </c>
      <c r="R485" s="201" t="inlineStr">
        <is>
          <t>Foglio Tiri</t>
        </is>
      </c>
    </row>
    <row r="486" ht="22" customHeight="1">
      <c r="A486" s="83">
        <f>IF('Calendario C'!A146="","",'Calendario C'!A146)</f>
        <v/>
      </c>
      <c r="B486" s="61">
        <f>IF('Calendario C'!B146="","",'Calendario C'!B146)</f>
        <v/>
      </c>
      <c r="C486" s="62">
        <f>IF('Calendario C'!C146="","",'Calendario C'!C146)</f>
        <v/>
      </c>
      <c r="D486" s="61">
        <f>IF('Calendario C'!D146="","",'Calendario C'!D146)</f>
        <v/>
      </c>
      <c r="E486" s="62">
        <f>IF('Calendario C'!E146="","",'Calendario C'!E146)</f>
        <v/>
      </c>
      <c r="F486" s="63">
        <f>IF('Calendario C'!F146="","",'Calendario C'!F146)</f>
        <v/>
      </c>
      <c r="G486" s="9" t="n"/>
      <c r="H486" s="9" t="n"/>
      <c r="I486" s="10" t="n"/>
      <c r="J486" s="195">
        <f>IF('Calendario C'!J146="","",'Calendario C'!J146)</f>
        <v/>
      </c>
      <c r="K486" s="64" t="inlineStr">
        <is>
          <t>-</t>
        </is>
      </c>
      <c r="L486" s="195">
        <f>IF('Calendario C'!L146="","",'Calendario C'!L146)</f>
        <v/>
      </c>
      <c r="M486" s="196" t="n"/>
      <c r="N486" s="196" t="n"/>
      <c r="O486" s="196" t="n"/>
      <c r="P486" s="196" t="n"/>
      <c r="Q486" s="196" t="n"/>
      <c r="R486" s="196" t="n"/>
    </row>
    <row r="487" ht="15" customHeight="1">
      <c r="A487" s="141" t="n"/>
      <c r="B487" s="69">
        <f>IF('Calendario C'!B147="","",'Calendario C'!B147)</f>
        <v/>
      </c>
      <c r="C487" s="9" t="n"/>
      <c r="D487" s="9" t="n"/>
      <c r="E487" s="9" t="n"/>
      <c r="F487" s="9" t="n"/>
      <c r="G487" s="9" t="n"/>
      <c r="H487" s="10" t="n"/>
      <c r="I487" s="62">
        <f>IF('Calendario C'!I147="","",'Calendario C'!I147)</f>
        <v/>
      </c>
      <c r="J487" s="141" t="n"/>
      <c r="K487" s="141" t="n"/>
      <c r="L487" s="141" t="n"/>
      <c r="M487" s="141" t="n"/>
      <c r="N487" s="141" t="n"/>
      <c r="O487" s="141" t="n"/>
      <c r="P487" s="141" t="n"/>
      <c r="Q487" s="141" t="n"/>
      <c r="R487" s="141" t="n"/>
    </row>
    <row r="488" ht="14" customHeight="1">
      <c r="A488" s="81" t="inlineStr">
        <is>
          <t>Gara N.</t>
        </is>
      </c>
      <c r="B488" s="81" t="inlineStr">
        <is>
          <t>Squadra A</t>
        </is>
      </c>
      <c r="C488" s="10" t="n"/>
      <c r="D488" s="81" t="inlineStr">
        <is>
          <t>Squadra B</t>
        </is>
      </c>
      <c r="E488" s="10" t="n"/>
      <c r="F488" s="81" t="inlineStr">
        <is>
          <t>Giorno</t>
        </is>
      </c>
      <c r="G488" s="81" t="inlineStr">
        <is>
          <t>Data</t>
        </is>
      </c>
      <c r="H488" s="81" t="inlineStr">
        <is>
          <t>Ora</t>
        </is>
      </c>
      <c r="I488" s="10" t="n"/>
      <c r="J488" s="81" t="inlineStr">
        <is>
          <t>Risultato</t>
        </is>
      </c>
      <c r="K488" s="9" t="n"/>
      <c r="L488" s="10" t="n"/>
      <c r="M488" s="201" t="inlineStr">
        <is>
          <t>1o Arbitro</t>
        </is>
      </c>
      <c r="N488" s="201" t="inlineStr">
        <is>
          <t>2o Arbitro</t>
        </is>
      </c>
      <c r="O488" s="201" t="inlineStr">
        <is>
          <t>3o Arbitro/Tirocinante</t>
        </is>
      </c>
      <c r="P488" s="201" t="inlineStr">
        <is>
          <t>Referto</t>
        </is>
      </c>
      <c r="Q488" s="201" t="inlineStr">
        <is>
          <t>Cronometro</t>
        </is>
      </c>
      <c r="R488" s="201" t="inlineStr">
        <is>
          <t>Foglio Tiri</t>
        </is>
      </c>
    </row>
    <row r="489" ht="22" customHeight="1">
      <c r="A489" s="83">
        <f>IF('Calendario C'!A149="","",'Calendario C'!A149)</f>
        <v/>
      </c>
      <c r="B489" s="61">
        <f>IF('Calendario C'!B149="","",'Calendario C'!B149)</f>
        <v/>
      </c>
      <c r="C489" s="62">
        <f>IF('Calendario C'!C149="","",'Calendario C'!C149)</f>
        <v/>
      </c>
      <c r="D489" s="61">
        <f>IF('Calendario C'!D149="","",'Calendario C'!D149)</f>
        <v/>
      </c>
      <c r="E489" s="62">
        <f>IF('Calendario C'!E149="","",'Calendario C'!E149)</f>
        <v/>
      </c>
      <c r="F489" s="63">
        <f>IF('Calendario C'!F149="","",'Calendario C'!F149)</f>
        <v/>
      </c>
      <c r="G489" s="9" t="n"/>
      <c r="H489" s="9" t="n"/>
      <c r="I489" s="10" t="n"/>
      <c r="J489" s="195">
        <f>IF('Calendario C'!J149="","",'Calendario C'!J149)</f>
        <v/>
      </c>
      <c r="K489" s="64" t="inlineStr">
        <is>
          <t>-</t>
        </is>
      </c>
      <c r="L489" s="195">
        <f>IF('Calendario C'!L149="","",'Calendario C'!L149)</f>
        <v/>
      </c>
      <c r="M489" s="196" t="n"/>
      <c r="N489" s="196" t="n"/>
      <c r="O489" s="196" t="n"/>
      <c r="P489" s="196" t="n"/>
      <c r="Q489" s="196" t="n"/>
      <c r="R489" s="196" t="n"/>
    </row>
    <row r="490" ht="15" customHeight="1">
      <c r="A490" s="141" t="n"/>
      <c r="B490" s="69">
        <f>IF('Calendario C'!B150="","",'Calendario C'!B150)</f>
        <v/>
      </c>
      <c r="C490" s="9" t="n"/>
      <c r="D490" s="9" t="n"/>
      <c r="E490" s="9" t="n"/>
      <c r="F490" s="9" t="n"/>
      <c r="G490" s="9" t="n"/>
      <c r="H490" s="10" t="n"/>
      <c r="I490" s="62">
        <f>IF('Calendario C'!I150="","",'Calendario C'!I150)</f>
        <v/>
      </c>
      <c r="J490" s="141" t="n"/>
      <c r="K490" s="141" t="n"/>
      <c r="L490" s="141" t="n"/>
      <c r="M490" s="141" t="n"/>
      <c r="N490" s="141" t="n"/>
      <c r="O490" s="141" t="n"/>
      <c r="P490" s="141" t="n"/>
      <c r="Q490" s="141" t="n"/>
      <c r="R490" s="141" t="n"/>
    </row>
    <row r="491" ht="14" customHeight="1">
      <c r="A491" s="81" t="inlineStr">
        <is>
          <t>Gara N.</t>
        </is>
      </c>
      <c r="B491" s="81" t="inlineStr">
        <is>
          <t>Squadra A</t>
        </is>
      </c>
      <c r="C491" s="10" t="n"/>
      <c r="D491" s="81" t="inlineStr">
        <is>
          <t>Squadra B</t>
        </is>
      </c>
      <c r="E491" s="10" t="n"/>
      <c r="F491" s="81" t="inlineStr">
        <is>
          <t>Giorno</t>
        </is>
      </c>
      <c r="G491" s="81" t="inlineStr">
        <is>
          <t>Data</t>
        </is>
      </c>
      <c r="H491" s="81" t="inlineStr">
        <is>
          <t>Ora</t>
        </is>
      </c>
      <c r="I491" s="10" t="n"/>
      <c r="J491" s="81" t="inlineStr">
        <is>
          <t>Risultato</t>
        </is>
      </c>
      <c r="K491" s="9" t="n"/>
      <c r="L491" s="10" t="n"/>
      <c r="M491" s="201" t="inlineStr">
        <is>
          <t>1o Arbitro</t>
        </is>
      </c>
      <c r="N491" s="201" t="inlineStr">
        <is>
          <t>2o Arbitro</t>
        </is>
      </c>
      <c r="O491" s="201" t="inlineStr">
        <is>
          <t>3o Arbitro/Tirocinante</t>
        </is>
      </c>
      <c r="P491" s="201" t="inlineStr">
        <is>
          <t>Referto</t>
        </is>
      </c>
      <c r="Q491" s="201" t="inlineStr">
        <is>
          <t>Cronometro</t>
        </is>
      </c>
      <c r="R491" s="201" t="inlineStr">
        <is>
          <t>Foglio Tiri</t>
        </is>
      </c>
    </row>
    <row r="492" ht="22" customHeight="1">
      <c r="A492" s="83">
        <f>IF('Calendario C'!A152="","",'Calendario C'!A152)</f>
        <v/>
      </c>
      <c r="B492" s="61">
        <f>IF('Calendario C'!B152="","",'Calendario C'!B152)</f>
        <v/>
      </c>
      <c r="C492" s="62">
        <f>IF('Calendario C'!C152="","",'Calendario C'!C152)</f>
        <v/>
      </c>
      <c r="D492" s="61">
        <f>IF('Calendario C'!D152="","",'Calendario C'!D152)</f>
        <v/>
      </c>
      <c r="E492" s="62">
        <f>IF('Calendario C'!E152="","",'Calendario C'!E152)</f>
        <v/>
      </c>
      <c r="F492" s="63">
        <f>IF('Calendario C'!F152="","",'Calendario C'!F152)</f>
        <v/>
      </c>
      <c r="G492" s="9" t="n"/>
      <c r="H492" s="9" t="n"/>
      <c r="I492" s="10" t="n"/>
      <c r="J492" s="195">
        <f>IF('Calendario C'!J152="","",'Calendario C'!J152)</f>
        <v/>
      </c>
      <c r="K492" s="64" t="inlineStr">
        <is>
          <t>-</t>
        </is>
      </c>
      <c r="L492" s="195">
        <f>IF('Calendario C'!L152="","",'Calendario C'!L152)</f>
        <v/>
      </c>
      <c r="M492" s="196" t="n"/>
      <c r="N492" s="196" t="n"/>
      <c r="O492" s="196" t="n"/>
      <c r="P492" s="196" t="n"/>
      <c r="Q492" s="196" t="n"/>
      <c r="R492" s="196" t="n"/>
    </row>
    <row r="493" ht="15" customHeight="1">
      <c r="A493" s="141" t="n"/>
      <c r="B493" s="69">
        <f>IF('Calendario C'!B153="","",'Calendario C'!B153)</f>
        <v/>
      </c>
      <c r="C493" s="9" t="n"/>
      <c r="D493" s="9" t="n"/>
      <c r="E493" s="9" t="n"/>
      <c r="F493" s="9" t="n"/>
      <c r="G493" s="9" t="n"/>
      <c r="H493" s="10" t="n"/>
      <c r="I493" s="62">
        <f>IF('Calendario C'!I153="","",'Calendario C'!I153)</f>
        <v/>
      </c>
      <c r="J493" s="141" t="n"/>
      <c r="K493" s="141" t="n"/>
      <c r="L493" s="141" t="n"/>
      <c r="M493" s="141" t="n"/>
      <c r="N493" s="141" t="n"/>
      <c r="O493" s="141" t="n"/>
      <c r="P493" s="141" t="n"/>
      <c r="Q493" s="141" t="n"/>
      <c r="R493" s="141" t="n"/>
    </row>
    <row r="494" ht="14" customHeight="1">
      <c r="A494" s="81" t="inlineStr">
        <is>
          <t>Gara N.</t>
        </is>
      </c>
      <c r="B494" s="81" t="inlineStr">
        <is>
          <t>Squadra A</t>
        </is>
      </c>
      <c r="C494" s="10" t="n"/>
      <c r="D494" s="81" t="inlineStr">
        <is>
          <t>Squadra B</t>
        </is>
      </c>
      <c r="E494" s="10" t="n"/>
      <c r="F494" s="81" t="inlineStr">
        <is>
          <t>Giorno</t>
        </is>
      </c>
      <c r="G494" s="81" t="inlineStr">
        <is>
          <t>Data</t>
        </is>
      </c>
      <c r="H494" s="81" t="inlineStr">
        <is>
          <t>Ora</t>
        </is>
      </c>
      <c r="I494" s="10" t="n"/>
      <c r="J494" s="81" t="inlineStr">
        <is>
          <t>Risultato</t>
        </is>
      </c>
      <c r="K494" s="9" t="n"/>
      <c r="L494" s="10" t="n"/>
      <c r="M494" s="201" t="inlineStr">
        <is>
          <t>1o Arbitro</t>
        </is>
      </c>
      <c r="N494" s="201" t="inlineStr">
        <is>
          <t>2o Arbitro</t>
        </is>
      </c>
      <c r="O494" s="201" t="inlineStr">
        <is>
          <t>3o Arbitro/Tirocinante</t>
        </is>
      </c>
      <c r="P494" s="201" t="inlineStr">
        <is>
          <t>Referto</t>
        </is>
      </c>
      <c r="Q494" s="201" t="inlineStr">
        <is>
          <t>Cronometro</t>
        </is>
      </c>
      <c r="R494" s="201" t="inlineStr">
        <is>
          <t>Foglio Tiri</t>
        </is>
      </c>
    </row>
    <row r="495" ht="22" customHeight="1">
      <c r="A495" s="83">
        <f>IF('Calendario C'!A155="","",'Calendario C'!A155)</f>
        <v/>
      </c>
      <c r="B495" s="61">
        <f>IF('Calendario C'!B155="","",'Calendario C'!B155)</f>
        <v/>
      </c>
      <c r="C495" s="62">
        <f>IF('Calendario C'!C155="","",'Calendario C'!C155)</f>
        <v/>
      </c>
      <c r="D495" s="61">
        <f>IF('Calendario C'!D155="","",'Calendario C'!D155)</f>
        <v/>
      </c>
      <c r="E495" s="62">
        <f>IF('Calendario C'!E155="","",'Calendario C'!E155)</f>
        <v/>
      </c>
      <c r="F495" s="63">
        <f>IF('Calendario C'!F155="","",'Calendario C'!F155)</f>
        <v/>
      </c>
      <c r="G495" s="9" t="n"/>
      <c r="H495" s="9" t="n"/>
      <c r="I495" s="10" t="n"/>
      <c r="J495" s="195">
        <f>IF('Calendario C'!J155="","",'Calendario C'!J155)</f>
        <v/>
      </c>
      <c r="K495" s="64" t="inlineStr">
        <is>
          <t>-</t>
        </is>
      </c>
      <c r="L495" s="195">
        <f>IF('Calendario C'!L155="","",'Calendario C'!L155)</f>
        <v/>
      </c>
      <c r="M495" s="196" t="n"/>
      <c r="N495" s="196" t="n"/>
      <c r="O495" s="196" t="n"/>
      <c r="P495" s="196" t="n"/>
      <c r="Q495" s="196" t="n"/>
      <c r="R495" s="196" t="n"/>
    </row>
    <row r="496" ht="15" customHeight="1">
      <c r="A496" s="141" t="n"/>
      <c r="B496" s="69">
        <f>IF('Calendario C'!B156="","",'Calendario C'!B156)</f>
        <v/>
      </c>
      <c r="C496" s="9" t="n"/>
      <c r="D496" s="9" t="n"/>
      <c r="E496" s="9" t="n"/>
      <c r="F496" s="9" t="n"/>
      <c r="G496" s="9" t="n"/>
      <c r="H496" s="10" t="n"/>
      <c r="I496" s="62">
        <f>IF('Calendario C'!I156="","",'Calendario C'!I156)</f>
        <v/>
      </c>
      <c r="J496" s="141" t="n"/>
      <c r="K496" s="141" t="n"/>
      <c r="L496" s="141" t="n"/>
      <c r="M496" s="141" t="n"/>
      <c r="N496" s="141" t="n"/>
      <c r="O496" s="141" t="n"/>
      <c r="P496" s="141" t="n"/>
      <c r="Q496" s="141" t="n"/>
      <c r="R496" s="141" t="n"/>
    </row>
    <row r="497" ht="14" customHeight="1">
      <c r="A497" s="81" t="inlineStr">
        <is>
          <t>Gara N.</t>
        </is>
      </c>
      <c r="B497" s="81" t="inlineStr">
        <is>
          <t>Squadra A</t>
        </is>
      </c>
      <c r="C497" s="10" t="n"/>
      <c r="D497" s="81" t="inlineStr">
        <is>
          <t>Squadra B</t>
        </is>
      </c>
      <c r="E497" s="10" t="n"/>
      <c r="F497" s="81" t="inlineStr">
        <is>
          <t>Giorno</t>
        </is>
      </c>
      <c r="G497" s="81" t="inlineStr">
        <is>
          <t>Data</t>
        </is>
      </c>
      <c r="H497" s="81" t="inlineStr">
        <is>
          <t>Ora</t>
        </is>
      </c>
      <c r="I497" s="10" t="n"/>
      <c r="J497" s="81" t="inlineStr">
        <is>
          <t>Risultato</t>
        </is>
      </c>
      <c r="K497" s="9" t="n"/>
      <c r="L497" s="10" t="n"/>
      <c r="M497" s="201" t="inlineStr">
        <is>
          <t>1o Arbitro</t>
        </is>
      </c>
      <c r="N497" s="201" t="inlineStr">
        <is>
          <t>2o Arbitro</t>
        </is>
      </c>
      <c r="O497" s="201" t="inlineStr">
        <is>
          <t>3o Arbitro/Tirocinante</t>
        </is>
      </c>
      <c r="P497" s="201" t="inlineStr">
        <is>
          <t>Referto</t>
        </is>
      </c>
      <c r="Q497" s="201" t="inlineStr">
        <is>
          <t>Cronometro</t>
        </is>
      </c>
      <c r="R497" s="201" t="inlineStr">
        <is>
          <t>Foglio Tiri</t>
        </is>
      </c>
    </row>
    <row r="498" ht="22" customHeight="1">
      <c r="A498" s="83">
        <f>IF('Calendario C'!A158="","",'Calendario C'!A158)</f>
        <v/>
      </c>
      <c r="B498" s="61">
        <f>IF('Calendario C'!B158="","",'Calendario C'!B158)</f>
        <v/>
      </c>
      <c r="C498" s="62">
        <f>IF('Calendario C'!C158="","",'Calendario C'!C158)</f>
        <v/>
      </c>
      <c r="D498" s="61">
        <f>IF('Calendario C'!D158="","",'Calendario C'!D158)</f>
        <v/>
      </c>
      <c r="E498" s="62">
        <f>IF('Calendario C'!E158="","",'Calendario C'!E158)</f>
        <v/>
      </c>
      <c r="F498" s="63">
        <f>IF('Calendario C'!F158="","",'Calendario C'!F158)</f>
        <v/>
      </c>
      <c r="G498" s="9" t="n"/>
      <c r="H498" s="9" t="n"/>
      <c r="I498" s="10" t="n"/>
      <c r="J498" s="195">
        <f>IF('Calendario C'!J158="","",'Calendario C'!J158)</f>
        <v/>
      </c>
      <c r="K498" s="64" t="inlineStr">
        <is>
          <t>-</t>
        </is>
      </c>
      <c r="L498" s="195">
        <f>IF('Calendario C'!L158="","",'Calendario C'!L158)</f>
        <v/>
      </c>
      <c r="M498" s="196" t="n"/>
      <c r="N498" s="196" t="n"/>
      <c r="O498" s="196" t="n"/>
      <c r="P498" s="196" t="n"/>
      <c r="Q498" s="196" t="n"/>
      <c r="R498" s="196" t="n"/>
    </row>
    <row r="499" ht="15" customHeight="1">
      <c r="A499" s="141" t="n"/>
      <c r="B499" s="69">
        <f>IF('Calendario C'!B159="","",'Calendario C'!B159)</f>
        <v/>
      </c>
      <c r="C499" s="9" t="n"/>
      <c r="D499" s="9" t="n"/>
      <c r="E499" s="9" t="n"/>
      <c r="F499" s="9" t="n"/>
      <c r="G499" s="9" t="n"/>
      <c r="H499" s="10" t="n"/>
      <c r="I499" s="62">
        <f>IF('Calendario C'!I159="","",'Calendario C'!I159)</f>
        <v/>
      </c>
      <c r="J499" s="141" t="n"/>
      <c r="K499" s="141" t="n"/>
      <c r="L499" s="141" t="n"/>
      <c r="M499" s="141" t="n"/>
      <c r="N499" s="141" t="n"/>
      <c r="O499" s="141" t="n"/>
      <c r="P499" s="141" t="n"/>
      <c r="Q499" s="141" t="n"/>
      <c r="R499" s="141" t="n"/>
    </row>
    <row r="518" ht="20" customHeight="1">
      <c r="A518" s="85">
        <f>IF('Calendario D'!A8="","",'Calendario D'!A8)</f>
        <v/>
      </c>
      <c r="B518" s="86">
        <f>IF('Calendario D'!B8="","",'Calendario D'!B8)</f>
        <v/>
      </c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10" t="n"/>
      <c r="M518" s="202" t="inlineStr">
        <is>
          <t>ARBITRI</t>
        </is>
      </c>
      <c r="N518" s="9" t="n"/>
      <c r="O518" s="10" t="n"/>
      <c r="P518" s="202" t="inlineStr">
        <is>
          <t>UFFICIALI DI CAMPO</t>
        </is>
      </c>
      <c r="Q518" s="9" t="n"/>
      <c r="R518" s="10" t="n"/>
    </row>
    <row r="519" ht="14" customHeight="1">
      <c r="A519" s="88" t="inlineStr">
        <is>
          <t>Gara N.</t>
        </is>
      </c>
      <c r="B519" s="88" t="inlineStr">
        <is>
          <t>Squadra A</t>
        </is>
      </c>
      <c r="C519" s="10" t="n"/>
      <c r="D519" s="88" t="inlineStr">
        <is>
          <t>Squadra B</t>
        </is>
      </c>
      <c r="E519" s="10" t="n"/>
      <c r="F519" s="88" t="inlineStr">
        <is>
          <t>Giorno</t>
        </is>
      </c>
      <c r="G519" s="88" t="inlineStr">
        <is>
          <t>Data</t>
        </is>
      </c>
      <c r="H519" s="88" t="inlineStr">
        <is>
          <t>Ora</t>
        </is>
      </c>
      <c r="I519" s="10" t="n"/>
      <c r="J519" s="88" t="inlineStr">
        <is>
          <t>Risultato</t>
        </is>
      </c>
      <c r="K519" s="9" t="n"/>
      <c r="L519" s="10" t="n"/>
      <c r="M519" s="203" t="inlineStr">
        <is>
          <t>1o Arbitro</t>
        </is>
      </c>
      <c r="N519" s="203" t="inlineStr">
        <is>
          <t>2o Arbitro</t>
        </is>
      </c>
      <c r="O519" s="203" t="inlineStr">
        <is>
          <t>3o Arbitro/Tirocinante</t>
        </is>
      </c>
      <c r="P519" s="203" t="inlineStr">
        <is>
          <t>Referto</t>
        </is>
      </c>
      <c r="Q519" s="203" t="inlineStr">
        <is>
          <t>Cronometro</t>
        </is>
      </c>
      <c r="R519" s="203" t="inlineStr">
        <is>
          <t>Foglio Tiri</t>
        </is>
      </c>
    </row>
    <row r="520" ht="22" customHeight="1">
      <c r="A520" s="90">
        <f>IF('Calendario D'!A10="","",'Calendario D'!A10)</f>
        <v/>
      </c>
      <c r="B520" s="61">
        <f>IF('Calendario D'!B10="","",'Calendario D'!B10)</f>
        <v/>
      </c>
      <c r="C520" s="62">
        <f>IF('Calendario D'!C10="","",'Calendario D'!C10)</f>
        <v/>
      </c>
      <c r="D520" s="61">
        <f>IF('Calendario D'!D10="","",'Calendario D'!D10)</f>
        <v/>
      </c>
      <c r="E520" s="62">
        <f>IF('Calendario D'!E10="","",'Calendario D'!E10)</f>
        <v/>
      </c>
      <c r="F520" s="63">
        <f>IF('Calendario D'!F10="","",'Calendario D'!F10)</f>
        <v/>
      </c>
      <c r="G520" s="9" t="n"/>
      <c r="H520" s="9" t="n"/>
      <c r="I520" s="10" t="n"/>
      <c r="J520" s="195">
        <f>IF('Calendario D'!J10="","",'Calendario D'!J10)</f>
        <v/>
      </c>
      <c r="K520" s="64" t="inlineStr">
        <is>
          <t>-</t>
        </is>
      </c>
      <c r="L520" s="195">
        <f>IF('Calendario D'!L10="","",'Calendario D'!L10)</f>
        <v/>
      </c>
      <c r="M520" s="196" t="n"/>
      <c r="N520" s="196" t="n"/>
      <c r="O520" s="196" t="n"/>
      <c r="P520" s="196" t="n"/>
      <c r="Q520" s="196" t="n"/>
      <c r="R520" s="196" t="n"/>
    </row>
    <row r="521" ht="15" customHeight="1">
      <c r="A521" s="141" t="n"/>
      <c r="B521" s="69">
        <f>IF('Calendario D'!B11="","",'Calendario D'!B11)</f>
        <v/>
      </c>
      <c r="C521" s="9" t="n"/>
      <c r="D521" s="9" t="n"/>
      <c r="E521" s="9" t="n"/>
      <c r="F521" s="9" t="n"/>
      <c r="G521" s="9" t="n"/>
      <c r="H521" s="10" t="n"/>
      <c r="I521" s="62">
        <f>IF('Calendario D'!I11="","",'Calendario D'!I11)</f>
        <v/>
      </c>
      <c r="J521" s="141" t="n"/>
      <c r="K521" s="141" t="n"/>
      <c r="L521" s="141" t="n"/>
      <c r="M521" s="141" t="n"/>
      <c r="N521" s="141" t="n"/>
      <c r="O521" s="141" t="n"/>
      <c r="P521" s="141" t="n"/>
      <c r="Q521" s="141" t="n"/>
      <c r="R521" s="141" t="n"/>
    </row>
    <row r="522" ht="14" customHeight="1">
      <c r="A522" s="88" t="inlineStr">
        <is>
          <t>Gara N.</t>
        </is>
      </c>
      <c r="B522" s="88" t="inlineStr">
        <is>
          <t>Squadra A</t>
        </is>
      </c>
      <c r="C522" s="10" t="n"/>
      <c r="D522" s="88" t="inlineStr">
        <is>
          <t>Squadra B</t>
        </is>
      </c>
      <c r="E522" s="10" t="n"/>
      <c r="F522" s="88" t="inlineStr">
        <is>
          <t>Giorno</t>
        </is>
      </c>
      <c r="G522" s="88" t="inlineStr">
        <is>
          <t>Data</t>
        </is>
      </c>
      <c r="H522" s="88" t="inlineStr">
        <is>
          <t>Ora</t>
        </is>
      </c>
      <c r="I522" s="10" t="n"/>
      <c r="J522" s="88" t="inlineStr">
        <is>
          <t>Risultato</t>
        </is>
      </c>
      <c r="K522" s="9" t="n"/>
      <c r="L522" s="10" t="n"/>
      <c r="M522" s="203" t="inlineStr">
        <is>
          <t>1o Arbitro</t>
        </is>
      </c>
      <c r="N522" s="203" t="inlineStr">
        <is>
          <t>2o Arbitro</t>
        </is>
      </c>
      <c r="O522" s="203" t="inlineStr">
        <is>
          <t>3o Arbitro/Tirocinante</t>
        </is>
      </c>
      <c r="P522" s="203" t="inlineStr">
        <is>
          <t>Referto</t>
        </is>
      </c>
      <c r="Q522" s="203" t="inlineStr">
        <is>
          <t>Cronometro</t>
        </is>
      </c>
      <c r="R522" s="203" t="inlineStr">
        <is>
          <t>Foglio Tiri</t>
        </is>
      </c>
    </row>
    <row r="523" ht="22" customHeight="1">
      <c r="A523" s="90">
        <f>IF('Calendario D'!A13="","",'Calendario D'!A13)</f>
        <v/>
      </c>
      <c r="B523" s="61">
        <f>IF('Calendario D'!B13="","",'Calendario D'!B13)</f>
        <v/>
      </c>
      <c r="C523" s="62">
        <f>IF('Calendario D'!C13="","",'Calendario D'!C13)</f>
        <v/>
      </c>
      <c r="D523" s="61">
        <f>IF('Calendario D'!D13="","",'Calendario D'!D13)</f>
        <v/>
      </c>
      <c r="E523" s="62">
        <f>IF('Calendario D'!E13="","",'Calendario D'!E13)</f>
        <v/>
      </c>
      <c r="F523" s="63">
        <f>IF('Calendario D'!F13="","",'Calendario D'!F13)</f>
        <v/>
      </c>
      <c r="G523" s="9" t="n"/>
      <c r="H523" s="9" t="n"/>
      <c r="I523" s="10" t="n"/>
      <c r="J523" s="195">
        <f>IF('Calendario D'!J13="","",'Calendario D'!J13)</f>
        <v/>
      </c>
      <c r="K523" s="64" t="inlineStr">
        <is>
          <t>-</t>
        </is>
      </c>
      <c r="L523" s="195">
        <f>IF('Calendario D'!L13="","",'Calendario D'!L13)</f>
        <v/>
      </c>
      <c r="M523" s="196" t="n"/>
      <c r="N523" s="196" t="n"/>
      <c r="O523" s="196" t="n"/>
      <c r="P523" s="196" t="n"/>
      <c r="Q523" s="196" t="n"/>
      <c r="R523" s="196" t="n"/>
    </row>
    <row r="524" ht="15" customHeight="1">
      <c r="A524" s="141" t="n"/>
      <c r="B524" s="69">
        <f>IF('Calendario D'!B14="","",'Calendario D'!B14)</f>
        <v/>
      </c>
      <c r="C524" s="9" t="n"/>
      <c r="D524" s="9" t="n"/>
      <c r="E524" s="9" t="n"/>
      <c r="F524" s="9" t="n"/>
      <c r="G524" s="9" t="n"/>
      <c r="H524" s="10" t="n"/>
      <c r="I524" s="62">
        <f>IF('Calendario D'!I14="","",'Calendario D'!I14)</f>
        <v/>
      </c>
      <c r="J524" s="141" t="n"/>
      <c r="K524" s="141" t="n"/>
      <c r="L524" s="141" t="n"/>
      <c r="M524" s="141" t="n"/>
      <c r="N524" s="141" t="n"/>
      <c r="O524" s="141" t="n"/>
      <c r="P524" s="141" t="n"/>
      <c r="Q524" s="141" t="n"/>
      <c r="R524" s="141" t="n"/>
    </row>
    <row r="525" ht="14" customHeight="1">
      <c r="A525" s="88" t="inlineStr">
        <is>
          <t>Gara N.</t>
        </is>
      </c>
      <c r="B525" s="88" t="inlineStr">
        <is>
          <t>Squadra A</t>
        </is>
      </c>
      <c r="C525" s="10" t="n"/>
      <c r="D525" s="88" t="inlineStr">
        <is>
          <t>Squadra B</t>
        </is>
      </c>
      <c r="E525" s="10" t="n"/>
      <c r="F525" s="88" t="inlineStr">
        <is>
          <t>Giorno</t>
        </is>
      </c>
      <c r="G525" s="88" t="inlineStr">
        <is>
          <t>Data</t>
        </is>
      </c>
      <c r="H525" s="88" t="inlineStr">
        <is>
          <t>Ora</t>
        </is>
      </c>
      <c r="I525" s="10" t="n"/>
      <c r="J525" s="88" t="inlineStr">
        <is>
          <t>Risultato</t>
        </is>
      </c>
      <c r="K525" s="9" t="n"/>
      <c r="L525" s="10" t="n"/>
      <c r="M525" s="203" t="inlineStr">
        <is>
          <t>1o Arbitro</t>
        </is>
      </c>
      <c r="N525" s="203" t="inlineStr">
        <is>
          <t>2o Arbitro</t>
        </is>
      </c>
      <c r="O525" s="203" t="inlineStr">
        <is>
          <t>3o Arbitro/Tirocinante</t>
        </is>
      </c>
      <c r="P525" s="203" t="inlineStr">
        <is>
          <t>Referto</t>
        </is>
      </c>
      <c r="Q525" s="203" t="inlineStr">
        <is>
          <t>Cronometro</t>
        </is>
      </c>
      <c r="R525" s="203" t="inlineStr">
        <is>
          <t>Foglio Tiri</t>
        </is>
      </c>
    </row>
    <row r="526" ht="22" customHeight="1">
      <c r="A526" s="90">
        <f>IF('Calendario D'!A16="","",'Calendario D'!A16)</f>
        <v/>
      </c>
      <c r="B526" s="61">
        <f>IF('Calendario D'!B16="","",'Calendario D'!B16)</f>
        <v/>
      </c>
      <c r="C526" s="62">
        <f>IF('Calendario D'!C16="","",'Calendario D'!C16)</f>
        <v/>
      </c>
      <c r="D526" s="61">
        <f>IF('Calendario D'!D16="","",'Calendario D'!D16)</f>
        <v/>
      </c>
      <c r="E526" s="62">
        <f>IF('Calendario D'!E16="","",'Calendario D'!E16)</f>
        <v/>
      </c>
      <c r="F526" s="63">
        <f>IF('Calendario D'!F16="","",'Calendario D'!F16)</f>
        <v/>
      </c>
      <c r="G526" s="9" t="n"/>
      <c r="H526" s="9" t="n"/>
      <c r="I526" s="10" t="n"/>
      <c r="J526" s="195">
        <f>IF('Calendario D'!J16="","",'Calendario D'!J16)</f>
        <v/>
      </c>
      <c r="K526" s="64" t="inlineStr">
        <is>
          <t>-</t>
        </is>
      </c>
      <c r="L526" s="195">
        <f>IF('Calendario D'!L16="","",'Calendario D'!L16)</f>
        <v/>
      </c>
      <c r="M526" s="196" t="n"/>
      <c r="N526" s="196" t="n"/>
      <c r="O526" s="196" t="n"/>
      <c r="P526" s="196" t="n"/>
      <c r="Q526" s="196" t="n"/>
      <c r="R526" s="196" t="n"/>
    </row>
    <row r="527" ht="15" customHeight="1">
      <c r="A527" s="141" t="n"/>
      <c r="B527" s="69">
        <f>IF('Calendario D'!B17="","",'Calendario D'!B17)</f>
        <v/>
      </c>
      <c r="C527" s="9" t="n"/>
      <c r="D527" s="9" t="n"/>
      <c r="E527" s="9" t="n"/>
      <c r="F527" s="9" t="n"/>
      <c r="G527" s="9" t="n"/>
      <c r="H527" s="10" t="n"/>
      <c r="I527" s="62">
        <f>IF('Calendario D'!I17="","",'Calendario D'!I17)</f>
        <v/>
      </c>
      <c r="J527" s="141" t="n"/>
      <c r="K527" s="141" t="n"/>
      <c r="L527" s="141" t="n"/>
      <c r="M527" s="141" t="n"/>
      <c r="N527" s="141" t="n"/>
      <c r="O527" s="141" t="n"/>
      <c r="P527" s="141" t="n"/>
      <c r="Q527" s="141" t="n"/>
      <c r="R527" s="141" t="n"/>
    </row>
    <row r="528" ht="14" customHeight="1">
      <c r="A528" s="88" t="inlineStr">
        <is>
          <t>Gara N.</t>
        </is>
      </c>
      <c r="B528" s="88" t="inlineStr">
        <is>
          <t>Squadra A</t>
        </is>
      </c>
      <c r="C528" s="10" t="n"/>
      <c r="D528" s="88" t="inlineStr">
        <is>
          <t>Squadra B</t>
        </is>
      </c>
      <c r="E528" s="10" t="n"/>
      <c r="F528" s="88" t="inlineStr">
        <is>
          <t>Giorno</t>
        </is>
      </c>
      <c r="G528" s="88" t="inlineStr">
        <is>
          <t>Data</t>
        </is>
      </c>
      <c r="H528" s="88" t="inlineStr">
        <is>
          <t>Ora</t>
        </is>
      </c>
      <c r="I528" s="10" t="n"/>
      <c r="J528" s="88" t="inlineStr">
        <is>
          <t>Risultato</t>
        </is>
      </c>
      <c r="K528" s="9" t="n"/>
      <c r="L528" s="10" t="n"/>
      <c r="M528" s="203" t="inlineStr">
        <is>
          <t>1o Arbitro</t>
        </is>
      </c>
      <c r="N528" s="203" t="inlineStr">
        <is>
          <t>2o Arbitro</t>
        </is>
      </c>
      <c r="O528" s="203" t="inlineStr">
        <is>
          <t>3o Arbitro/Tirocinante</t>
        </is>
      </c>
      <c r="P528" s="203" t="inlineStr">
        <is>
          <t>Referto</t>
        </is>
      </c>
      <c r="Q528" s="203" t="inlineStr">
        <is>
          <t>Cronometro</t>
        </is>
      </c>
      <c r="R528" s="203" t="inlineStr">
        <is>
          <t>Foglio Tiri</t>
        </is>
      </c>
    </row>
    <row r="529" ht="22" customHeight="1">
      <c r="A529" s="90">
        <f>IF('Calendario D'!A19="","",'Calendario D'!A19)</f>
        <v/>
      </c>
      <c r="B529" s="61">
        <f>IF('Calendario D'!B19="","",'Calendario D'!B19)</f>
        <v/>
      </c>
      <c r="C529" s="62">
        <f>IF('Calendario D'!C19="","",'Calendario D'!C19)</f>
        <v/>
      </c>
      <c r="D529" s="61">
        <f>IF('Calendario D'!D19="","",'Calendario D'!D19)</f>
        <v/>
      </c>
      <c r="E529" s="62">
        <f>IF('Calendario D'!E19="","",'Calendario D'!E19)</f>
        <v/>
      </c>
      <c r="F529" s="63">
        <f>IF('Calendario D'!F19="","",'Calendario D'!F19)</f>
        <v/>
      </c>
      <c r="G529" s="9" t="n"/>
      <c r="H529" s="9" t="n"/>
      <c r="I529" s="10" t="n"/>
      <c r="J529" s="195">
        <f>IF('Calendario D'!J19="","",'Calendario D'!J19)</f>
        <v/>
      </c>
      <c r="K529" s="64" t="inlineStr">
        <is>
          <t>-</t>
        </is>
      </c>
      <c r="L529" s="195">
        <f>IF('Calendario D'!L19="","",'Calendario D'!L19)</f>
        <v/>
      </c>
      <c r="M529" s="196" t="n"/>
      <c r="N529" s="196" t="n"/>
      <c r="O529" s="196" t="n"/>
      <c r="P529" s="196" t="n"/>
      <c r="Q529" s="196" t="n"/>
      <c r="R529" s="196" t="n"/>
    </row>
    <row r="530" ht="15" customHeight="1">
      <c r="A530" s="141" t="n"/>
      <c r="B530" s="69">
        <f>IF('Calendario D'!B20="","",'Calendario D'!B20)</f>
        <v/>
      </c>
      <c r="C530" s="9" t="n"/>
      <c r="D530" s="9" t="n"/>
      <c r="E530" s="9" t="n"/>
      <c r="F530" s="9" t="n"/>
      <c r="G530" s="9" t="n"/>
      <c r="H530" s="10" t="n"/>
      <c r="I530" s="62">
        <f>IF('Calendario D'!I20="","",'Calendario D'!I20)</f>
        <v/>
      </c>
      <c r="J530" s="141" t="n"/>
      <c r="K530" s="141" t="n"/>
      <c r="L530" s="141" t="n"/>
      <c r="M530" s="141" t="n"/>
      <c r="N530" s="141" t="n"/>
      <c r="O530" s="141" t="n"/>
      <c r="P530" s="141" t="n"/>
      <c r="Q530" s="141" t="n"/>
      <c r="R530" s="141" t="n"/>
    </row>
    <row r="531" ht="14" customHeight="1">
      <c r="A531" s="88" t="inlineStr">
        <is>
          <t>Gara N.</t>
        </is>
      </c>
      <c r="B531" s="88" t="inlineStr">
        <is>
          <t>Squadra A</t>
        </is>
      </c>
      <c r="C531" s="10" t="n"/>
      <c r="D531" s="88" t="inlineStr">
        <is>
          <t>Squadra B</t>
        </is>
      </c>
      <c r="E531" s="10" t="n"/>
      <c r="F531" s="88" t="inlineStr">
        <is>
          <t>Giorno</t>
        </is>
      </c>
      <c r="G531" s="88" t="inlineStr">
        <is>
          <t>Data</t>
        </is>
      </c>
      <c r="H531" s="88" t="inlineStr">
        <is>
          <t>Ora</t>
        </is>
      </c>
      <c r="I531" s="10" t="n"/>
      <c r="J531" s="88" t="inlineStr">
        <is>
          <t>Risultato</t>
        </is>
      </c>
      <c r="K531" s="9" t="n"/>
      <c r="L531" s="10" t="n"/>
      <c r="M531" s="203" t="inlineStr">
        <is>
          <t>1o Arbitro</t>
        </is>
      </c>
      <c r="N531" s="203" t="inlineStr">
        <is>
          <t>2o Arbitro</t>
        </is>
      </c>
      <c r="O531" s="203" t="inlineStr">
        <is>
          <t>3o Arbitro/Tirocinante</t>
        </is>
      </c>
      <c r="P531" s="203" t="inlineStr">
        <is>
          <t>Referto</t>
        </is>
      </c>
      <c r="Q531" s="203" t="inlineStr">
        <is>
          <t>Cronometro</t>
        </is>
      </c>
      <c r="R531" s="203" t="inlineStr">
        <is>
          <t>Foglio Tiri</t>
        </is>
      </c>
    </row>
    <row r="532" ht="22" customHeight="1">
      <c r="A532" s="90">
        <f>IF('Calendario D'!A22="","",'Calendario D'!A22)</f>
        <v/>
      </c>
      <c r="B532" s="61">
        <f>IF('Calendario D'!B22="","",'Calendario D'!B22)</f>
        <v/>
      </c>
      <c r="C532" s="62">
        <f>IF('Calendario D'!C22="","",'Calendario D'!C22)</f>
        <v/>
      </c>
      <c r="D532" s="61">
        <f>IF('Calendario D'!D22="","",'Calendario D'!D22)</f>
        <v/>
      </c>
      <c r="E532" s="62">
        <f>IF('Calendario D'!E22="","",'Calendario D'!E22)</f>
        <v/>
      </c>
      <c r="F532" s="63">
        <f>IF('Calendario D'!F22="","",'Calendario D'!F22)</f>
        <v/>
      </c>
      <c r="G532" s="9" t="n"/>
      <c r="H532" s="9" t="n"/>
      <c r="I532" s="10" t="n"/>
      <c r="J532" s="195">
        <f>IF('Calendario D'!J22="","",'Calendario D'!J22)</f>
        <v/>
      </c>
      <c r="K532" s="64" t="inlineStr">
        <is>
          <t>-</t>
        </is>
      </c>
      <c r="L532" s="195">
        <f>IF('Calendario D'!L22="","",'Calendario D'!L22)</f>
        <v/>
      </c>
      <c r="M532" s="196" t="n"/>
      <c r="N532" s="196" t="n"/>
      <c r="O532" s="196" t="n"/>
      <c r="P532" s="196" t="n"/>
      <c r="Q532" s="196" t="n"/>
      <c r="R532" s="196" t="n"/>
    </row>
    <row r="533" ht="15" customHeight="1">
      <c r="A533" s="141" t="n"/>
      <c r="B533" s="69">
        <f>IF('Calendario D'!B23="","",'Calendario D'!B23)</f>
        <v/>
      </c>
      <c r="C533" s="9" t="n"/>
      <c r="D533" s="9" t="n"/>
      <c r="E533" s="9" t="n"/>
      <c r="F533" s="9" t="n"/>
      <c r="G533" s="9" t="n"/>
      <c r="H533" s="10" t="n"/>
      <c r="I533" s="62">
        <f>IF('Calendario D'!I23="","",'Calendario D'!I23)</f>
        <v/>
      </c>
      <c r="J533" s="141" t="n"/>
      <c r="K533" s="141" t="n"/>
      <c r="L533" s="141" t="n"/>
      <c r="M533" s="141" t="n"/>
      <c r="N533" s="141" t="n"/>
      <c r="O533" s="141" t="n"/>
      <c r="P533" s="141" t="n"/>
      <c r="Q533" s="141" t="n"/>
      <c r="R533" s="141" t="n"/>
    </row>
    <row r="535" ht="20" customHeight="1">
      <c r="A535" s="85">
        <f>IF('Calendario D'!A25="","",'Calendario D'!A25)</f>
        <v/>
      </c>
      <c r="B535" s="86">
        <f>IF('Calendario D'!B25="","",'Calendario D'!B25)</f>
        <v/>
      </c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10" t="n"/>
      <c r="M535" s="202" t="inlineStr">
        <is>
          <t>ARBITRI</t>
        </is>
      </c>
      <c r="N535" s="9" t="n"/>
      <c r="O535" s="10" t="n"/>
      <c r="P535" s="202" t="inlineStr">
        <is>
          <t>UFFICIALI DI CAMPO</t>
        </is>
      </c>
      <c r="Q535" s="9" t="n"/>
      <c r="R535" s="10" t="n"/>
    </row>
    <row r="536" ht="14" customHeight="1">
      <c r="A536" s="88" t="inlineStr">
        <is>
          <t>Gara N.</t>
        </is>
      </c>
      <c r="B536" s="88" t="inlineStr">
        <is>
          <t>Squadra A</t>
        </is>
      </c>
      <c r="C536" s="10" t="n"/>
      <c r="D536" s="88" t="inlineStr">
        <is>
          <t>Squadra B</t>
        </is>
      </c>
      <c r="E536" s="10" t="n"/>
      <c r="F536" s="88" t="inlineStr">
        <is>
          <t>Giorno</t>
        </is>
      </c>
      <c r="G536" s="88" t="inlineStr">
        <is>
          <t>Data</t>
        </is>
      </c>
      <c r="H536" s="88" t="inlineStr">
        <is>
          <t>Ora</t>
        </is>
      </c>
      <c r="I536" s="10" t="n"/>
      <c r="J536" s="88" t="inlineStr">
        <is>
          <t>Risultato</t>
        </is>
      </c>
      <c r="K536" s="9" t="n"/>
      <c r="L536" s="10" t="n"/>
      <c r="M536" s="203" t="inlineStr">
        <is>
          <t>1o Arbitro</t>
        </is>
      </c>
      <c r="N536" s="203" t="inlineStr">
        <is>
          <t>2o Arbitro</t>
        </is>
      </c>
      <c r="O536" s="203" t="inlineStr">
        <is>
          <t>3o Arbitro/Tirocinante</t>
        </is>
      </c>
      <c r="P536" s="203" t="inlineStr">
        <is>
          <t>Referto</t>
        </is>
      </c>
      <c r="Q536" s="203" t="inlineStr">
        <is>
          <t>Cronometro</t>
        </is>
      </c>
      <c r="R536" s="203" t="inlineStr">
        <is>
          <t>Foglio Tiri</t>
        </is>
      </c>
    </row>
    <row r="537" ht="22" customHeight="1">
      <c r="A537" s="90">
        <f>IF('Calendario D'!A27="","",'Calendario D'!A27)</f>
        <v/>
      </c>
      <c r="B537" s="61">
        <f>IF('Calendario D'!B27="","",'Calendario D'!B27)</f>
        <v/>
      </c>
      <c r="C537" s="62">
        <f>IF('Calendario D'!C27="","",'Calendario D'!C27)</f>
        <v/>
      </c>
      <c r="D537" s="61">
        <f>IF('Calendario D'!D27="","",'Calendario D'!D27)</f>
        <v/>
      </c>
      <c r="E537" s="62">
        <f>IF('Calendario D'!E27="","",'Calendario D'!E27)</f>
        <v/>
      </c>
      <c r="F537" s="63">
        <f>IF('Calendario D'!F27="","",'Calendario D'!F27)</f>
        <v/>
      </c>
      <c r="G537" s="9" t="n"/>
      <c r="H537" s="9" t="n"/>
      <c r="I537" s="10" t="n"/>
      <c r="J537" s="195">
        <f>IF('Calendario D'!J27="","",'Calendario D'!J27)</f>
        <v/>
      </c>
      <c r="K537" s="64" t="inlineStr">
        <is>
          <t>-</t>
        </is>
      </c>
      <c r="L537" s="195">
        <f>IF('Calendario D'!L27="","",'Calendario D'!L27)</f>
        <v/>
      </c>
      <c r="M537" s="196" t="n"/>
      <c r="N537" s="196" t="n"/>
      <c r="O537" s="196" t="n"/>
      <c r="P537" s="196" t="n"/>
      <c r="Q537" s="196" t="n"/>
      <c r="R537" s="196" t="n"/>
    </row>
    <row r="538" ht="15" customHeight="1">
      <c r="A538" s="141" t="n"/>
      <c r="B538" s="69">
        <f>IF('Calendario D'!B28="","",'Calendario D'!B28)</f>
        <v/>
      </c>
      <c r="C538" s="9" t="n"/>
      <c r="D538" s="9" t="n"/>
      <c r="E538" s="9" t="n"/>
      <c r="F538" s="9" t="n"/>
      <c r="G538" s="9" t="n"/>
      <c r="H538" s="10" t="n"/>
      <c r="I538" s="62">
        <f>IF('Calendario D'!I28="","",'Calendario D'!I28)</f>
        <v/>
      </c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</row>
    <row r="539" ht="14" customHeight="1">
      <c r="A539" s="88" t="inlineStr">
        <is>
          <t>Gara N.</t>
        </is>
      </c>
      <c r="B539" s="88" t="inlineStr">
        <is>
          <t>Squadra A</t>
        </is>
      </c>
      <c r="C539" s="10" t="n"/>
      <c r="D539" s="88" t="inlineStr">
        <is>
          <t>Squadra B</t>
        </is>
      </c>
      <c r="E539" s="10" t="n"/>
      <c r="F539" s="88" t="inlineStr">
        <is>
          <t>Giorno</t>
        </is>
      </c>
      <c r="G539" s="88" t="inlineStr">
        <is>
          <t>Data</t>
        </is>
      </c>
      <c r="H539" s="88" t="inlineStr">
        <is>
          <t>Ora</t>
        </is>
      </c>
      <c r="I539" s="10" t="n"/>
      <c r="J539" s="88" t="inlineStr">
        <is>
          <t>Risultato</t>
        </is>
      </c>
      <c r="K539" s="9" t="n"/>
      <c r="L539" s="10" t="n"/>
      <c r="M539" s="203" t="inlineStr">
        <is>
          <t>1o Arbitro</t>
        </is>
      </c>
      <c r="N539" s="203" t="inlineStr">
        <is>
          <t>2o Arbitro</t>
        </is>
      </c>
      <c r="O539" s="203" t="inlineStr">
        <is>
          <t>3o Arbitro/Tirocinante</t>
        </is>
      </c>
      <c r="P539" s="203" t="inlineStr">
        <is>
          <t>Referto</t>
        </is>
      </c>
      <c r="Q539" s="203" t="inlineStr">
        <is>
          <t>Cronometro</t>
        </is>
      </c>
      <c r="R539" s="203" t="inlineStr">
        <is>
          <t>Foglio Tiri</t>
        </is>
      </c>
    </row>
    <row r="540" ht="22" customHeight="1">
      <c r="A540" s="90">
        <f>IF('Calendario D'!A30="","",'Calendario D'!A30)</f>
        <v/>
      </c>
      <c r="B540" s="61">
        <f>IF('Calendario D'!B30="","",'Calendario D'!B30)</f>
        <v/>
      </c>
      <c r="C540" s="62">
        <f>IF('Calendario D'!C30="","",'Calendario D'!C30)</f>
        <v/>
      </c>
      <c r="D540" s="61">
        <f>IF('Calendario D'!D30="","",'Calendario D'!D30)</f>
        <v/>
      </c>
      <c r="E540" s="62">
        <f>IF('Calendario D'!E30="","",'Calendario D'!E30)</f>
        <v/>
      </c>
      <c r="F540" s="63">
        <f>IF('Calendario D'!F30="","",'Calendario D'!F30)</f>
        <v/>
      </c>
      <c r="G540" s="9" t="n"/>
      <c r="H540" s="9" t="n"/>
      <c r="I540" s="10" t="n"/>
      <c r="J540" s="195">
        <f>IF('Calendario D'!J30="","",'Calendario D'!J30)</f>
        <v/>
      </c>
      <c r="K540" s="64" t="inlineStr">
        <is>
          <t>-</t>
        </is>
      </c>
      <c r="L540" s="195">
        <f>IF('Calendario D'!L30="","",'Calendario D'!L30)</f>
        <v/>
      </c>
      <c r="M540" s="196" t="n"/>
      <c r="N540" s="196" t="n"/>
      <c r="O540" s="196" t="n"/>
      <c r="P540" s="196" t="n"/>
      <c r="Q540" s="196" t="n"/>
      <c r="R540" s="196" t="n"/>
    </row>
    <row r="541" ht="15" customHeight="1">
      <c r="A541" s="141" t="n"/>
      <c r="B541" s="69">
        <f>IF('Calendario D'!B31="","",'Calendario D'!B31)</f>
        <v/>
      </c>
      <c r="C541" s="9" t="n"/>
      <c r="D541" s="9" t="n"/>
      <c r="E541" s="9" t="n"/>
      <c r="F541" s="9" t="n"/>
      <c r="G541" s="9" t="n"/>
      <c r="H541" s="10" t="n"/>
      <c r="I541" s="62">
        <f>IF('Calendario D'!I31="","",'Calendario D'!I31)</f>
        <v/>
      </c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</row>
    <row r="542" ht="14" customHeight="1">
      <c r="A542" s="88" t="inlineStr">
        <is>
          <t>Gara N.</t>
        </is>
      </c>
      <c r="B542" s="88" t="inlineStr">
        <is>
          <t>Squadra A</t>
        </is>
      </c>
      <c r="C542" s="10" t="n"/>
      <c r="D542" s="88" t="inlineStr">
        <is>
          <t>Squadra B</t>
        </is>
      </c>
      <c r="E542" s="10" t="n"/>
      <c r="F542" s="88" t="inlineStr">
        <is>
          <t>Giorno</t>
        </is>
      </c>
      <c r="G542" s="88" t="inlineStr">
        <is>
          <t>Data</t>
        </is>
      </c>
      <c r="H542" s="88" t="inlineStr">
        <is>
          <t>Ora</t>
        </is>
      </c>
      <c r="I542" s="10" t="n"/>
      <c r="J542" s="88" t="inlineStr">
        <is>
          <t>Risultato</t>
        </is>
      </c>
      <c r="K542" s="9" t="n"/>
      <c r="L542" s="10" t="n"/>
      <c r="M542" s="203" t="inlineStr">
        <is>
          <t>1o Arbitro</t>
        </is>
      </c>
      <c r="N542" s="203" t="inlineStr">
        <is>
          <t>2o Arbitro</t>
        </is>
      </c>
      <c r="O542" s="203" t="inlineStr">
        <is>
          <t>3o Arbitro/Tirocinante</t>
        </is>
      </c>
      <c r="P542" s="203" t="inlineStr">
        <is>
          <t>Referto</t>
        </is>
      </c>
      <c r="Q542" s="203" t="inlineStr">
        <is>
          <t>Cronometro</t>
        </is>
      </c>
      <c r="R542" s="203" t="inlineStr">
        <is>
          <t>Foglio Tiri</t>
        </is>
      </c>
    </row>
    <row r="543" ht="22" customHeight="1">
      <c r="A543" s="90">
        <f>IF('Calendario D'!A33="","",'Calendario D'!A33)</f>
        <v/>
      </c>
      <c r="B543" s="61">
        <f>IF('Calendario D'!B33="","",'Calendario D'!B33)</f>
        <v/>
      </c>
      <c r="C543" s="62">
        <f>IF('Calendario D'!C33="","",'Calendario D'!C33)</f>
        <v/>
      </c>
      <c r="D543" s="61">
        <f>IF('Calendario D'!D33="","",'Calendario D'!D33)</f>
        <v/>
      </c>
      <c r="E543" s="62">
        <f>IF('Calendario D'!E33="","",'Calendario D'!E33)</f>
        <v/>
      </c>
      <c r="F543" s="63">
        <f>IF('Calendario D'!F33="","",'Calendario D'!F33)</f>
        <v/>
      </c>
      <c r="G543" s="9" t="n"/>
      <c r="H543" s="9" t="n"/>
      <c r="I543" s="10" t="n"/>
      <c r="J543" s="195">
        <f>IF('Calendario D'!J33="","",'Calendario D'!J33)</f>
        <v/>
      </c>
      <c r="K543" s="64" t="inlineStr">
        <is>
          <t>-</t>
        </is>
      </c>
      <c r="L543" s="195">
        <f>IF('Calendario D'!L33="","",'Calendario D'!L33)</f>
        <v/>
      </c>
      <c r="M543" s="196" t="n"/>
      <c r="N543" s="196" t="n"/>
      <c r="O543" s="196" t="n"/>
      <c r="P543" s="196" t="n"/>
      <c r="Q543" s="196" t="n"/>
      <c r="R543" s="196" t="n"/>
    </row>
    <row r="544" ht="15" customHeight="1">
      <c r="A544" s="141" t="n"/>
      <c r="B544" s="69">
        <f>IF('Calendario D'!B34="","",'Calendario D'!B34)</f>
        <v/>
      </c>
      <c r="C544" s="9" t="n"/>
      <c r="D544" s="9" t="n"/>
      <c r="E544" s="9" t="n"/>
      <c r="F544" s="9" t="n"/>
      <c r="G544" s="9" t="n"/>
      <c r="H544" s="10" t="n"/>
      <c r="I544" s="62">
        <f>IF('Calendario D'!I34="","",'Calendario D'!I34)</f>
        <v/>
      </c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</row>
    <row r="545" ht="14" customHeight="1">
      <c r="A545" s="88" t="inlineStr">
        <is>
          <t>Gara N.</t>
        </is>
      </c>
      <c r="B545" s="88" t="inlineStr">
        <is>
          <t>Squadra A</t>
        </is>
      </c>
      <c r="C545" s="10" t="n"/>
      <c r="D545" s="88" t="inlineStr">
        <is>
          <t>Squadra B</t>
        </is>
      </c>
      <c r="E545" s="10" t="n"/>
      <c r="F545" s="88" t="inlineStr">
        <is>
          <t>Giorno</t>
        </is>
      </c>
      <c r="G545" s="88" t="inlineStr">
        <is>
          <t>Data</t>
        </is>
      </c>
      <c r="H545" s="88" t="inlineStr">
        <is>
          <t>Ora</t>
        </is>
      </c>
      <c r="I545" s="10" t="n"/>
      <c r="J545" s="88" t="inlineStr">
        <is>
          <t>Risultato</t>
        </is>
      </c>
      <c r="K545" s="9" t="n"/>
      <c r="L545" s="10" t="n"/>
      <c r="M545" s="203" t="inlineStr">
        <is>
          <t>1o Arbitro</t>
        </is>
      </c>
      <c r="N545" s="203" t="inlineStr">
        <is>
          <t>2o Arbitro</t>
        </is>
      </c>
      <c r="O545" s="203" t="inlineStr">
        <is>
          <t>3o Arbitro/Tirocinante</t>
        </is>
      </c>
      <c r="P545" s="203" t="inlineStr">
        <is>
          <t>Referto</t>
        </is>
      </c>
      <c r="Q545" s="203" t="inlineStr">
        <is>
          <t>Cronometro</t>
        </is>
      </c>
      <c r="R545" s="203" t="inlineStr">
        <is>
          <t>Foglio Tiri</t>
        </is>
      </c>
    </row>
    <row r="546" ht="22" customHeight="1">
      <c r="A546" s="90">
        <f>IF('Calendario D'!A36="","",'Calendario D'!A36)</f>
        <v/>
      </c>
      <c r="B546" s="61">
        <f>IF('Calendario D'!B36="","",'Calendario D'!B36)</f>
        <v/>
      </c>
      <c r="C546" s="62">
        <f>IF('Calendario D'!C36="","",'Calendario D'!C36)</f>
        <v/>
      </c>
      <c r="D546" s="61">
        <f>IF('Calendario D'!D36="","",'Calendario D'!D36)</f>
        <v/>
      </c>
      <c r="E546" s="62">
        <f>IF('Calendario D'!E36="","",'Calendario D'!E36)</f>
        <v/>
      </c>
      <c r="F546" s="63">
        <f>IF('Calendario D'!F36="","",'Calendario D'!F36)</f>
        <v/>
      </c>
      <c r="G546" s="9" t="n"/>
      <c r="H546" s="9" t="n"/>
      <c r="I546" s="10" t="n"/>
      <c r="J546" s="195">
        <f>IF('Calendario D'!J36="","",'Calendario D'!J36)</f>
        <v/>
      </c>
      <c r="K546" s="64" t="inlineStr">
        <is>
          <t>-</t>
        </is>
      </c>
      <c r="L546" s="195">
        <f>IF('Calendario D'!L36="","",'Calendario D'!L36)</f>
        <v/>
      </c>
      <c r="M546" s="196" t="n"/>
      <c r="N546" s="196" t="n"/>
      <c r="O546" s="196" t="n"/>
      <c r="P546" s="196" t="n"/>
      <c r="Q546" s="196" t="n"/>
      <c r="R546" s="196" t="n"/>
    </row>
    <row r="547" ht="15" customHeight="1">
      <c r="A547" s="141" t="n"/>
      <c r="B547" s="69">
        <f>IF('Calendario D'!B37="","",'Calendario D'!B37)</f>
        <v/>
      </c>
      <c r="C547" s="9" t="n"/>
      <c r="D547" s="9" t="n"/>
      <c r="E547" s="9" t="n"/>
      <c r="F547" s="9" t="n"/>
      <c r="G547" s="9" t="n"/>
      <c r="H547" s="10" t="n"/>
      <c r="I547" s="62">
        <f>IF('Calendario D'!I37="","",'Calendario D'!I37)</f>
        <v/>
      </c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</row>
    <row r="548" ht="14" customHeight="1">
      <c r="A548" s="88" t="inlineStr">
        <is>
          <t>Gara N.</t>
        </is>
      </c>
      <c r="B548" s="88" t="inlineStr">
        <is>
          <t>Squadra A</t>
        </is>
      </c>
      <c r="C548" s="10" t="n"/>
      <c r="D548" s="88" t="inlineStr">
        <is>
          <t>Squadra B</t>
        </is>
      </c>
      <c r="E548" s="10" t="n"/>
      <c r="F548" s="88" t="inlineStr">
        <is>
          <t>Giorno</t>
        </is>
      </c>
      <c r="G548" s="88" t="inlineStr">
        <is>
          <t>Data</t>
        </is>
      </c>
      <c r="H548" s="88" t="inlineStr">
        <is>
          <t>Ora</t>
        </is>
      </c>
      <c r="I548" s="10" t="n"/>
      <c r="J548" s="88" t="inlineStr">
        <is>
          <t>Risultato</t>
        </is>
      </c>
      <c r="K548" s="9" t="n"/>
      <c r="L548" s="10" t="n"/>
      <c r="M548" s="203" t="inlineStr">
        <is>
          <t>1o Arbitro</t>
        </is>
      </c>
      <c r="N548" s="203" t="inlineStr">
        <is>
          <t>2o Arbitro</t>
        </is>
      </c>
      <c r="O548" s="203" t="inlineStr">
        <is>
          <t>3o Arbitro/Tirocinante</t>
        </is>
      </c>
      <c r="P548" s="203" t="inlineStr">
        <is>
          <t>Referto</t>
        </is>
      </c>
      <c r="Q548" s="203" t="inlineStr">
        <is>
          <t>Cronometro</t>
        </is>
      </c>
      <c r="R548" s="203" t="inlineStr">
        <is>
          <t>Foglio Tiri</t>
        </is>
      </c>
    </row>
    <row r="549" ht="22" customHeight="1">
      <c r="A549" s="90">
        <f>IF('Calendario D'!A39="","",'Calendario D'!A39)</f>
        <v/>
      </c>
      <c r="B549" s="61">
        <f>IF('Calendario D'!B39="","",'Calendario D'!B39)</f>
        <v/>
      </c>
      <c r="C549" s="62">
        <f>IF('Calendario D'!C39="","",'Calendario D'!C39)</f>
        <v/>
      </c>
      <c r="D549" s="61">
        <f>IF('Calendario D'!D39="","",'Calendario D'!D39)</f>
        <v/>
      </c>
      <c r="E549" s="62">
        <f>IF('Calendario D'!E39="","",'Calendario D'!E39)</f>
        <v/>
      </c>
      <c r="F549" s="63">
        <f>IF('Calendario D'!F39="","",'Calendario D'!F39)</f>
        <v/>
      </c>
      <c r="G549" s="9" t="n"/>
      <c r="H549" s="9" t="n"/>
      <c r="I549" s="10" t="n"/>
      <c r="J549" s="195">
        <f>IF('Calendario D'!J39="","",'Calendario D'!J39)</f>
        <v/>
      </c>
      <c r="K549" s="64" t="inlineStr">
        <is>
          <t>-</t>
        </is>
      </c>
      <c r="L549" s="195">
        <f>IF('Calendario D'!L39="","",'Calendario D'!L39)</f>
        <v/>
      </c>
      <c r="M549" s="196" t="n"/>
      <c r="N549" s="196" t="n"/>
      <c r="O549" s="196" t="n"/>
      <c r="P549" s="196" t="n"/>
      <c r="Q549" s="196" t="n"/>
      <c r="R549" s="196" t="n"/>
    </row>
    <row r="550" ht="15" customHeight="1">
      <c r="A550" s="141" t="n"/>
      <c r="B550" s="69">
        <f>IF('Calendario D'!B40="","",'Calendario D'!B40)</f>
        <v/>
      </c>
      <c r="C550" s="9" t="n"/>
      <c r="D550" s="9" t="n"/>
      <c r="E550" s="9" t="n"/>
      <c r="F550" s="9" t="n"/>
      <c r="G550" s="9" t="n"/>
      <c r="H550" s="10" t="n"/>
      <c r="I550" s="62">
        <f>IF('Calendario D'!I40="","",'Calendario D'!I40)</f>
        <v/>
      </c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</row>
    <row r="552" ht="20" customHeight="1">
      <c r="A552" s="85">
        <f>IF('Calendario D'!A42="","",'Calendario D'!A42)</f>
        <v/>
      </c>
      <c r="B552" s="86">
        <f>IF('Calendario D'!B42="","",'Calendario D'!B42)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  <c r="M552" s="202" t="inlineStr">
        <is>
          <t>ARBITRI</t>
        </is>
      </c>
      <c r="N552" s="9" t="n"/>
      <c r="O552" s="10" t="n"/>
      <c r="P552" s="202" t="inlineStr">
        <is>
          <t>UFFICIALI DI CAMPO</t>
        </is>
      </c>
      <c r="Q552" s="9" t="n"/>
      <c r="R552" s="10" t="n"/>
    </row>
    <row r="553" ht="14" customHeight="1">
      <c r="A553" s="88" t="inlineStr">
        <is>
          <t>Gara N.</t>
        </is>
      </c>
      <c r="B553" s="88" t="inlineStr">
        <is>
          <t>Squadra A</t>
        </is>
      </c>
      <c r="C553" s="10" t="n"/>
      <c r="D553" s="88" t="inlineStr">
        <is>
          <t>Squadra B</t>
        </is>
      </c>
      <c r="E553" s="10" t="n"/>
      <c r="F553" s="88" t="inlineStr">
        <is>
          <t>Giorno</t>
        </is>
      </c>
      <c r="G553" s="88" t="inlineStr">
        <is>
          <t>Data</t>
        </is>
      </c>
      <c r="H553" s="88" t="inlineStr">
        <is>
          <t>Ora</t>
        </is>
      </c>
      <c r="I553" s="10" t="n"/>
      <c r="J553" s="88" t="inlineStr">
        <is>
          <t>Risultato</t>
        </is>
      </c>
      <c r="K553" s="9" t="n"/>
      <c r="L553" s="10" t="n"/>
      <c r="M553" s="203" t="inlineStr">
        <is>
          <t>1o Arbitro</t>
        </is>
      </c>
      <c r="N553" s="203" t="inlineStr">
        <is>
          <t>2o Arbitro</t>
        </is>
      </c>
      <c r="O553" s="203" t="inlineStr">
        <is>
          <t>3o Arbitro/Tirocinante</t>
        </is>
      </c>
      <c r="P553" s="203" t="inlineStr">
        <is>
          <t>Referto</t>
        </is>
      </c>
      <c r="Q553" s="203" t="inlineStr">
        <is>
          <t>Cronometro</t>
        </is>
      </c>
      <c r="R553" s="203" t="inlineStr">
        <is>
          <t>Foglio Tiri</t>
        </is>
      </c>
    </row>
    <row r="554" ht="22" customHeight="1">
      <c r="A554" s="90">
        <f>IF('Calendario D'!A44="","",'Calendario D'!A44)</f>
        <v/>
      </c>
      <c r="B554" s="61">
        <f>IF('Calendario D'!B44="","",'Calendario D'!B44)</f>
        <v/>
      </c>
      <c r="C554" s="62">
        <f>IF('Calendario D'!C44="","",'Calendario D'!C44)</f>
        <v/>
      </c>
      <c r="D554" s="61">
        <f>IF('Calendario D'!D44="","",'Calendario D'!D44)</f>
        <v/>
      </c>
      <c r="E554" s="62">
        <f>IF('Calendario D'!E44="","",'Calendario D'!E44)</f>
        <v/>
      </c>
      <c r="F554" s="63">
        <f>IF('Calendario D'!F44="","",'Calendario D'!F44)</f>
        <v/>
      </c>
      <c r="G554" s="9" t="n"/>
      <c r="H554" s="9" t="n"/>
      <c r="I554" s="10" t="n"/>
      <c r="J554" s="195">
        <f>IF('Calendario D'!J44="","",'Calendario D'!J44)</f>
        <v/>
      </c>
      <c r="K554" s="64" t="inlineStr">
        <is>
          <t>-</t>
        </is>
      </c>
      <c r="L554" s="195">
        <f>IF('Calendario D'!L44="","",'Calendario D'!L44)</f>
        <v/>
      </c>
      <c r="M554" s="196" t="n"/>
      <c r="N554" s="196" t="n"/>
      <c r="O554" s="196" t="n"/>
      <c r="P554" s="196" t="n"/>
      <c r="Q554" s="196" t="n"/>
      <c r="R554" s="196" t="n"/>
    </row>
    <row r="555" ht="15" customHeight="1">
      <c r="A555" s="141" t="n"/>
      <c r="B555" s="69">
        <f>IF('Calendario D'!B45="","",'Calendario D'!B45)</f>
        <v/>
      </c>
      <c r="C555" s="9" t="n"/>
      <c r="D555" s="9" t="n"/>
      <c r="E555" s="9" t="n"/>
      <c r="F555" s="9" t="n"/>
      <c r="G555" s="9" t="n"/>
      <c r="H555" s="10" t="n"/>
      <c r="I555" s="62">
        <f>IF('Calendario D'!I45="","",'Calendario D'!I45)</f>
        <v/>
      </c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</row>
    <row r="556" ht="14" customHeight="1">
      <c r="A556" s="88" t="inlineStr">
        <is>
          <t>Gara N.</t>
        </is>
      </c>
      <c r="B556" s="88" t="inlineStr">
        <is>
          <t>Squadra A</t>
        </is>
      </c>
      <c r="C556" s="10" t="n"/>
      <c r="D556" s="88" t="inlineStr">
        <is>
          <t>Squadra B</t>
        </is>
      </c>
      <c r="E556" s="10" t="n"/>
      <c r="F556" s="88" t="inlineStr">
        <is>
          <t>Giorno</t>
        </is>
      </c>
      <c r="G556" s="88" t="inlineStr">
        <is>
          <t>Data</t>
        </is>
      </c>
      <c r="H556" s="88" t="inlineStr">
        <is>
          <t>Ora</t>
        </is>
      </c>
      <c r="I556" s="10" t="n"/>
      <c r="J556" s="88" t="inlineStr">
        <is>
          <t>Risultato</t>
        </is>
      </c>
      <c r="K556" s="9" t="n"/>
      <c r="L556" s="10" t="n"/>
      <c r="M556" s="203" t="inlineStr">
        <is>
          <t>1o Arbitro</t>
        </is>
      </c>
      <c r="N556" s="203" t="inlineStr">
        <is>
          <t>2o Arbitro</t>
        </is>
      </c>
      <c r="O556" s="203" t="inlineStr">
        <is>
          <t>3o Arbitro/Tirocinante</t>
        </is>
      </c>
      <c r="P556" s="203" t="inlineStr">
        <is>
          <t>Referto</t>
        </is>
      </c>
      <c r="Q556" s="203" t="inlineStr">
        <is>
          <t>Cronometro</t>
        </is>
      </c>
      <c r="R556" s="203" t="inlineStr">
        <is>
          <t>Foglio Tiri</t>
        </is>
      </c>
    </row>
    <row r="557" ht="22" customHeight="1">
      <c r="A557" s="90">
        <f>IF('Calendario D'!A47="","",'Calendario D'!A47)</f>
        <v/>
      </c>
      <c r="B557" s="61">
        <f>IF('Calendario D'!B47="","",'Calendario D'!B47)</f>
        <v/>
      </c>
      <c r="C557" s="62">
        <f>IF('Calendario D'!C47="","",'Calendario D'!C47)</f>
        <v/>
      </c>
      <c r="D557" s="61">
        <f>IF('Calendario D'!D47="","",'Calendario D'!D47)</f>
        <v/>
      </c>
      <c r="E557" s="62">
        <f>IF('Calendario D'!E47="","",'Calendario D'!E47)</f>
        <v/>
      </c>
      <c r="F557" s="63">
        <f>IF('Calendario D'!F47="","",'Calendario D'!F47)</f>
        <v/>
      </c>
      <c r="G557" s="9" t="n"/>
      <c r="H557" s="9" t="n"/>
      <c r="I557" s="10" t="n"/>
      <c r="J557" s="195">
        <f>IF('Calendario D'!J47="","",'Calendario D'!J47)</f>
        <v/>
      </c>
      <c r="K557" s="64" t="inlineStr">
        <is>
          <t>-</t>
        </is>
      </c>
      <c r="L557" s="195">
        <f>IF('Calendario D'!L47="","",'Calendario D'!L47)</f>
        <v/>
      </c>
      <c r="M557" s="196" t="n"/>
      <c r="N557" s="196" t="n"/>
      <c r="O557" s="196" t="n"/>
      <c r="P557" s="196" t="n"/>
      <c r="Q557" s="196" t="n"/>
      <c r="R557" s="196" t="n"/>
    </row>
    <row r="558" ht="15" customHeight="1">
      <c r="A558" s="141" t="n"/>
      <c r="B558" s="69">
        <f>IF('Calendario D'!B48="","",'Calendario D'!B48)</f>
        <v/>
      </c>
      <c r="C558" s="9" t="n"/>
      <c r="D558" s="9" t="n"/>
      <c r="E558" s="9" t="n"/>
      <c r="F558" s="9" t="n"/>
      <c r="G558" s="9" t="n"/>
      <c r="H558" s="10" t="n"/>
      <c r="I558" s="62">
        <f>IF('Calendario D'!I48="","",'Calendario D'!I48)</f>
        <v/>
      </c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</row>
    <row r="559" ht="14" customHeight="1">
      <c r="A559" s="88" t="inlineStr">
        <is>
          <t>Gara N.</t>
        </is>
      </c>
      <c r="B559" s="88" t="inlineStr">
        <is>
          <t>Squadra A</t>
        </is>
      </c>
      <c r="C559" s="10" t="n"/>
      <c r="D559" s="88" t="inlineStr">
        <is>
          <t>Squadra B</t>
        </is>
      </c>
      <c r="E559" s="10" t="n"/>
      <c r="F559" s="88" t="inlineStr">
        <is>
          <t>Giorno</t>
        </is>
      </c>
      <c r="G559" s="88" t="inlineStr">
        <is>
          <t>Data</t>
        </is>
      </c>
      <c r="H559" s="88" t="inlineStr">
        <is>
          <t>Ora</t>
        </is>
      </c>
      <c r="I559" s="10" t="n"/>
      <c r="J559" s="88" t="inlineStr">
        <is>
          <t>Risultato</t>
        </is>
      </c>
      <c r="K559" s="9" t="n"/>
      <c r="L559" s="10" t="n"/>
      <c r="M559" s="203" t="inlineStr">
        <is>
          <t>1o Arbitro</t>
        </is>
      </c>
      <c r="N559" s="203" t="inlineStr">
        <is>
          <t>2o Arbitro</t>
        </is>
      </c>
      <c r="O559" s="203" t="inlineStr">
        <is>
          <t>3o Arbitro/Tirocinante</t>
        </is>
      </c>
      <c r="P559" s="203" t="inlineStr">
        <is>
          <t>Referto</t>
        </is>
      </c>
      <c r="Q559" s="203" t="inlineStr">
        <is>
          <t>Cronometro</t>
        </is>
      </c>
      <c r="R559" s="203" t="inlineStr">
        <is>
          <t>Foglio Tiri</t>
        </is>
      </c>
    </row>
    <row r="560" ht="22" customHeight="1">
      <c r="A560" s="90">
        <f>IF('Calendario D'!A50="","",'Calendario D'!A50)</f>
        <v/>
      </c>
      <c r="B560" s="61">
        <f>IF('Calendario D'!B50="","",'Calendario D'!B50)</f>
        <v/>
      </c>
      <c r="C560" s="62">
        <f>IF('Calendario D'!C50="","",'Calendario D'!C50)</f>
        <v/>
      </c>
      <c r="D560" s="61">
        <f>IF('Calendario D'!D50="","",'Calendario D'!D50)</f>
        <v/>
      </c>
      <c r="E560" s="62">
        <f>IF('Calendario D'!E50="","",'Calendario D'!E50)</f>
        <v/>
      </c>
      <c r="F560" s="63">
        <f>IF('Calendario D'!F50="","",'Calendario D'!F50)</f>
        <v/>
      </c>
      <c r="G560" s="9" t="n"/>
      <c r="H560" s="9" t="n"/>
      <c r="I560" s="10" t="n"/>
      <c r="J560" s="195">
        <f>IF('Calendario D'!J50="","",'Calendario D'!J50)</f>
        <v/>
      </c>
      <c r="K560" s="64" t="inlineStr">
        <is>
          <t>-</t>
        </is>
      </c>
      <c r="L560" s="195">
        <f>IF('Calendario D'!L50="","",'Calendario D'!L50)</f>
        <v/>
      </c>
      <c r="M560" s="196" t="n"/>
      <c r="N560" s="196" t="n"/>
      <c r="O560" s="196" t="n"/>
      <c r="P560" s="196" t="n"/>
      <c r="Q560" s="196" t="n"/>
      <c r="R560" s="196" t="n"/>
    </row>
    <row r="561" ht="15" customHeight="1">
      <c r="A561" s="141" t="n"/>
      <c r="B561" s="69">
        <f>IF('Calendario D'!B51="","",'Calendario D'!B51)</f>
        <v/>
      </c>
      <c r="C561" s="9" t="n"/>
      <c r="D561" s="9" t="n"/>
      <c r="E561" s="9" t="n"/>
      <c r="F561" s="9" t="n"/>
      <c r="G561" s="9" t="n"/>
      <c r="H561" s="10" t="n"/>
      <c r="I561" s="62">
        <f>IF('Calendario D'!I51="","",'Calendario D'!I51)</f>
        <v/>
      </c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</row>
    <row r="562" ht="14" customHeight="1">
      <c r="A562" s="88" t="inlineStr">
        <is>
          <t>Gara N.</t>
        </is>
      </c>
      <c r="B562" s="88" t="inlineStr">
        <is>
          <t>Squadra A</t>
        </is>
      </c>
      <c r="C562" s="10" t="n"/>
      <c r="D562" s="88" t="inlineStr">
        <is>
          <t>Squadra B</t>
        </is>
      </c>
      <c r="E562" s="10" t="n"/>
      <c r="F562" s="88" t="inlineStr">
        <is>
          <t>Giorno</t>
        </is>
      </c>
      <c r="G562" s="88" t="inlineStr">
        <is>
          <t>Data</t>
        </is>
      </c>
      <c r="H562" s="88" t="inlineStr">
        <is>
          <t>Ora</t>
        </is>
      </c>
      <c r="I562" s="10" t="n"/>
      <c r="J562" s="88" t="inlineStr">
        <is>
          <t>Risultato</t>
        </is>
      </c>
      <c r="K562" s="9" t="n"/>
      <c r="L562" s="10" t="n"/>
      <c r="M562" s="203" t="inlineStr">
        <is>
          <t>1o Arbitro</t>
        </is>
      </c>
      <c r="N562" s="203" t="inlineStr">
        <is>
          <t>2o Arbitro</t>
        </is>
      </c>
      <c r="O562" s="203" t="inlineStr">
        <is>
          <t>3o Arbitro/Tirocinante</t>
        </is>
      </c>
      <c r="P562" s="203" t="inlineStr">
        <is>
          <t>Referto</t>
        </is>
      </c>
      <c r="Q562" s="203" t="inlineStr">
        <is>
          <t>Cronometro</t>
        </is>
      </c>
      <c r="R562" s="203" t="inlineStr">
        <is>
          <t>Foglio Tiri</t>
        </is>
      </c>
    </row>
    <row r="563" ht="22" customHeight="1">
      <c r="A563" s="90">
        <f>IF('Calendario D'!A53="","",'Calendario D'!A53)</f>
        <v/>
      </c>
      <c r="B563" s="61">
        <f>IF('Calendario D'!B53="","",'Calendario D'!B53)</f>
        <v/>
      </c>
      <c r="C563" s="62">
        <f>IF('Calendario D'!C53="","",'Calendario D'!C53)</f>
        <v/>
      </c>
      <c r="D563" s="61">
        <f>IF('Calendario D'!D53="","",'Calendario D'!D53)</f>
        <v/>
      </c>
      <c r="E563" s="62">
        <f>IF('Calendario D'!E53="","",'Calendario D'!E53)</f>
        <v/>
      </c>
      <c r="F563" s="63">
        <f>IF('Calendario D'!F53="","",'Calendario D'!F53)</f>
        <v/>
      </c>
      <c r="G563" s="9" t="n"/>
      <c r="H563" s="9" t="n"/>
      <c r="I563" s="10" t="n"/>
      <c r="J563" s="195">
        <f>IF('Calendario D'!J53="","",'Calendario D'!J53)</f>
        <v/>
      </c>
      <c r="K563" s="64" t="inlineStr">
        <is>
          <t>-</t>
        </is>
      </c>
      <c r="L563" s="195">
        <f>IF('Calendario D'!L53="","",'Calendario D'!L53)</f>
        <v/>
      </c>
      <c r="M563" s="196" t="n"/>
      <c r="N563" s="196" t="n"/>
      <c r="O563" s="196" t="n"/>
      <c r="P563" s="196" t="n"/>
      <c r="Q563" s="196" t="n"/>
      <c r="R563" s="196" t="n"/>
    </row>
    <row r="564" ht="15" customHeight="1">
      <c r="A564" s="141" t="n"/>
      <c r="B564" s="69">
        <f>IF('Calendario D'!B54="","",'Calendario D'!B54)</f>
        <v/>
      </c>
      <c r="C564" s="9" t="n"/>
      <c r="D564" s="9" t="n"/>
      <c r="E564" s="9" t="n"/>
      <c r="F564" s="9" t="n"/>
      <c r="G564" s="9" t="n"/>
      <c r="H564" s="10" t="n"/>
      <c r="I564" s="62">
        <f>IF('Calendario D'!I54="","",'Calendario D'!I54)</f>
        <v/>
      </c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</row>
    <row r="565" ht="14" customHeight="1">
      <c r="A565" s="88" t="inlineStr">
        <is>
          <t>Gara N.</t>
        </is>
      </c>
      <c r="B565" s="88" t="inlineStr">
        <is>
          <t>Squadra A</t>
        </is>
      </c>
      <c r="C565" s="10" t="n"/>
      <c r="D565" s="88" t="inlineStr">
        <is>
          <t>Squadra B</t>
        </is>
      </c>
      <c r="E565" s="10" t="n"/>
      <c r="F565" s="88" t="inlineStr">
        <is>
          <t>Giorno</t>
        </is>
      </c>
      <c r="G565" s="88" t="inlineStr">
        <is>
          <t>Data</t>
        </is>
      </c>
      <c r="H565" s="88" t="inlineStr">
        <is>
          <t>Ora</t>
        </is>
      </c>
      <c r="I565" s="10" t="n"/>
      <c r="J565" s="88" t="inlineStr">
        <is>
          <t>Risultato</t>
        </is>
      </c>
      <c r="K565" s="9" t="n"/>
      <c r="L565" s="10" t="n"/>
      <c r="M565" s="203" t="inlineStr">
        <is>
          <t>1o Arbitro</t>
        </is>
      </c>
      <c r="N565" s="203" t="inlineStr">
        <is>
          <t>2o Arbitro</t>
        </is>
      </c>
      <c r="O565" s="203" t="inlineStr">
        <is>
          <t>3o Arbitro/Tirocinante</t>
        </is>
      </c>
      <c r="P565" s="203" t="inlineStr">
        <is>
          <t>Referto</t>
        </is>
      </c>
      <c r="Q565" s="203" t="inlineStr">
        <is>
          <t>Cronometro</t>
        </is>
      </c>
      <c r="R565" s="203" t="inlineStr">
        <is>
          <t>Foglio Tiri</t>
        </is>
      </c>
    </row>
    <row r="566" ht="22" customHeight="1">
      <c r="A566" s="90">
        <f>IF('Calendario D'!A56="","",'Calendario D'!A56)</f>
        <v/>
      </c>
      <c r="B566" s="61">
        <f>IF('Calendario D'!B56="","",'Calendario D'!B56)</f>
        <v/>
      </c>
      <c r="C566" s="62">
        <f>IF('Calendario D'!C56="","",'Calendario D'!C56)</f>
        <v/>
      </c>
      <c r="D566" s="61">
        <f>IF('Calendario D'!D56="","",'Calendario D'!D56)</f>
        <v/>
      </c>
      <c r="E566" s="62">
        <f>IF('Calendario D'!E56="","",'Calendario D'!E56)</f>
        <v/>
      </c>
      <c r="F566" s="63">
        <f>IF('Calendario D'!F56="","",'Calendario D'!F56)</f>
        <v/>
      </c>
      <c r="G566" s="9" t="n"/>
      <c r="H566" s="9" t="n"/>
      <c r="I566" s="10" t="n"/>
      <c r="J566" s="195">
        <f>IF('Calendario D'!J56="","",'Calendario D'!J56)</f>
        <v/>
      </c>
      <c r="K566" s="64" t="inlineStr">
        <is>
          <t>-</t>
        </is>
      </c>
      <c r="L566" s="195">
        <f>IF('Calendario D'!L56="","",'Calendario D'!L56)</f>
        <v/>
      </c>
      <c r="M566" s="196" t="n"/>
      <c r="N566" s="196" t="n"/>
      <c r="O566" s="196" t="n"/>
      <c r="P566" s="196" t="n"/>
      <c r="Q566" s="196" t="n"/>
      <c r="R566" s="196" t="n"/>
    </row>
    <row r="567" ht="15" customHeight="1">
      <c r="A567" s="141" t="n"/>
      <c r="B567" s="69">
        <f>IF('Calendario D'!B57="","",'Calendario D'!B57)</f>
        <v/>
      </c>
      <c r="C567" s="9" t="n"/>
      <c r="D567" s="9" t="n"/>
      <c r="E567" s="9" t="n"/>
      <c r="F567" s="9" t="n"/>
      <c r="G567" s="9" t="n"/>
      <c r="H567" s="10" t="n"/>
      <c r="I567" s="62">
        <f>IF('Calendario D'!I57="","",'Calendario D'!I57)</f>
        <v/>
      </c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</row>
    <row r="569" ht="20" customHeight="1">
      <c r="A569" s="85">
        <f>IF('Calendario D'!A59="","",'Calendario D'!A59)</f>
        <v/>
      </c>
      <c r="B569" s="86">
        <f>IF('Calendario D'!B59="","",'Calendario D'!B59)</f>
        <v/>
      </c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10" t="n"/>
      <c r="M569" s="202" t="inlineStr">
        <is>
          <t>ARBITRI</t>
        </is>
      </c>
      <c r="N569" s="9" t="n"/>
      <c r="O569" s="10" t="n"/>
      <c r="P569" s="202" t="inlineStr">
        <is>
          <t>UFFICIALI DI CAMPO</t>
        </is>
      </c>
      <c r="Q569" s="9" t="n"/>
      <c r="R569" s="10" t="n"/>
    </row>
    <row r="570" ht="14" customHeight="1">
      <c r="A570" s="88" t="inlineStr">
        <is>
          <t>Gara N.</t>
        </is>
      </c>
      <c r="B570" s="88" t="inlineStr">
        <is>
          <t>Squadra A</t>
        </is>
      </c>
      <c r="C570" s="10" t="n"/>
      <c r="D570" s="88" t="inlineStr">
        <is>
          <t>Squadra B</t>
        </is>
      </c>
      <c r="E570" s="10" t="n"/>
      <c r="F570" s="88" t="inlineStr">
        <is>
          <t>Giorno</t>
        </is>
      </c>
      <c r="G570" s="88" t="inlineStr">
        <is>
          <t>Data</t>
        </is>
      </c>
      <c r="H570" s="88" t="inlineStr">
        <is>
          <t>Ora</t>
        </is>
      </c>
      <c r="I570" s="10" t="n"/>
      <c r="J570" s="88" t="inlineStr">
        <is>
          <t>Risultato</t>
        </is>
      </c>
      <c r="K570" s="9" t="n"/>
      <c r="L570" s="10" t="n"/>
      <c r="M570" s="203" t="inlineStr">
        <is>
          <t>1o Arbitro</t>
        </is>
      </c>
      <c r="N570" s="203" t="inlineStr">
        <is>
          <t>2o Arbitro</t>
        </is>
      </c>
      <c r="O570" s="203" t="inlineStr">
        <is>
          <t>3o Arbitro/Tirocinante</t>
        </is>
      </c>
      <c r="P570" s="203" t="inlineStr">
        <is>
          <t>Referto</t>
        </is>
      </c>
      <c r="Q570" s="203" t="inlineStr">
        <is>
          <t>Cronometro</t>
        </is>
      </c>
      <c r="R570" s="203" t="inlineStr">
        <is>
          <t>Foglio Tiri</t>
        </is>
      </c>
    </row>
    <row r="571" ht="22" customHeight="1">
      <c r="A571" s="90">
        <f>IF('Calendario D'!A61="","",'Calendario D'!A61)</f>
        <v/>
      </c>
      <c r="B571" s="61">
        <f>IF('Calendario D'!B61="","",'Calendario D'!B61)</f>
        <v/>
      </c>
      <c r="C571" s="62">
        <f>IF('Calendario D'!C61="","",'Calendario D'!C61)</f>
        <v/>
      </c>
      <c r="D571" s="61">
        <f>IF('Calendario D'!D61="","",'Calendario D'!D61)</f>
        <v/>
      </c>
      <c r="E571" s="62">
        <f>IF('Calendario D'!E61="","",'Calendario D'!E61)</f>
        <v/>
      </c>
      <c r="F571" s="63">
        <f>IF('Calendario D'!F61="","",'Calendario D'!F61)</f>
        <v/>
      </c>
      <c r="G571" s="9" t="n"/>
      <c r="H571" s="9" t="n"/>
      <c r="I571" s="10" t="n"/>
      <c r="J571" s="195">
        <f>IF('Calendario D'!J61="","",'Calendario D'!J61)</f>
        <v/>
      </c>
      <c r="K571" s="64" t="inlineStr">
        <is>
          <t>-</t>
        </is>
      </c>
      <c r="L571" s="195">
        <f>IF('Calendario D'!L61="","",'Calendario D'!L61)</f>
        <v/>
      </c>
      <c r="M571" s="196" t="n"/>
      <c r="N571" s="196" t="n"/>
      <c r="O571" s="196" t="n"/>
      <c r="P571" s="196" t="n"/>
      <c r="Q571" s="196" t="n"/>
      <c r="R571" s="196" t="n"/>
    </row>
    <row r="572" ht="15" customHeight="1">
      <c r="A572" s="141" t="n"/>
      <c r="B572" s="69">
        <f>IF('Calendario D'!B62="","",'Calendario D'!B62)</f>
        <v/>
      </c>
      <c r="C572" s="9" t="n"/>
      <c r="D572" s="9" t="n"/>
      <c r="E572" s="9" t="n"/>
      <c r="F572" s="9" t="n"/>
      <c r="G572" s="9" t="n"/>
      <c r="H572" s="10" t="n"/>
      <c r="I572" s="62">
        <f>IF('Calendario D'!I62="","",'Calendario D'!I62)</f>
        <v/>
      </c>
      <c r="J572" s="141" t="n"/>
      <c r="K572" s="141" t="n"/>
      <c r="L572" s="141" t="n"/>
      <c r="M572" s="141" t="n"/>
      <c r="N572" s="141" t="n"/>
      <c r="O572" s="141" t="n"/>
      <c r="P572" s="141" t="n"/>
      <c r="Q572" s="141" t="n"/>
      <c r="R572" s="141" t="n"/>
    </row>
    <row r="573" ht="14" customHeight="1">
      <c r="A573" s="88" t="inlineStr">
        <is>
          <t>Gara N.</t>
        </is>
      </c>
      <c r="B573" s="88" t="inlineStr">
        <is>
          <t>Squadra A</t>
        </is>
      </c>
      <c r="C573" s="10" t="n"/>
      <c r="D573" s="88" t="inlineStr">
        <is>
          <t>Squadra B</t>
        </is>
      </c>
      <c r="E573" s="10" t="n"/>
      <c r="F573" s="88" t="inlineStr">
        <is>
          <t>Giorno</t>
        </is>
      </c>
      <c r="G573" s="88" t="inlineStr">
        <is>
          <t>Data</t>
        </is>
      </c>
      <c r="H573" s="88" t="inlineStr">
        <is>
          <t>Ora</t>
        </is>
      </c>
      <c r="I573" s="10" t="n"/>
      <c r="J573" s="88" t="inlineStr">
        <is>
          <t>Risultato</t>
        </is>
      </c>
      <c r="K573" s="9" t="n"/>
      <c r="L573" s="10" t="n"/>
      <c r="M573" s="203" t="inlineStr">
        <is>
          <t>1o Arbitro</t>
        </is>
      </c>
      <c r="N573" s="203" t="inlineStr">
        <is>
          <t>2o Arbitro</t>
        </is>
      </c>
      <c r="O573" s="203" t="inlineStr">
        <is>
          <t>3o Arbitro/Tirocinante</t>
        </is>
      </c>
      <c r="P573" s="203" t="inlineStr">
        <is>
          <t>Referto</t>
        </is>
      </c>
      <c r="Q573" s="203" t="inlineStr">
        <is>
          <t>Cronometro</t>
        </is>
      </c>
      <c r="R573" s="203" t="inlineStr">
        <is>
          <t>Foglio Tiri</t>
        </is>
      </c>
    </row>
    <row r="574" ht="22" customHeight="1">
      <c r="A574" s="90">
        <f>IF('Calendario D'!A64="","",'Calendario D'!A64)</f>
        <v/>
      </c>
      <c r="B574" s="61">
        <f>IF('Calendario D'!B64="","",'Calendario D'!B64)</f>
        <v/>
      </c>
      <c r="C574" s="62">
        <f>IF('Calendario D'!C64="","",'Calendario D'!C64)</f>
        <v/>
      </c>
      <c r="D574" s="61">
        <f>IF('Calendario D'!D64="","",'Calendario D'!D64)</f>
        <v/>
      </c>
      <c r="E574" s="62">
        <f>IF('Calendario D'!E64="","",'Calendario D'!E64)</f>
        <v/>
      </c>
      <c r="F574" s="63">
        <f>IF('Calendario D'!F64="","",'Calendario D'!F64)</f>
        <v/>
      </c>
      <c r="G574" s="9" t="n"/>
      <c r="H574" s="9" t="n"/>
      <c r="I574" s="10" t="n"/>
      <c r="J574" s="195">
        <f>IF('Calendario D'!J64="","",'Calendario D'!J64)</f>
        <v/>
      </c>
      <c r="K574" s="64" t="inlineStr">
        <is>
          <t>-</t>
        </is>
      </c>
      <c r="L574" s="195">
        <f>IF('Calendario D'!L64="","",'Calendario D'!L64)</f>
        <v/>
      </c>
      <c r="M574" s="196" t="n"/>
      <c r="N574" s="196" t="n"/>
      <c r="O574" s="196" t="n"/>
      <c r="P574" s="196" t="n"/>
      <c r="Q574" s="196" t="n"/>
      <c r="R574" s="196" t="n"/>
    </row>
    <row r="575" ht="15" customHeight="1">
      <c r="A575" s="141" t="n"/>
      <c r="B575" s="69">
        <f>IF('Calendario D'!B65="","",'Calendario D'!B65)</f>
        <v/>
      </c>
      <c r="C575" s="9" t="n"/>
      <c r="D575" s="9" t="n"/>
      <c r="E575" s="9" t="n"/>
      <c r="F575" s="9" t="n"/>
      <c r="G575" s="9" t="n"/>
      <c r="H575" s="10" t="n"/>
      <c r="I575" s="62">
        <f>IF('Calendario D'!I65="","",'Calendario D'!I65)</f>
        <v/>
      </c>
      <c r="J575" s="141" t="n"/>
      <c r="K575" s="141" t="n"/>
      <c r="L575" s="141" t="n"/>
      <c r="M575" s="141" t="n"/>
      <c r="N575" s="141" t="n"/>
      <c r="O575" s="141" t="n"/>
      <c r="P575" s="141" t="n"/>
      <c r="Q575" s="141" t="n"/>
      <c r="R575" s="141" t="n"/>
    </row>
    <row r="576" ht="14" customHeight="1">
      <c r="A576" s="88" t="inlineStr">
        <is>
          <t>Gara N.</t>
        </is>
      </c>
      <c r="B576" s="88" t="inlineStr">
        <is>
          <t>Squadra A</t>
        </is>
      </c>
      <c r="C576" s="10" t="n"/>
      <c r="D576" s="88" t="inlineStr">
        <is>
          <t>Squadra B</t>
        </is>
      </c>
      <c r="E576" s="10" t="n"/>
      <c r="F576" s="88" t="inlineStr">
        <is>
          <t>Giorno</t>
        </is>
      </c>
      <c r="G576" s="88" t="inlineStr">
        <is>
          <t>Data</t>
        </is>
      </c>
      <c r="H576" s="88" t="inlineStr">
        <is>
          <t>Ora</t>
        </is>
      </c>
      <c r="I576" s="10" t="n"/>
      <c r="J576" s="88" t="inlineStr">
        <is>
          <t>Risultato</t>
        </is>
      </c>
      <c r="K576" s="9" t="n"/>
      <c r="L576" s="10" t="n"/>
      <c r="M576" s="203" t="inlineStr">
        <is>
          <t>1o Arbitro</t>
        </is>
      </c>
      <c r="N576" s="203" t="inlineStr">
        <is>
          <t>2o Arbitro</t>
        </is>
      </c>
      <c r="O576" s="203" t="inlineStr">
        <is>
          <t>3o Arbitro/Tirocinante</t>
        </is>
      </c>
      <c r="P576" s="203" t="inlineStr">
        <is>
          <t>Referto</t>
        </is>
      </c>
      <c r="Q576" s="203" t="inlineStr">
        <is>
          <t>Cronometro</t>
        </is>
      </c>
      <c r="R576" s="203" t="inlineStr">
        <is>
          <t>Foglio Tiri</t>
        </is>
      </c>
    </row>
    <row r="577" ht="22" customHeight="1">
      <c r="A577" s="90">
        <f>IF('Calendario D'!A67="","",'Calendario D'!A67)</f>
        <v/>
      </c>
      <c r="B577" s="61">
        <f>IF('Calendario D'!B67="","",'Calendario D'!B67)</f>
        <v/>
      </c>
      <c r="C577" s="62">
        <f>IF('Calendario D'!C67="","",'Calendario D'!C67)</f>
        <v/>
      </c>
      <c r="D577" s="61">
        <f>IF('Calendario D'!D67="","",'Calendario D'!D67)</f>
        <v/>
      </c>
      <c r="E577" s="62">
        <f>IF('Calendario D'!E67="","",'Calendario D'!E67)</f>
        <v/>
      </c>
      <c r="F577" s="63">
        <f>IF('Calendario D'!F67="","",'Calendario D'!F67)</f>
        <v/>
      </c>
      <c r="G577" s="9" t="n"/>
      <c r="H577" s="9" t="n"/>
      <c r="I577" s="10" t="n"/>
      <c r="J577" s="195">
        <f>IF('Calendario D'!J67="","",'Calendario D'!J67)</f>
        <v/>
      </c>
      <c r="K577" s="64" t="inlineStr">
        <is>
          <t>-</t>
        </is>
      </c>
      <c r="L577" s="195">
        <f>IF('Calendario D'!L67="","",'Calendario D'!L67)</f>
        <v/>
      </c>
      <c r="M577" s="196" t="n"/>
      <c r="N577" s="196" t="n"/>
      <c r="O577" s="196" t="n"/>
      <c r="P577" s="196" t="n"/>
      <c r="Q577" s="196" t="n"/>
      <c r="R577" s="196" t="n"/>
    </row>
    <row r="578" ht="15" customHeight="1">
      <c r="A578" s="141" t="n"/>
      <c r="B578" s="69">
        <f>IF('Calendario D'!B68="","",'Calendario D'!B68)</f>
        <v/>
      </c>
      <c r="C578" s="9" t="n"/>
      <c r="D578" s="9" t="n"/>
      <c r="E578" s="9" t="n"/>
      <c r="F578" s="9" t="n"/>
      <c r="G578" s="9" t="n"/>
      <c r="H578" s="10" t="n"/>
      <c r="I578" s="62">
        <f>IF('Calendario D'!I68="","",'Calendario D'!I68)</f>
        <v/>
      </c>
      <c r="J578" s="141" t="n"/>
      <c r="K578" s="141" t="n"/>
      <c r="L578" s="141" t="n"/>
      <c r="M578" s="141" t="n"/>
      <c r="N578" s="141" t="n"/>
      <c r="O578" s="141" t="n"/>
      <c r="P578" s="141" t="n"/>
      <c r="Q578" s="141" t="n"/>
      <c r="R578" s="141" t="n"/>
    </row>
    <row r="579" ht="14" customHeight="1">
      <c r="A579" s="88" t="inlineStr">
        <is>
          <t>Gara N.</t>
        </is>
      </c>
      <c r="B579" s="88" t="inlineStr">
        <is>
          <t>Squadra A</t>
        </is>
      </c>
      <c r="C579" s="10" t="n"/>
      <c r="D579" s="88" t="inlineStr">
        <is>
          <t>Squadra B</t>
        </is>
      </c>
      <c r="E579" s="10" t="n"/>
      <c r="F579" s="88" t="inlineStr">
        <is>
          <t>Giorno</t>
        </is>
      </c>
      <c r="G579" s="88" t="inlineStr">
        <is>
          <t>Data</t>
        </is>
      </c>
      <c r="H579" s="88" t="inlineStr">
        <is>
          <t>Ora</t>
        </is>
      </c>
      <c r="I579" s="10" t="n"/>
      <c r="J579" s="88" t="inlineStr">
        <is>
          <t>Risultato</t>
        </is>
      </c>
      <c r="K579" s="9" t="n"/>
      <c r="L579" s="10" t="n"/>
      <c r="M579" s="203" t="inlineStr">
        <is>
          <t>1o Arbitro</t>
        </is>
      </c>
      <c r="N579" s="203" t="inlineStr">
        <is>
          <t>2o Arbitro</t>
        </is>
      </c>
      <c r="O579" s="203" t="inlineStr">
        <is>
          <t>3o Arbitro/Tirocinante</t>
        </is>
      </c>
      <c r="P579" s="203" t="inlineStr">
        <is>
          <t>Referto</t>
        </is>
      </c>
      <c r="Q579" s="203" t="inlineStr">
        <is>
          <t>Cronometro</t>
        </is>
      </c>
      <c r="R579" s="203" t="inlineStr">
        <is>
          <t>Foglio Tiri</t>
        </is>
      </c>
    </row>
    <row r="580" ht="22" customHeight="1">
      <c r="A580" s="90">
        <f>IF('Calendario D'!A70="","",'Calendario D'!A70)</f>
        <v/>
      </c>
      <c r="B580" s="61">
        <f>IF('Calendario D'!B70="","",'Calendario D'!B70)</f>
        <v/>
      </c>
      <c r="C580" s="62">
        <f>IF('Calendario D'!C70="","",'Calendario D'!C70)</f>
        <v/>
      </c>
      <c r="D580" s="61">
        <f>IF('Calendario D'!D70="","",'Calendario D'!D70)</f>
        <v/>
      </c>
      <c r="E580" s="62">
        <f>IF('Calendario D'!E70="","",'Calendario D'!E70)</f>
        <v/>
      </c>
      <c r="F580" s="63">
        <f>IF('Calendario D'!F70="","",'Calendario D'!F70)</f>
        <v/>
      </c>
      <c r="G580" s="9" t="n"/>
      <c r="H580" s="9" t="n"/>
      <c r="I580" s="10" t="n"/>
      <c r="J580" s="195">
        <f>IF('Calendario D'!J70="","",'Calendario D'!J70)</f>
        <v/>
      </c>
      <c r="K580" s="64" t="inlineStr">
        <is>
          <t>-</t>
        </is>
      </c>
      <c r="L580" s="195">
        <f>IF('Calendario D'!L70="","",'Calendario D'!L70)</f>
        <v/>
      </c>
      <c r="M580" s="196" t="n"/>
      <c r="N580" s="196" t="n"/>
      <c r="O580" s="196" t="n"/>
      <c r="P580" s="196" t="n"/>
      <c r="Q580" s="196" t="n"/>
      <c r="R580" s="196" t="n"/>
    </row>
    <row r="581" ht="15" customHeight="1">
      <c r="A581" s="141" t="n"/>
      <c r="B581" s="69">
        <f>IF('Calendario D'!B71="","",'Calendario D'!B71)</f>
        <v/>
      </c>
      <c r="C581" s="9" t="n"/>
      <c r="D581" s="9" t="n"/>
      <c r="E581" s="9" t="n"/>
      <c r="F581" s="9" t="n"/>
      <c r="G581" s="9" t="n"/>
      <c r="H581" s="10" t="n"/>
      <c r="I581" s="62">
        <f>IF('Calendario D'!I71="","",'Calendario D'!I71)</f>
        <v/>
      </c>
      <c r="J581" s="141" t="n"/>
      <c r="K581" s="141" t="n"/>
      <c r="L581" s="141" t="n"/>
      <c r="M581" s="141" t="n"/>
      <c r="N581" s="141" t="n"/>
      <c r="O581" s="141" t="n"/>
      <c r="P581" s="141" t="n"/>
      <c r="Q581" s="141" t="n"/>
      <c r="R581" s="141" t="n"/>
    </row>
    <row r="582" ht="14" customHeight="1">
      <c r="A582" s="88" t="inlineStr">
        <is>
          <t>Gara N.</t>
        </is>
      </c>
      <c r="B582" s="88" t="inlineStr">
        <is>
          <t>Squadra A</t>
        </is>
      </c>
      <c r="C582" s="10" t="n"/>
      <c r="D582" s="88" t="inlineStr">
        <is>
          <t>Squadra B</t>
        </is>
      </c>
      <c r="E582" s="10" t="n"/>
      <c r="F582" s="88" t="inlineStr">
        <is>
          <t>Giorno</t>
        </is>
      </c>
      <c r="G582" s="88" t="inlineStr">
        <is>
          <t>Data</t>
        </is>
      </c>
      <c r="H582" s="88" t="inlineStr">
        <is>
          <t>Ora</t>
        </is>
      </c>
      <c r="I582" s="10" t="n"/>
      <c r="J582" s="88" t="inlineStr">
        <is>
          <t>Risultato</t>
        </is>
      </c>
      <c r="K582" s="9" t="n"/>
      <c r="L582" s="10" t="n"/>
      <c r="M582" s="203" t="inlineStr">
        <is>
          <t>1o Arbitro</t>
        </is>
      </c>
      <c r="N582" s="203" t="inlineStr">
        <is>
          <t>2o Arbitro</t>
        </is>
      </c>
      <c r="O582" s="203" t="inlineStr">
        <is>
          <t>3o Arbitro/Tirocinante</t>
        </is>
      </c>
      <c r="P582" s="203" t="inlineStr">
        <is>
          <t>Referto</t>
        </is>
      </c>
      <c r="Q582" s="203" t="inlineStr">
        <is>
          <t>Cronometro</t>
        </is>
      </c>
      <c r="R582" s="203" t="inlineStr">
        <is>
          <t>Foglio Tiri</t>
        </is>
      </c>
    </row>
    <row r="583" ht="22" customHeight="1">
      <c r="A583" s="90">
        <f>IF('Calendario D'!A73="","",'Calendario D'!A73)</f>
        <v/>
      </c>
      <c r="B583" s="61">
        <f>IF('Calendario D'!B73="","",'Calendario D'!B73)</f>
        <v/>
      </c>
      <c r="C583" s="62">
        <f>IF('Calendario D'!C73="","",'Calendario D'!C73)</f>
        <v/>
      </c>
      <c r="D583" s="61">
        <f>IF('Calendario D'!D73="","",'Calendario D'!D73)</f>
        <v/>
      </c>
      <c r="E583" s="62">
        <f>IF('Calendario D'!E73="","",'Calendario D'!E73)</f>
        <v/>
      </c>
      <c r="F583" s="63">
        <f>IF('Calendario D'!F73="","",'Calendario D'!F73)</f>
        <v/>
      </c>
      <c r="G583" s="9" t="n"/>
      <c r="H583" s="9" t="n"/>
      <c r="I583" s="10" t="n"/>
      <c r="J583" s="195">
        <f>IF('Calendario D'!J73="","",'Calendario D'!J73)</f>
        <v/>
      </c>
      <c r="K583" s="64" t="inlineStr">
        <is>
          <t>-</t>
        </is>
      </c>
      <c r="L583" s="195">
        <f>IF('Calendario D'!L73="","",'Calendario D'!L73)</f>
        <v/>
      </c>
      <c r="M583" s="196" t="n"/>
      <c r="N583" s="196" t="n"/>
      <c r="O583" s="196" t="n"/>
      <c r="P583" s="196" t="n"/>
      <c r="Q583" s="196" t="n"/>
      <c r="R583" s="196" t="n"/>
    </row>
    <row r="584" ht="15" customHeight="1">
      <c r="A584" s="141" t="n"/>
      <c r="B584" s="69">
        <f>IF('Calendario D'!B74="","",'Calendario D'!B74)</f>
        <v/>
      </c>
      <c r="C584" s="9" t="n"/>
      <c r="D584" s="9" t="n"/>
      <c r="E584" s="9" t="n"/>
      <c r="F584" s="9" t="n"/>
      <c r="G584" s="9" t="n"/>
      <c r="H584" s="10" t="n"/>
      <c r="I584" s="62">
        <f>IF('Calendario D'!I74="","",'Calendario D'!I74)</f>
        <v/>
      </c>
      <c r="J584" s="141" t="n"/>
      <c r="K584" s="141" t="n"/>
      <c r="L584" s="141" t="n"/>
      <c r="M584" s="141" t="n"/>
      <c r="N584" s="141" t="n"/>
      <c r="O584" s="141" t="n"/>
      <c r="P584" s="141" t="n"/>
      <c r="Q584" s="141" t="n"/>
      <c r="R584" s="141" t="n"/>
    </row>
    <row r="586" ht="20" customHeight="1">
      <c r="A586" s="85">
        <f>IF('Calendario D'!A76="","",'Calendario D'!A76)</f>
        <v/>
      </c>
      <c r="B586" s="86">
        <f>IF('Calendario D'!B76="","",'Calendario D'!B76)</f>
        <v/>
      </c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10" t="n"/>
      <c r="M586" s="202" t="inlineStr">
        <is>
          <t>ARBITRI</t>
        </is>
      </c>
      <c r="N586" s="9" t="n"/>
      <c r="O586" s="10" t="n"/>
      <c r="P586" s="202" t="inlineStr">
        <is>
          <t>UFFICIALI DI CAMPO</t>
        </is>
      </c>
      <c r="Q586" s="9" t="n"/>
      <c r="R586" s="10" t="n"/>
    </row>
    <row r="587" ht="14" customHeight="1">
      <c r="A587" s="88" t="inlineStr">
        <is>
          <t>Gara N.</t>
        </is>
      </c>
      <c r="B587" s="88" t="inlineStr">
        <is>
          <t>Squadra A</t>
        </is>
      </c>
      <c r="C587" s="10" t="n"/>
      <c r="D587" s="88" t="inlineStr">
        <is>
          <t>Squadra B</t>
        </is>
      </c>
      <c r="E587" s="10" t="n"/>
      <c r="F587" s="88" t="inlineStr">
        <is>
          <t>Giorno</t>
        </is>
      </c>
      <c r="G587" s="88" t="inlineStr">
        <is>
          <t>Data</t>
        </is>
      </c>
      <c r="H587" s="88" t="inlineStr">
        <is>
          <t>Ora</t>
        </is>
      </c>
      <c r="I587" s="10" t="n"/>
      <c r="J587" s="88" t="inlineStr">
        <is>
          <t>Risultato</t>
        </is>
      </c>
      <c r="K587" s="9" t="n"/>
      <c r="L587" s="10" t="n"/>
      <c r="M587" s="203" t="inlineStr">
        <is>
          <t>1o Arbitro</t>
        </is>
      </c>
      <c r="N587" s="203" t="inlineStr">
        <is>
          <t>2o Arbitro</t>
        </is>
      </c>
      <c r="O587" s="203" t="inlineStr">
        <is>
          <t>3o Arbitro/Tirocinante</t>
        </is>
      </c>
      <c r="P587" s="203" t="inlineStr">
        <is>
          <t>Referto</t>
        </is>
      </c>
      <c r="Q587" s="203" t="inlineStr">
        <is>
          <t>Cronometro</t>
        </is>
      </c>
      <c r="R587" s="203" t="inlineStr">
        <is>
          <t>Foglio Tiri</t>
        </is>
      </c>
    </row>
    <row r="588" ht="22" customHeight="1">
      <c r="A588" s="90">
        <f>IF('Calendario D'!A78="","",'Calendario D'!A78)</f>
        <v/>
      </c>
      <c r="B588" s="61">
        <f>IF('Calendario D'!B78="","",'Calendario D'!B78)</f>
        <v/>
      </c>
      <c r="C588" s="62">
        <f>IF('Calendario D'!C78="","",'Calendario D'!C78)</f>
        <v/>
      </c>
      <c r="D588" s="61">
        <f>IF('Calendario D'!D78="","",'Calendario D'!D78)</f>
        <v/>
      </c>
      <c r="E588" s="62">
        <f>IF('Calendario D'!E78="","",'Calendario D'!E78)</f>
        <v/>
      </c>
      <c r="F588" s="63">
        <f>IF('Calendario D'!F78="","",'Calendario D'!F78)</f>
        <v/>
      </c>
      <c r="G588" s="9" t="n"/>
      <c r="H588" s="9" t="n"/>
      <c r="I588" s="10" t="n"/>
      <c r="J588" s="195">
        <f>IF('Calendario D'!J78="","",'Calendario D'!J78)</f>
        <v/>
      </c>
      <c r="K588" s="64" t="inlineStr">
        <is>
          <t>-</t>
        </is>
      </c>
      <c r="L588" s="195">
        <f>IF('Calendario D'!L78="","",'Calendario D'!L78)</f>
        <v/>
      </c>
      <c r="M588" s="196" t="n"/>
      <c r="N588" s="196" t="n"/>
      <c r="O588" s="196" t="n"/>
      <c r="P588" s="196" t="n"/>
      <c r="Q588" s="196" t="n"/>
      <c r="R588" s="196" t="n"/>
    </row>
    <row r="589" ht="15" customHeight="1">
      <c r="A589" s="141" t="n"/>
      <c r="B589" s="69">
        <f>IF('Calendario D'!B79="","",'Calendario D'!B79)</f>
        <v/>
      </c>
      <c r="C589" s="9" t="n"/>
      <c r="D589" s="9" t="n"/>
      <c r="E589" s="9" t="n"/>
      <c r="F589" s="9" t="n"/>
      <c r="G589" s="9" t="n"/>
      <c r="H589" s="10" t="n"/>
      <c r="I589" s="62">
        <f>IF('Calendario D'!I79="","",'Calendario D'!I79)</f>
        <v/>
      </c>
      <c r="J589" s="141" t="n"/>
      <c r="K589" s="141" t="n"/>
      <c r="L589" s="141" t="n"/>
      <c r="M589" s="141" t="n"/>
      <c r="N589" s="141" t="n"/>
      <c r="O589" s="141" t="n"/>
      <c r="P589" s="141" t="n"/>
      <c r="Q589" s="141" t="n"/>
      <c r="R589" s="141" t="n"/>
    </row>
    <row r="590" ht="14" customHeight="1">
      <c r="A590" s="88" t="inlineStr">
        <is>
          <t>Gara N.</t>
        </is>
      </c>
      <c r="B590" s="88" t="inlineStr">
        <is>
          <t>Squadra A</t>
        </is>
      </c>
      <c r="C590" s="10" t="n"/>
      <c r="D590" s="88" t="inlineStr">
        <is>
          <t>Squadra B</t>
        </is>
      </c>
      <c r="E590" s="10" t="n"/>
      <c r="F590" s="88" t="inlineStr">
        <is>
          <t>Giorno</t>
        </is>
      </c>
      <c r="G590" s="88" t="inlineStr">
        <is>
          <t>Data</t>
        </is>
      </c>
      <c r="H590" s="88" t="inlineStr">
        <is>
          <t>Ora</t>
        </is>
      </c>
      <c r="I590" s="10" t="n"/>
      <c r="J590" s="88" t="inlineStr">
        <is>
          <t>Risultato</t>
        </is>
      </c>
      <c r="K590" s="9" t="n"/>
      <c r="L590" s="10" t="n"/>
      <c r="M590" s="203" t="inlineStr">
        <is>
          <t>1o Arbitro</t>
        </is>
      </c>
      <c r="N590" s="203" t="inlineStr">
        <is>
          <t>2o Arbitro</t>
        </is>
      </c>
      <c r="O590" s="203" t="inlineStr">
        <is>
          <t>3o Arbitro/Tirocinante</t>
        </is>
      </c>
      <c r="P590" s="203" t="inlineStr">
        <is>
          <t>Referto</t>
        </is>
      </c>
      <c r="Q590" s="203" t="inlineStr">
        <is>
          <t>Cronometro</t>
        </is>
      </c>
      <c r="R590" s="203" t="inlineStr">
        <is>
          <t>Foglio Tiri</t>
        </is>
      </c>
    </row>
    <row r="591" ht="22" customHeight="1">
      <c r="A591" s="90">
        <f>IF('Calendario D'!A81="","",'Calendario D'!A81)</f>
        <v/>
      </c>
      <c r="B591" s="61">
        <f>IF('Calendario D'!B81="","",'Calendario D'!B81)</f>
        <v/>
      </c>
      <c r="C591" s="62">
        <f>IF('Calendario D'!C81="","",'Calendario D'!C81)</f>
        <v/>
      </c>
      <c r="D591" s="61">
        <f>IF('Calendario D'!D81="","",'Calendario D'!D81)</f>
        <v/>
      </c>
      <c r="E591" s="62">
        <f>IF('Calendario D'!E81="","",'Calendario D'!E81)</f>
        <v/>
      </c>
      <c r="F591" s="63">
        <f>IF('Calendario D'!F81="","",'Calendario D'!F81)</f>
        <v/>
      </c>
      <c r="G591" s="9" t="n"/>
      <c r="H591" s="9" t="n"/>
      <c r="I591" s="10" t="n"/>
      <c r="J591" s="195">
        <f>IF('Calendario D'!J81="","",'Calendario D'!J81)</f>
        <v/>
      </c>
      <c r="K591" s="64" t="inlineStr">
        <is>
          <t>-</t>
        </is>
      </c>
      <c r="L591" s="195">
        <f>IF('Calendario D'!L81="","",'Calendario D'!L81)</f>
        <v/>
      </c>
      <c r="M591" s="196" t="n"/>
      <c r="N591" s="196" t="n"/>
      <c r="O591" s="196" t="n"/>
      <c r="P591" s="196" t="n"/>
      <c r="Q591" s="196" t="n"/>
      <c r="R591" s="196" t="n"/>
    </row>
    <row r="592" ht="15" customHeight="1">
      <c r="A592" s="141" t="n"/>
      <c r="B592" s="69">
        <f>IF('Calendario D'!B82="","",'Calendario D'!B82)</f>
        <v/>
      </c>
      <c r="C592" s="9" t="n"/>
      <c r="D592" s="9" t="n"/>
      <c r="E592" s="9" t="n"/>
      <c r="F592" s="9" t="n"/>
      <c r="G592" s="9" t="n"/>
      <c r="H592" s="10" t="n"/>
      <c r="I592" s="62">
        <f>IF('Calendario D'!I82="","",'Calendario D'!I82)</f>
        <v/>
      </c>
      <c r="J592" s="141" t="n"/>
      <c r="K592" s="141" t="n"/>
      <c r="L592" s="141" t="n"/>
      <c r="M592" s="141" t="n"/>
      <c r="N592" s="141" t="n"/>
      <c r="O592" s="141" t="n"/>
      <c r="P592" s="141" t="n"/>
      <c r="Q592" s="141" t="n"/>
      <c r="R592" s="141" t="n"/>
    </row>
    <row r="593" ht="14" customHeight="1">
      <c r="A593" s="88" t="inlineStr">
        <is>
          <t>Gara N.</t>
        </is>
      </c>
      <c r="B593" s="88" t="inlineStr">
        <is>
          <t>Squadra A</t>
        </is>
      </c>
      <c r="C593" s="10" t="n"/>
      <c r="D593" s="88" t="inlineStr">
        <is>
          <t>Squadra B</t>
        </is>
      </c>
      <c r="E593" s="10" t="n"/>
      <c r="F593" s="88" t="inlineStr">
        <is>
          <t>Giorno</t>
        </is>
      </c>
      <c r="G593" s="88" t="inlineStr">
        <is>
          <t>Data</t>
        </is>
      </c>
      <c r="H593" s="88" t="inlineStr">
        <is>
          <t>Ora</t>
        </is>
      </c>
      <c r="I593" s="10" t="n"/>
      <c r="J593" s="88" t="inlineStr">
        <is>
          <t>Risultato</t>
        </is>
      </c>
      <c r="K593" s="9" t="n"/>
      <c r="L593" s="10" t="n"/>
      <c r="M593" s="203" t="inlineStr">
        <is>
          <t>1o Arbitro</t>
        </is>
      </c>
      <c r="N593" s="203" t="inlineStr">
        <is>
          <t>2o Arbitro</t>
        </is>
      </c>
      <c r="O593" s="203" t="inlineStr">
        <is>
          <t>3o Arbitro/Tirocinante</t>
        </is>
      </c>
      <c r="P593" s="203" t="inlineStr">
        <is>
          <t>Referto</t>
        </is>
      </c>
      <c r="Q593" s="203" t="inlineStr">
        <is>
          <t>Cronometro</t>
        </is>
      </c>
      <c r="R593" s="203" t="inlineStr">
        <is>
          <t>Foglio Tiri</t>
        </is>
      </c>
    </row>
    <row r="594" ht="22" customHeight="1">
      <c r="A594" s="90">
        <f>IF('Calendario D'!A84="","",'Calendario D'!A84)</f>
        <v/>
      </c>
      <c r="B594" s="61">
        <f>IF('Calendario D'!B84="","",'Calendario D'!B84)</f>
        <v/>
      </c>
      <c r="C594" s="62">
        <f>IF('Calendario D'!C84="","",'Calendario D'!C84)</f>
        <v/>
      </c>
      <c r="D594" s="61">
        <f>IF('Calendario D'!D84="","",'Calendario D'!D84)</f>
        <v/>
      </c>
      <c r="E594" s="62">
        <f>IF('Calendario D'!E84="","",'Calendario D'!E84)</f>
        <v/>
      </c>
      <c r="F594" s="63">
        <f>IF('Calendario D'!F84="","",'Calendario D'!F84)</f>
        <v/>
      </c>
      <c r="G594" s="9" t="n"/>
      <c r="H594" s="9" t="n"/>
      <c r="I594" s="10" t="n"/>
      <c r="J594" s="195">
        <f>IF('Calendario D'!J84="","",'Calendario D'!J84)</f>
        <v/>
      </c>
      <c r="K594" s="64" t="inlineStr">
        <is>
          <t>-</t>
        </is>
      </c>
      <c r="L594" s="195">
        <f>IF('Calendario D'!L84="","",'Calendario D'!L84)</f>
        <v/>
      </c>
      <c r="M594" s="196" t="n"/>
      <c r="N594" s="196" t="n"/>
      <c r="O594" s="196" t="n"/>
      <c r="P594" s="196" t="n"/>
      <c r="Q594" s="196" t="n"/>
      <c r="R594" s="196" t="n"/>
    </row>
    <row r="595" ht="15" customHeight="1">
      <c r="A595" s="141" t="n"/>
      <c r="B595" s="69">
        <f>IF('Calendario D'!B85="","",'Calendario D'!B85)</f>
        <v/>
      </c>
      <c r="C595" s="9" t="n"/>
      <c r="D595" s="9" t="n"/>
      <c r="E595" s="9" t="n"/>
      <c r="F595" s="9" t="n"/>
      <c r="G595" s="9" t="n"/>
      <c r="H595" s="10" t="n"/>
      <c r="I595" s="62">
        <f>IF('Calendario D'!I85="","",'Calendario D'!I85)</f>
        <v/>
      </c>
      <c r="J595" s="141" t="n"/>
      <c r="K595" s="141" t="n"/>
      <c r="L595" s="141" t="n"/>
      <c r="M595" s="141" t="n"/>
      <c r="N595" s="141" t="n"/>
      <c r="O595" s="141" t="n"/>
      <c r="P595" s="141" t="n"/>
      <c r="Q595" s="141" t="n"/>
      <c r="R595" s="141" t="n"/>
    </row>
    <row r="596" ht="14" customHeight="1">
      <c r="A596" s="88" t="inlineStr">
        <is>
          <t>Gara N.</t>
        </is>
      </c>
      <c r="B596" s="88" t="inlineStr">
        <is>
          <t>Squadra A</t>
        </is>
      </c>
      <c r="C596" s="10" t="n"/>
      <c r="D596" s="88" t="inlineStr">
        <is>
          <t>Squadra B</t>
        </is>
      </c>
      <c r="E596" s="10" t="n"/>
      <c r="F596" s="88" t="inlineStr">
        <is>
          <t>Giorno</t>
        </is>
      </c>
      <c r="G596" s="88" t="inlineStr">
        <is>
          <t>Data</t>
        </is>
      </c>
      <c r="H596" s="88" t="inlineStr">
        <is>
          <t>Ora</t>
        </is>
      </c>
      <c r="I596" s="10" t="n"/>
      <c r="J596" s="88" t="inlineStr">
        <is>
          <t>Risultato</t>
        </is>
      </c>
      <c r="K596" s="9" t="n"/>
      <c r="L596" s="10" t="n"/>
      <c r="M596" s="203" t="inlineStr">
        <is>
          <t>1o Arbitro</t>
        </is>
      </c>
      <c r="N596" s="203" t="inlineStr">
        <is>
          <t>2o Arbitro</t>
        </is>
      </c>
      <c r="O596" s="203" t="inlineStr">
        <is>
          <t>3o Arbitro/Tirocinante</t>
        </is>
      </c>
      <c r="P596" s="203" t="inlineStr">
        <is>
          <t>Referto</t>
        </is>
      </c>
      <c r="Q596" s="203" t="inlineStr">
        <is>
          <t>Cronometro</t>
        </is>
      </c>
      <c r="R596" s="203" t="inlineStr">
        <is>
          <t>Foglio Tiri</t>
        </is>
      </c>
    </row>
    <row r="597" ht="22" customHeight="1">
      <c r="A597" s="90">
        <f>IF('Calendario D'!A87="","",'Calendario D'!A87)</f>
        <v/>
      </c>
      <c r="B597" s="61">
        <f>IF('Calendario D'!B87="","",'Calendario D'!B87)</f>
        <v/>
      </c>
      <c r="C597" s="62">
        <f>IF('Calendario D'!C87="","",'Calendario D'!C87)</f>
        <v/>
      </c>
      <c r="D597" s="61">
        <f>IF('Calendario D'!D87="","",'Calendario D'!D87)</f>
        <v/>
      </c>
      <c r="E597" s="62">
        <f>IF('Calendario D'!E87="","",'Calendario D'!E87)</f>
        <v/>
      </c>
      <c r="F597" s="63">
        <f>IF('Calendario D'!F87="","",'Calendario D'!F87)</f>
        <v/>
      </c>
      <c r="G597" s="9" t="n"/>
      <c r="H597" s="9" t="n"/>
      <c r="I597" s="10" t="n"/>
      <c r="J597" s="195">
        <f>IF('Calendario D'!J87="","",'Calendario D'!J87)</f>
        <v/>
      </c>
      <c r="K597" s="64" t="inlineStr">
        <is>
          <t>-</t>
        </is>
      </c>
      <c r="L597" s="195">
        <f>IF('Calendario D'!L87="","",'Calendario D'!L87)</f>
        <v/>
      </c>
      <c r="M597" s="196" t="n"/>
      <c r="N597" s="196" t="n"/>
      <c r="O597" s="196" t="n"/>
      <c r="P597" s="196" t="n"/>
      <c r="Q597" s="196" t="n"/>
      <c r="R597" s="196" t="n"/>
    </row>
    <row r="598" ht="15" customHeight="1">
      <c r="A598" s="141" t="n"/>
      <c r="B598" s="69">
        <f>IF('Calendario D'!B88="","",'Calendario D'!B88)</f>
        <v/>
      </c>
      <c r="C598" s="9" t="n"/>
      <c r="D598" s="9" t="n"/>
      <c r="E598" s="9" t="n"/>
      <c r="F598" s="9" t="n"/>
      <c r="G598" s="9" t="n"/>
      <c r="H598" s="10" t="n"/>
      <c r="I598" s="62">
        <f>IF('Calendario D'!I88="","",'Calendario D'!I88)</f>
        <v/>
      </c>
      <c r="J598" s="141" t="n"/>
      <c r="K598" s="141" t="n"/>
      <c r="L598" s="141" t="n"/>
      <c r="M598" s="141" t="n"/>
      <c r="N598" s="141" t="n"/>
      <c r="O598" s="141" t="n"/>
      <c r="P598" s="141" t="n"/>
      <c r="Q598" s="141" t="n"/>
      <c r="R598" s="141" t="n"/>
    </row>
    <row r="599" ht="14" customHeight="1">
      <c r="A599" s="88" t="inlineStr">
        <is>
          <t>Gara N.</t>
        </is>
      </c>
      <c r="B599" s="88" t="inlineStr">
        <is>
          <t>Squadra A</t>
        </is>
      </c>
      <c r="C599" s="10" t="n"/>
      <c r="D599" s="88" t="inlineStr">
        <is>
          <t>Squadra B</t>
        </is>
      </c>
      <c r="E599" s="10" t="n"/>
      <c r="F599" s="88" t="inlineStr">
        <is>
          <t>Giorno</t>
        </is>
      </c>
      <c r="G599" s="88" t="inlineStr">
        <is>
          <t>Data</t>
        </is>
      </c>
      <c r="H599" s="88" t="inlineStr">
        <is>
          <t>Ora</t>
        </is>
      </c>
      <c r="I599" s="10" t="n"/>
      <c r="J599" s="88" t="inlineStr">
        <is>
          <t>Risultato</t>
        </is>
      </c>
      <c r="K599" s="9" t="n"/>
      <c r="L599" s="10" t="n"/>
      <c r="M599" s="203" t="inlineStr">
        <is>
          <t>1o Arbitro</t>
        </is>
      </c>
      <c r="N599" s="203" t="inlineStr">
        <is>
          <t>2o Arbitro</t>
        </is>
      </c>
      <c r="O599" s="203" t="inlineStr">
        <is>
          <t>3o Arbitro/Tirocinante</t>
        </is>
      </c>
      <c r="P599" s="203" t="inlineStr">
        <is>
          <t>Referto</t>
        </is>
      </c>
      <c r="Q599" s="203" t="inlineStr">
        <is>
          <t>Cronometro</t>
        </is>
      </c>
      <c r="R599" s="203" t="inlineStr">
        <is>
          <t>Foglio Tiri</t>
        </is>
      </c>
    </row>
    <row r="600" ht="22" customHeight="1">
      <c r="A600" s="90">
        <f>IF('Calendario D'!A90="","",'Calendario D'!A90)</f>
        <v/>
      </c>
      <c r="B600" s="61">
        <f>IF('Calendario D'!B90="","",'Calendario D'!B90)</f>
        <v/>
      </c>
      <c r="C600" s="62">
        <f>IF('Calendario D'!C90="","",'Calendario D'!C90)</f>
        <v/>
      </c>
      <c r="D600" s="61">
        <f>IF('Calendario D'!D90="","",'Calendario D'!D90)</f>
        <v/>
      </c>
      <c r="E600" s="62">
        <f>IF('Calendario D'!E90="","",'Calendario D'!E90)</f>
        <v/>
      </c>
      <c r="F600" s="63">
        <f>IF('Calendario D'!F90="","",'Calendario D'!F90)</f>
        <v/>
      </c>
      <c r="G600" s="9" t="n"/>
      <c r="H600" s="9" t="n"/>
      <c r="I600" s="10" t="n"/>
      <c r="J600" s="195">
        <f>IF('Calendario D'!J90="","",'Calendario D'!J90)</f>
        <v/>
      </c>
      <c r="K600" s="64" t="inlineStr">
        <is>
          <t>-</t>
        </is>
      </c>
      <c r="L600" s="195">
        <f>IF('Calendario D'!L90="","",'Calendario D'!L90)</f>
        <v/>
      </c>
      <c r="M600" s="196" t="n"/>
      <c r="N600" s="196" t="n"/>
      <c r="O600" s="196" t="n"/>
      <c r="P600" s="196" t="n"/>
      <c r="Q600" s="196" t="n"/>
      <c r="R600" s="196" t="n"/>
    </row>
    <row r="601" ht="15" customHeight="1">
      <c r="A601" s="141" t="n"/>
      <c r="B601" s="69">
        <f>IF('Calendario D'!B91="","",'Calendario D'!B91)</f>
        <v/>
      </c>
      <c r="C601" s="9" t="n"/>
      <c r="D601" s="9" t="n"/>
      <c r="E601" s="9" t="n"/>
      <c r="F601" s="9" t="n"/>
      <c r="G601" s="9" t="n"/>
      <c r="H601" s="10" t="n"/>
      <c r="I601" s="62">
        <f>IF('Calendario D'!I91="","",'Calendario D'!I91)</f>
        <v/>
      </c>
      <c r="J601" s="141" t="n"/>
      <c r="K601" s="141" t="n"/>
      <c r="L601" s="141" t="n"/>
      <c r="M601" s="141" t="n"/>
      <c r="N601" s="141" t="n"/>
      <c r="O601" s="141" t="n"/>
      <c r="P601" s="141" t="n"/>
      <c r="Q601" s="141" t="n"/>
      <c r="R601" s="141" t="n"/>
    </row>
    <row r="603" ht="20" customHeight="1">
      <c r="A603" s="85">
        <f>IF('Calendario D'!A93="","",'Calendario D'!A93)</f>
        <v/>
      </c>
      <c r="B603" s="86">
        <f>IF('Calendario D'!B93="","",'Calendario D'!B93)</f>
        <v/>
      </c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10" t="n"/>
      <c r="M603" s="202" t="inlineStr">
        <is>
          <t>ARBITRI</t>
        </is>
      </c>
      <c r="N603" s="9" t="n"/>
      <c r="O603" s="10" t="n"/>
      <c r="P603" s="202" t="inlineStr">
        <is>
          <t>UFFICIALI DI CAMPO</t>
        </is>
      </c>
      <c r="Q603" s="9" t="n"/>
      <c r="R603" s="10" t="n"/>
    </row>
    <row r="604" ht="14" customHeight="1">
      <c r="A604" s="88" t="inlineStr">
        <is>
          <t>Gara N.</t>
        </is>
      </c>
      <c r="B604" s="88" t="inlineStr">
        <is>
          <t>Squadra A</t>
        </is>
      </c>
      <c r="C604" s="10" t="n"/>
      <c r="D604" s="88" t="inlineStr">
        <is>
          <t>Squadra B</t>
        </is>
      </c>
      <c r="E604" s="10" t="n"/>
      <c r="F604" s="88" t="inlineStr">
        <is>
          <t>Giorno</t>
        </is>
      </c>
      <c r="G604" s="88" t="inlineStr">
        <is>
          <t>Data</t>
        </is>
      </c>
      <c r="H604" s="88" t="inlineStr">
        <is>
          <t>Ora</t>
        </is>
      </c>
      <c r="I604" s="10" t="n"/>
      <c r="J604" s="88" t="inlineStr">
        <is>
          <t>Risultato</t>
        </is>
      </c>
      <c r="K604" s="9" t="n"/>
      <c r="L604" s="10" t="n"/>
      <c r="M604" s="203" t="inlineStr">
        <is>
          <t>1o Arbitro</t>
        </is>
      </c>
      <c r="N604" s="203" t="inlineStr">
        <is>
          <t>2o Arbitro</t>
        </is>
      </c>
      <c r="O604" s="203" t="inlineStr">
        <is>
          <t>3o Arbitro/Tirocinante</t>
        </is>
      </c>
      <c r="P604" s="203" t="inlineStr">
        <is>
          <t>Referto</t>
        </is>
      </c>
      <c r="Q604" s="203" t="inlineStr">
        <is>
          <t>Cronometro</t>
        </is>
      </c>
      <c r="R604" s="203" t="inlineStr">
        <is>
          <t>Foglio Tiri</t>
        </is>
      </c>
    </row>
    <row r="605" ht="22" customHeight="1">
      <c r="A605" s="90">
        <f>IF('Calendario D'!A95="","",'Calendario D'!A95)</f>
        <v/>
      </c>
      <c r="B605" s="61">
        <f>IF('Calendario D'!B95="","",'Calendario D'!B95)</f>
        <v/>
      </c>
      <c r="C605" s="62">
        <f>IF('Calendario D'!C95="","",'Calendario D'!C95)</f>
        <v/>
      </c>
      <c r="D605" s="61">
        <f>IF('Calendario D'!D95="","",'Calendario D'!D95)</f>
        <v/>
      </c>
      <c r="E605" s="62">
        <f>IF('Calendario D'!E95="","",'Calendario D'!E95)</f>
        <v/>
      </c>
      <c r="F605" s="63">
        <f>IF('Calendario D'!F95="","",'Calendario D'!F95)</f>
        <v/>
      </c>
      <c r="G605" s="9" t="n"/>
      <c r="H605" s="9" t="n"/>
      <c r="I605" s="10" t="n"/>
      <c r="J605" s="195">
        <f>IF('Calendario D'!J95="","",'Calendario D'!J95)</f>
        <v/>
      </c>
      <c r="K605" s="64" t="inlineStr">
        <is>
          <t>-</t>
        </is>
      </c>
      <c r="L605" s="195">
        <f>IF('Calendario D'!L95="","",'Calendario D'!L95)</f>
        <v/>
      </c>
      <c r="M605" s="196" t="n"/>
      <c r="N605" s="196" t="n"/>
      <c r="O605" s="196" t="n"/>
      <c r="P605" s="196" t="n"/>
      <c r="Q605" s="196" t="n"/>
      <c r="R605" s="196" t="n"/>
    </row>
    <row r="606" ht="15" customHeight="1">
      <c r="A606" s="141" t="n"/>
      <c r="B606" s="69">
        <f>IF('Calendario D'!B96="","",'Calendario D'!B96)</f>
        <v/>
      </c>
      <c r="C606" s="9" t="n"/>
      <c r="D606" s="9" t="n"/>
      <c r="E606" s="9" t="n"/>
      <c r="F606" s="9" t="n"/>
      <c r="G606" s="9" t="n"/>
      <c r="H606" s="10" t="n"/>
      <c r="I606" s="62">
        <f>IF('Calendario D'!I96="","",'Calendario D'!I96)</f>
        <v/>
      </c>
      <c r="J606" s="141" t="n"/>
      <c r="K606" s="141" t="n"/>
      <c r="L606" s="141" t="n"/>
      <c r="M606" s="141" t="n"/>
      <c r="N606" s="141" t="n"/>
      <c r="O606" s="141" t="n"/>
      <c r="P606" s="141" t="n"/>
      <c r="Q606" s="141" t="n"/>
      <c r="R606" s="141" t="n"/>
    </row>
    <row r="607" ht="14" customHeight="1">
      <c r="A607" s="88" t="inlineStr">
        <is>
          <t>Gara N.</t>
        </is>
      </c>
      <c r="B607" s="88" t="inlineStr">
        <is>
          <t>Squadra A</t>
        </is>
      </c>
      <c r="C607" s="10" t="n"/>
      <c r="D607" s="88" t="inlineStr">
        <is>
          <t>Squadra B</t>
        </is>
      </c>
      <c r="E607" s="10" t="n"/>
      <c r="F607" s="88" t="inlineStr">
        <is>
          <t>Giorno</t>
        </is>
      </c>
      <c r="G607" s="88" t="inlineStr">
        <is>
          <t>Data</t>
        </is>
      </c>
      <c r="H607" s="88" t="inlineStr">
        <is>
          <t>Ora</t>
        </is>
      </c>
      <c r="I607" s="10" t="n"/>
      <c r="J607" s="88" t="inlineStr">
        <is>
          <t>Risultato</t>
        </is>
      </c>
      <c r="K607" s="9" t="n"/>
      <c r="L607" s="10" t="n"/>
      <c r="M607" s="203" t="inlineStr">
        <is>
          <t>1o Arbitro</t>
        </is>
      </c>
      <c r="N607" s="203" t="inlineStr">
        <is>
          <t>2o Arbitro</t>
        </is>
      </c>
      <c r="O607" s="203" t="inlineStr">
        <is>
          <t>3o Arbitro/Tirocinante</t>
        </is>
      </c>
      <c r="P607" s="203" t="inlineStr">
        <is>
          <t>Referto</t>
        </is>
      </c>
      <c r="Q607" s="203" t="inlineStr">
        <is>
          <t>Cronometro</t>
        </is>
      </c>
      <c r="R607" s="203" t="inlineStr">
        <is>
          <t>Foglio Tiri</t>
        </is>
      </c>
    </row>
    <row r="608" ht="22" customHeight="1">
      <c r="A608" s="90">
        <f>IF('Calendario D'!A98="","",'Calendario D'!A98)</f>
        <v/>
      </c>
      <c r="B608" s="61">
        <f>IF('Calendario D'!B98="","",'Calendario D'!B98)</f>
        <v/>
      </c>
      <c r="C608" s="62">
        <f>IF('Calendario D'!C98="","",'Calendario D'!C98)</f>
        <v/>
      </c>
      <c r="D608" s="61">
        <f>IF('Calendario D'!D98="","",'Calendario D'!D98)</f>
        <v/>
      </c>
      <c r="E608" s="62">
        <f>IF('Calendario D'!E98="","",'Calendario D'!E98)</f>
        <v/>
      </c>
      <c r="F608" s="63">
        <f>IF('Calendario D'!F98="","",'Calendario D'!F98)</f>
        <v/>
      </c>
      <c r="G608" s="9" t="n"/>
      <c r="H608" s="9" t="n"/>
      <c r="I608" s="10" t="n"/>
      <c r="J608" s="195">
        <f>IF('Calendario D'!J98="","",'Calendario D'!J98)</f>
        <v/>
      </c>
      <c r="K608" s="64" t="inlineStr">
        <is>
          <t>-</t>
        </is>
      </c>
      <c r="L608" s="195">
        <f>IF('Calendario D'!L98="","",'Calendario D'!L98)</f>
        <v/>
      </c>
      <c r="M608" s="196" t="n"/>
      <c r="N608" s="196" t="n"/>
      <c r="O608" s="196" t="n"/>
      <c r="P608" s="196" t="n"/>
      <c r="Q608" s="196" t="n"/>
      <c r="R608" s="196" t="n"/>
    </row>
    <row r="609" ht="15" customHeight="1">
      <c r="A609" s="141" t="n"/>
      <c r="B609" s="69">
        <f>IF('Calendario D'!B99="","",'Calendario D'!B99)</f>
        <v/>
      </c>
      <c r="C609" s="9" t="n"/>
      <c r="D609" s="9" t="n"/>
      <c r="E609" s="9" t="n"/>
      <c r="F609" s="9" t="n"/>
      <c r="G609" s="9" t="n"/>
      <c r="H609" s="10" t="n"/>
      <c r="I609" s="62">
        <f>IF('Calendario D'!I99="","",'Calendario D'!I99)</f>
        <v/>
      </c>
      <c r="J609" s="141" t="n"/>
      <c r="K609" s="141" t="n"/>
      <c r="L609" s="141" t="n"/>
      <c r="M609" s="141" t="n"/>
      <c r="N609" s="141" t="n"/>
      <c r="O609" s="141" t="n"/>
      <c r="P609" s="141" t="n"/>
      <c r="Q609" s="141" t="n"/>
      <c r="R609" s="141" t="n"/>
    </row>
    <row r="610" ht="14" customHeight="1">
      <c r="A610" s="88" t="inlineStr">
        <is>
          <t>Gara N.</t>
        </is>
      </c>
      <c r="B610" s="88" t="inlineStr">
        <is>
          <t>Squadra A</t>
        </is>
      </c>
      <c r="C610" s="10" t="n"/>
      <c r="D610" s="88" t="inlineStr">
        <is>
          <t>Squadra B</t>
        </is>
      </c>
      <c r="E610" s="10" t="n"/>
      <c r="F610" s="88" t="inlineStr">
        <is>
          <t>Giorno</t>
        </is>
      </c>
      <c r="G610" s="88" t="inlineStr">
        <is>
          <t>Data</t>
        </is>
      </c>
      <c r="H610" s="88" t="inlineStr">
        <is>
          <t>Ora</t>
        </is>
      </c>
      <c r="I610" s="10" t="n"/>
      <c r="J610" s="88" t="inlineStr">
        <is>
          <t>Risultato</t>
        </is>
      </c>
      <c r="K610" s="9" t="n"/>
      <c r="L610" s="10" t="n"/>
      <c r="M610" s="203" t="inlineStr">
        <is>
          <t>1o Arbitro</t>
        </is>
      </c>
      <c r="N610" s="203" t="inlineStr">
        <is>
          <t>2o Arbitro</t>
        </is>
      </c>
      <c r="O610" s="203" t="inlineStr">
        <is>
          <t>3o Arbitro/Tirocinante</t>
        </is>
      </c>
      <c r="P610" s="203" t="inlineStr">
        <is>
          <t>Referto</t>
        </is>
      </c>
      <c r="Q610" s="203" t="inlineStr">
        <is>
          <t>Cronometro</t>
        </is>
      </c>
      <c r="R610" s="203" t="inlineStr">
        <is>
          <t>Foglio Tiri</t>
        </is>
      </c>
    </row>
    <row r="611" ht="22" customHeight="1">
      <c r="A611" s="90">
        <f>IF('Calendario D'!A101="","",'Calendario D'!A101)</f>
        <v/>
      </c>
      <c r="B611" s="61">
        <f>IF('Calendario D'!B101="","",'Calendario D'!B101)</f>
        <v/>
      </c>
      <c r="C611" s="62">
        <f>IF('Calendario D'!C101="","",'Calendario D'!C101)</f>
        <v/>
      </c>
      <c r="D611" s="61">
        <f>IF('Calendario D'!D101="","",'Calendario D'!D101)</f>
        <v/>
      </c>
      <c r="E611" s="62">
        <f>IF('Calendario D'!E101="","",'Calendario D'!E101)</f>
        <v/>
      </c>
      <c r="F611" s="63">
        <f>IF('Calendario D'!F101="","",'Calendario D'!F101)</f>
        <v/>
      </c>
      <c r="G611" s="9" t="n"/>
      <c r="H611" s="9" t="n"/>
      <c r="I611" s="10" t="n"/>
      <c r="J611" s="195">
        <f>IF('Calendario D'!J101="","",'Calendario D'!J101)</f>
        <v/>
      </c>
      <c r="K611" s="64" t="inlineStr">
        <is>
          <t>-</t>
        </is>
      </c>
      <c r="L611" s="195">
        <f>IF('Calendario D'!L101="","",'Calendario D'!L101)</f>
        <v/>
      </c>
      <c r="M611" s="196" t="n"/>
      <c r="N611" s="196" t="n"/>
      <c r="O611" s="196" t="n"/>
      <c r="P611" s="196" t="n"/>
      <c r="Q611" s="196" t="n"/>
      <c r="R611" s="196" t="n"/>
    </row>
    <row r="612" ht="15" customHeight="1">
      <c r="A612" s="141" t="n"/>
      <c r="B612" s="69">
        <f>IF('Calendario D'!B102="","",'Calendario D'!B102)</f>
        <v/>
      </c>
      <c r="C612" s="9" t="n"/>
      <c r="D612" s="9" t="n"/>
      <c r="E612" s="9" t="n"/>
      <c r="F612" s="9" t="n"/>
      <c r="G612" s="9" t="n"/>
      <c r="H612" s="10" t="n"/>
      <c r="I612" s="62">
        <f>IF('Calendario D'!I102="","",'Calendario D'!I102)</f>
        <v/>
      </c>
      <c r="J612" s="141" t="n"/>
      <c r="K612" s="141" t="n"/>
      <c r="L612" s="141" t="n"/>
      <c r="M612" s="141" t="n"/>
      <c r="N612" s="141" t="n"/>
      <c r="O612" s="141" t="n"/>
      <c r="P612" s="141" t="n"/>
      <c r="Q612" s="141" t="n"/>
      <c r="R612" s="141" t="n"/>
    </row>
    <row r="613" ht="14" customHeight="1">
      <c r="A613" s="88" t="inlineStr">
        <is>
          <t>Gara N.</t>
        </is>
      </c>
      <c r="B613" s="88" t="inlineStr">
        <is>
          <t>Squadra A</t>
        </is>
      </c>
      <c r="C613" s="10" t="n"/>
      <c r="D613" s="88" t="inlineStr">
        <is>
          <t>Squadra B</t>
        </is>
      </c>
      <c r="E613" s="10" t="n"/>
      <c r="F613" s="88" t="inlineStr">
        <is>
          <t>Giorno</t>
        </is>
      </c>
      <c r="G613" s="88" t="inlineStr">
        <is>
          <t>Data</t>
        </is>
      </c>
      <c r="H613" s="88" t="inlineStr">
        <is>
          <t>Ora</t>
        </is>
      </c>
      <c r="I613" s="10" t="n"/>
      <c r="J613" s="88" t="inlineStr">
        <is>
          <t>Risultato</t>
        </is>
      </c>
      <c r="K613" s="9" t="n"/>
      <c r="L613" s="10" t="n"/>
      <c r="M613" s="203" t="inlineStr">
        <is>
          <t>1o Arbitro</t>
        </is>
      </c>
      <c r="N613" s="203" t="inlineStr">
        <is>
          <t>2o Arbitro</t>
        </is>
      </c>
      <c r="O613" s="203" t="inlineStr">
        <is>
          <t>3o Arbitro/Tirocinante</t>
        </is>
      </c>
      <c r="P613" s="203" t="inlineStr">
        <is>
          <t>Referto</t>
        </is>
      </c>
      <c r="Q613" s="203" t="inlineStr">
        <is>
          <t>Cronometro</t>
        </is>
      </c>
      <c r="R613" s="203" t="inlineStr">
        <is>
          <t>Foglio Tiri</t>
        </is>
      </c>
    </row>
    <row r="614" ht="22" customHeight="1">
      <c r="A614" s="90">
        <f>IF('Calendario D'!A104="","",'Calendario D'!A104)</f>
        <v/>
      </c>
      <c r="B614" s="61">
        <f>IF('Calendario D'!B104="","",'Calendario D'!B104)</f>
        <v/>
      </c>
      <c r="C614" s="62">
        <f>IF('Calendario D'!C104="","",'Calendario D'!C104)</f>
        <v/>
      </c>
      <c r="D614" s="61">
        <f>IF('Calendario D'!D104="","",'Calendario D'!D104)</f>
        <v/>
      </c>
      <c r="E614" s="62">
        <f>IF('Calendario D'!E104="","",'Calendario D'!E104)</f>
        <v/>
      </c>
      <c r="F614" s="63">
        <f>IF('Calendario D'!F104="","",'Calendario D'!F104)</f>
        <v/>
      </c>
      <c r="G614" s="9" t="n"/>
      <c r="H614" s="9" t="n"/>
      <c r="I614" s="10" t="n"/>
      <c r="J614" s="195">
        <f>IF('Calendario D'!J104="","",'Calendario D'!J104)</f>
        <v/>
      </c>
      <c r="K614" s="64" t="inlineStr">
        <is>
          <t>-</t>
        </is>
      </c>
      <c r="L614" s="195">
        <f>IF('Calendario D'!L104="","",'Calendario D'!L104)</f>
        <v/>
      </c>
      <c r="M614" s="196" t="n"/>
      <c r="N614" s="196" t="n"/>
      <c r="O614" s="196" t="n"/>
      <c r="P614" s="196" t="n"/>
      <c r="Q614" s="196" t="n"/>
      <c r="R614" s="196" t="n"/>
    </row>
    <row r="615" ht="15" customHeight="1">
      <c r="A615" s="141" t="n"/>
      <c r="B615" s="69">
        <f>IF('Calendario D'!B105="","",'Calendario D'!B105)</f>
        <v/>
      </c>
      <c r="C615" s="9" t="n"/>
      <c r="D615" s="9" t="n"/>
      <c r="E615" s="9" t="n"/>
      <c r="F615" s="9" t="n"/>
      <c r="G615" s="9" t="n"/>
      <c r="H615" s="10" t="n"/>
      <c r="I615" s="62">
        <f>IF('Calendario D'!I105="","",'Calendario D'!I105)</f>
        <v/>
      </c>
      <c r="J615" s="141" t="n"/>
      <c r="K615" s="141" t="n"/>
      <c r="L615" s="141" t="n"/>
      <c r="M615" s="141" t="n"/>
      <c r="N615" s="141" t="n"/>
      <c r="O615" s="141" t="n"/>
      <c r="P615" s="141" t="n"/>
      <c r="Q615" s="141" t="n"/>
      <c r="R615" s="141" t="n"/>
    </row>
    <row r="616" ht="14" customHeight="1">
      <c r="A616" s="88" t="inlineStr">
        <is>
          <t>Gara N.</t>
        </is>
      </c>
      <c r="B616" s="88" t="inlineStr">
        <is>
          <t>Squadra A</t>
        </is>
      </c>
      <c r="C616" s="10" t="n"/>
      <c r="D616" s="88" t="inlineStr">
        <is>
          <t>Squadra B</t>
        </is>
      </c>
      <c r="E616" s="10" t="n"/>
      <c r="F616" s="88" t="inlineStr">
        <is>
          <t>Giorno</t>
        </is>
      </c>
      <c r="G616" s="88" t="inlineStr">
        <is>
          <t>Data</t>
        </is>
      </c>
      <c r="H616" s="88" t="inlineStr">
        <is>
          <t>Ora</t>
        </is>
      </c>
      <c r="I616" s="10" t="n"/>
      <c r="J616" s="88" t="inlineStr">
        <is>
          <t>Risultato</t>
        </is>
      </c>
      <c r="K616" s="9" t="n"/>
      <c r="L616" s="10" t="n"/>
      <c r="M616" s="203" t="inlineStr">
        <is>
          <t>1o Arbitro</t>
        </is>
      </c>
      <c r="N616" s="203" t="inlineStr">
        <is>
          <t>2o Arbitro</t>
        </is>
      </c>
      <c r="O616" s="203" t="inlineStr">
        <is>
          <t>3o Arbitro/Tirocinante</t>
        </is>
      </c>
      <c r="P616" s="203" t="inlineStr">
        <is>
          <t>Referto</t>
        </is>
      </c>
      <c r="Q616" s="203" t="inlineStr">
        <is>
          <t>Cronometro</t>
        </is>
      </c>
      <c r="R616" s="203" t="inlineStr">
        <is>
          <t>Foglio Tiri</t>
        </is>
      </c>
    </row>
    <row r="617" ht="22" customHeight="1">
      <c r="A617" s="90">
        <f>IF('Calendario D'!A107="","",'Calendario D'!A107)</f>
        <v/>
      </c>
      <c r="B617" s="61">
        <f>IF('Calendario D'!B107="","",'Calendario D'!B107)</f>
        <v/>
      </c>
      <c r="C617" s="62">
        <f>IF('Calendario D'!C107="","",'Calendario D'!C107)</f>
        <v/>
      </c>
      <c r="D617" s="61">
        <f>IF('Calendario D'!D107="","",'Calendario D'!D107)</f>
        <v/>
      </c>
      <c r="E617" s="62">
        <f>IF('Calendario D'!E107="","",'Calendario D'!E107)</f>
        <v/>
      </c>
      <c r="F617" s="63">
        <f>IF('Calendario D'!F107="","",'Calendario D'!F107)</f>
        <v/>
      </c>
      <c r="G617" s="9" t="n"/>
      <c r="H617" s="9" t="n"/>
      <c r="I617" s="10" t="n"/>
      <c r="J617" s="195">
        <f>IF('Calendario D'!J107="","",'Calendario D'!J107)</f>
        <v/>
      </c>
      <c r="K617" s="64" t="inlineStr">
        <is>
          <t>-</t>
        </is>
      </c>
      <c r="L617" s="195">
        <f>IF('Calendario D'!L107="","",'Calendario D'!L107)</f>
        <v/>
      </c>
      <c r="M617" s="196" t="n"/>
      <c r="N617" s="196" t="n"/>
      <c r="O617" s="196" t="n"/>
      <c r="P617" s="196" t="n"/>
      <c r="Q617" s="196" t="n"/>
      <c r="R617" s="196" t="n"/>
    </row>
    <row r="618" ht="15" customHeight="1">
      <c r="A618" s="141" t="n"/>
      <c r="B618" s="69">
        <f>IF('Calendario D'!B108="","",'Calendario D'!B108)</f>
        <v/>
      </c>
      <c r="C618" s="9" t="n"/>
      <c r="D618" s="9" t="n"/>
      <c r="E618" s="9" t="n"/>
      <c r="F618" s="9" t="n"/>
      <c r="G618" s="9" t="n"/>
      <c r="H618" s="10" t="n"/>
      <c r="I618" s="62">
        <f>IF('Calendario D'!I108="","",'Calendario D'!I108)</f>
        <v/>
      </c>
      <c r="J618" s="141" t="n"/>
      <c r="K618" s="141" t="n"/>
      <c r="L618" s="141" t="n"/>
      <c r="M618" s="141" t="n"/>
      <c r="N618" s="141" t="n"/>
      <c r="O618" s="141" t="n"/>
      <c r="P618" s="141" t="n"/>
      <c r="Q618" s="141" t="n"/>
      <c r="R618" s="141" t="n"/>
    </row>
    <row r="620" ht="20" customHeight="1">
      <c r="A620" s="85">
        <f>IF('Calendario D'!A110="","",'Calendario D'!A110)</f>
        <v/>
      </c>
      <c r="B620" s="86">
        <f>IF('Calendario D'!B110="","",'Calendario D'!B110)</f>
        <v/>
      </c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10" t="n"/>
      <c r="M620" s="202" t="inlineStr">
        <is>
          <t>ARBITRI</t>
        </is>
      </c>
      <c r="N620" s="9" t="n"/>
      <c r="O620" s="10" t="n"/>
      <c r="P620" s="202" t="inlineStr">
        <is>
          <t>UFFICIALI DI CAMPO</t>
        </is>
      </c>
      <c r="Q620" s="9" t="n"/>
      <c r="R620" s="10" t="n"/>
    </row>
    <row r="621" ht="14" customHeight="1">
      <c r="A621" s="88" t="inlineStr">
        <is>
          <t>Gara N.</t>
        </is>
      </c>
      <c r="B621" s="88" t="inlineStr">
        <is>
          <t>Squadra A</t>
        </is>
      </c>
      <c r="C621" s="10" t="n"/>
      <c r="D621" s="88" t="inlineStr">
        <is>
          <t>Squadra B</t>
        </is>
      </c>
      <c r="E621" s="10" t="n"/>
      <c r="F621" s="88" t="inlineStr">
        <is>
          <t>Giorno</t>
        </is>
      </c>
      <c r="G621" s="88" t="inlineStr">
        <is>
          <t>Data</t>
        </is>
      </c>
      <c r="H621" s="88" t="inlineStr">
        <is>
          <t>Ora</t>
        </is>
      </c>
      <c r="I621" s="10" t="n"/>
      <c r="J621" s="88" t="inlineStr">
        <is>
          <t>Risultato</t>
        </is>
      </c>
      <c r="K621" s="9" t="n"/>
      <c r="L621" s="10" t="n"/>
      <c r="M621" s="203" t="inlineStr">
        <is>
          <t>1o Arbitro</t>
        </is>
      </c>
      <c r="N621" s="203" t="inlineStr">
        <is>
          <t>2o Arbitro</t>
        </is>
      </c>
      <c r="O621" s="203" t="inlineStr">
        <is>
          <t>3o Arbitro/Tirocinante</t>
        </is>
      </c>
      <c r="P621" s="203" t="inlineStr">
        <is>
          <t>Referto</t>
        </is>
      </c>
      <c r="Q621" s="203" t="inlineStr">
        <is>
          <t>Cronometro</t>
        </is>
      </c>
      <c r="R621" s="203" t="inlineStr">
        <is>
          <t>Foglio Tiri</t>
        </is>
      </c>
    </row>
    <row r="622" ht="22" customHeight="1">
      <c r="A622" s="90">
        <f>IF('Calendario D'!A112="","",'Calendario D'!A112)</f>
        <v/>
      </c>
      <c r="B622" s="61">
        <f>IF('Calendario D'!B112="","",'Calendario D'!B112)</f>
        <v/>
      </c>
      <c r="C622" s="62">
        <f>IF('Calendario D'!C112="","",'Calendario D'!C112)</f>
        <v/>
      </c>
      <c r="D622" s="61">
        <f>IF('Calendario D'!D112="","",'Calendario D'!D112)</f>
        <v/>
      </c>
      <c r="E622" s="62">
        <f>IF('Calendario D'!E112="","",'Calendario D'!E112)</f>
        <v/>
      </c>
      <c r="F622" s="63">
        <f>IF('Calendario D'!F112="","",'Calendario D'!F112)</f>
        <v/>
      </c>
      <c r="G622" s="9" t="n"/>
      <c r="H622" s="9" t="n"/>
      <c r="I622" s="10" t="n"/>
      <c r="J622" s="195">
        <f>IF('Calendario D'!J112="","",'Calendario D'!J112)</f>
        <v/>
      </c>
      <c r="K622" s="64" t="inlineStr">
        <is>
          <t>-</t>
        </is>
      </c>
      <c r="L622" s="195">
        <f>IF('Calendario D'!L112="","",'Calendario D'!L112)</f>
        <v/>
      </c>
      <c r="M622" s="196" t="n"/>
      <c r="N622" s="196" t="n"/>
      <c r="O622" s="196" t="n"/>
      <c r="P622" s="196" t="n"/>
      <c r="Q622" s="196" t="n"/>
      <c r="R622" s="196" t="n"/>
    </row>
    <row r="623" ht="15" customHeight="1">
      <c r="A623" s="141" t="n"/>
      <c r="B623" s="69">
        <f>IF('Calendario D'!B113="","",'Calendario D'!B113)</f>
        <v/>
      </c>
      <c r="C623" s="9" t="n"/>
      <c r="D623" s="9" t="n"/>
      <c r="E623" s="9" t="n"/>
      <c r="F623" s="9" t="n"/>
      <c r="G623" s="9" t="n"/>
      <c r="H623" s="10" t="n"/>
      <c r="I623" s="62">
        <f>IF('Calendario D'!I113="","",'Calendario D'!I113)</f>
        <v/>
      </c>
      <c r="J623" s="141" t="n"/>
      <c r="K623" s="141" t="n"/>
      <c r="L623" s="141" t="n"/>
      <c r="M623" s="141" t="n"/>
      <c r="N623" s="141" t="n"/>
      <c r="O623" s="141" t="n"/>
      <c r="P623" s="141" t="n"/>
      <c r="Q623" s="141" t="n"/>
      <c r="R623" s="141" t="n"/>
    </row>
    <row r="624" ht="14" customHeight="1">
      <c r="A624" s="88" t="inlineStr">
        <is>
          <t>Gara N.</t>
        </is>
      </c>
      <c r="B624" s="88" t="inlineStr">
        <is>
          <t>Squadra A</t>
        </is>
      </c>
      <c r="C624" s="10" t="n"/>
      <c r="D624" s="88" t="inlineStr">
        <is>
          <t>Squadra B</t>
        </is>
      </c>
      <c r="E624" s="10" t="n"/>
      <c r="F624" s="88" t="inlineStr">
        <is>
          <t>Giorno</t>
        </is>
      </c>
      <c r="G624" s="88" t="inlineStr">
        <is>
          <t>Data</t>
        </is>
      </c>
      <c r="H624" s="88" t="inlineStr">
        <is>
          <t>Ora</t>
        </is>
      </c>
      <c r="I624" s="10" t="n"/>
      <c r="J624" s="88" t="inlineStr">
        <is>
          <t>Risultato</t>
        </is>
      </c>
      <c r="K624" s="9" t="n"/>
      <c r="L624" s="10" t="n"/>
      <c r="M624" s="203" t="inlineStr">
        <is>
          <t>1o Arbitro</t>
        </is>
      </c>
      <c r="N624" s="203" t="inlineStr">
        <is>
          <t>2o Arbitro</t>
        </is>
      </c>
      <c r="O624" s="203" t="inlineStr">
        <is>
          <t>3o Arbitro/Tirocinante</t>
        </is>
      </c>
      <c r="P624" s="203" t="inlineStr">
        <is>
          <t>Referto</t>
        </is>
      </c>
      <c r="Q624" s="203" t="inlineStr">
        <is>
          <t>Cronometro</t>
        </is>
      </c>
      <c r="R624" s="203" t="inlineStr">
        <is>
          <t>Foglio Tiri</t>
        </is>
      </c>
    </row>
    <row r="625" ht="22" customHeight="1">
      <c r="A625" s="90">
        <f>IF('Calendario D'!A115="","",'Calendario D'!A115)</f>
        <v/>
      </c>
      <c r="B625" s="61">
        <f>IF('Calendario D'!B115="","",'Calendario D'!B115)</f>
        <v/>
      </c>
      <c r="C625" s="62">
        <f>IF('Calendario D'!C115="","",'Calendario D'!C115)</f>
        <v/>
      </c>
      <c r="D625" s="61">
        <f>IF('Calendario D'!D115="","",'Calendario D'!D115)</f>
        <v/>
      </c>
      <c r="E625" s="62">
        <f>IF('Calendario D'!E115="","",'Calendario D'!E115)</f>
        <v/>
      </c>
      <c r="F625" s="63">
        <f>IF('Calendario D'!F115="","",'Calendario D'!F115)</f>
        <v/>
      </c>
      <c r="G625" s="9" t="n"/>
      <c r="H625" s="9" t="n"/>
      <c r="I625" s="10" t="n"/>
      <c r="J625" s="195">
        <f>IF('Calendario D'!J115="","",'Calendario D'!J115)</f>
        <v/>
      </c>
      <c r="K625" s="64" t="inlineStr">
        <is>
          <t>-</t>
        </is>
      </c>
      <c r="L625" s="195">
        <f>IF('Calendario D'!L115="","",'Calendario D'!L115)</f>
        <v/>
      </c>
      <c r="M625" s="196" t="n"/>
      <c r="N625" s="196" t="n"/>
      <c r="O625" s="196" t="n"/>
      <c r="P625" s="196" t="n"/>
      <c r="Q625" s="196" t="n"/>
      <c r="R625" s="196" t="n"/>
    </row>
    <row r="626" ht="15" customHeight="1">
      <c r="A626" s="141" t="n"/>
      <c r="B626" s="69">
        <f>IF('Calendario D'!B116="","",'Calendario D'!B116)</f>
        <v/>
      </c>
      <c r="C626" s="9" t="n"/>
      <c r="D626" s="9" t="n"/>
      <c r="E626" s="9" t="n"/>
      <c r="F626" s="9" t="n"/>
      <c r="G626" s="9" t="n"/>
      <c r="H626" s="10" t="n"/>
      <c r="I626" s="62">
        <f>IF('Calendario D'!I116="","",'Calendario D'!I116)</f>
        <v/>
      </c>
      <c r="J626" s="141" t="n"/>
      <c r="K626" s="141" t="n"/>
      <c r="L626" s="141" t="n"/>
      <c r="M626" s="141" t="n"/>
      <c r="N626" s="141" t="n"/>
      <c r="O626" s="141" t="n"/>
      <c r="P626" s="141" t="n"/>
      <c r="Q626" s="141" t="n"/>
      <c r="R626" s="141" t="n"/>
    </row>
    <row r="627" ht="14" customHeight="1">
      <c r="A627" s="88" t="inlineStr">
        <is>
          <t>Gara N.</t>
        </is>
      </c>
      <c r="B627" s="88" t="inlineStr">
        <is>
          <t>Squadra A</t>
        </is>
      </c>
      <c r="C627" s="10" t="n"/>
      <c r="D627" s="88" t="inlineStr">
        <is>
          <t>Squadra B</t>
        </is>
      </c>
      <c r="E627" s="10" t="n"/>
      <c r="F627" s="88" t="inlineStr">
        <is>
          <t>Giorno</t>
        </is>
      </c>
      <c r="G627" s="88" t="inlineStr">
        <is>
          <t>Data</t>
        </is>
      </c>
      <c r="H627" s="88" t="inlineStr">
        <is>
          <t>Ora</t>
        </is>
      </c>
      <c r="I627" s="10" t="n"/>
      <c r="J627" s="88" t="inlineStr">
        <is>
          <t>Risultato</t>
        </is>
      </c>
      <c r="K627" s="9" t="n"/>
      <c r="L627" s="10" t="n"/>
      <c r="M627" s="203" t="inlineStr">
        <is>
          <t>1o Arbitro</t>
        </is>
      </c>
      <c r="N627" s="203" t="inlineStr">
        <is>
          <t>2o Arbitro</t>
        </is>
      </c>
      <c r="O627" s="203" t="inlineStr">
        <is>
          <t>3o Arbitro/Tirocinante</t>
        </is>
      </c>
      <c r="P627" s="203" t="inlineStr">
        <is>
          <t>Referto</t>
        </is>
      </c>
      <c r="Q627" s="203" t="inlineStr">
        <is>
          <t>Cronometro</t>
        </is>
      </c>
      <c r="R627" s="203" t="inlineStr">
        <is>
          <t>Foglio Tiri</t>
        </is>
      </c>
    </row>
    <row r="628" ht="22" customHeight="1">
      <c r="A628" s="90">
        <f>IF('Calendario D'!A118="","",'Calendario D'!A118)</f>
        <v/>
      </c>
      <c r="B628" s="61">
        <f>IF('Calendario D'!B118="","",'Calendario D'!B118)</f>
        <v/>
      </c>
      <c r="C628" s="62">
        <f>IF('Calendario D'!C118="","",'Calendario D'!C118)</f>
        <v/>
      </c>
      <c r="D628" s="61">
        <f>IF('Calendario D'!D118="","",'Calendario D'!D118)</f>
        <v/>
      </c>
      <c r="E628" s="62">
        <f>IF('Calendario D'!E118="","",'Calendario D'!E118)</f>
        <v/>
      </c>
      <c r="F628" s="63">
        <f>IF('Calendario D'!F118="","",'Calendario D'!F118)</f>
        <v/>
      </c>
      <c r="G628" s="9" t="n"/>
      <c r="H628" s="9" t="n"/>
      <c r="I628" s="10" t="n"/>
      <c r="J628" s="195">
        <f>IF('Calendario D'!J118="","",'Calendario D'!J118)</f>
        <v/>
      </c>
      <c r="K628" s="64" t="inlineStr">
        <is>
          <t>-</t>
        </is>
      </c>
      <c r="L628" s="195">
        <f>IF('Calendario D'!L118="","",'Calendario D'!L118)</f>
        <v/>
      </c>
      <c r="M628" s="196" t="n"/>
      <c r="N628" s="196" t="n"/>
      <c r="O628" s="196" t="n"/>
      <c r="P628" s="196" t="n"/>
      <c r="Q628" s="196" t="n"/>
      <c r="R628" s="196" t="n"/>
    </row>
    <row r="629" ht="15" customHeight="1">
      <c r="A629" s="141" t="n"/>
      <c r="B629" s="69">
        <f>IF('Calendario D'!B119="","",'Calendario D'!B119)</f>
        <v/>
      </c>
      <c r="C629" s="9" t="n"/>
      <c r="D629" s="9" t="n"/>
      <c r="E629" s="9" t="n"/>
      <c r="F629" s="9" t="n"/>
      <c r="G629" s="9" t="n"/>
      <c r="H629" s="10" t="n"/>
      <c r="I629" s="62">
        <f>IF('Calendario D'!I119="","",'Calendario D'!I119)</f>
        <v/>
      </c>
      <c r="J629" s="141" t="n"/>
      <c r="K629" s="141" t="n"/>
      <c r="L629" s="141" t="n"/>
      <c r="M629" s="141" t="n"/>
      <c r="N629" s="141" t="n"/>
      <c r="O629" s="141" t="n"/>
      <c r="P629" s="141" t="n"/>
      <c r="Q629" s="141" t="n"/>
      <c r="R629" s="141" t="n"/>
    </row>
    <row r="630" ht="14" customHeight="1">
      <c r="A630" s="88" t="inlineStr">
        <is>
          <t>Gara N.</t>
        </is>
      </c>
      <c r="B630" s="88" t="inlineStr">
        <is>
          <t>Squadra A</t>
        </is>
      </c>
      <c r="C630" s="10" t="n"/>
      <c r="D630" s="88" t="inlineStr">
        <is>
          <t>Squadra B</t>
        </is>
      </c>
      <c r="E630" s="10" t="n"/>
      <c r="F630" s="88" t="inlineStr">
        <is>
          <t>Giorno</t>
        </is>
      </c>
      <c r="G630" s="88" t="inlineStr">
        <is>
          <t>Data</t>
        </is>
      </c>
      <c r="H630" s="88" t="inlineStr">
        <is>
          <t>Ora</t>
        </is>
      </c>
      <c r="I630" s="10" t="n"/>
      <c r="J630" s="88" t="inlineStr">
        <is>
          <t>Risultato</t>
        </is>
      </c>
      <c r="K630" s="9" t="n"/>
      <c r="L630" s="10" t="n"/>
      <c r="M630" s="203" t="inlineStr">
        <is>
          <t>1o Arbitro</t>
        </is>
      </c>
      <c r="N630" s="203" t="inlineStr">
        <is>
          <t>2o Arbitro</t>
        </is>
      </c>
      <c r="O630" s="203" t="inlineStr">
        <is>
          <t>3o Arbitro/Tirocinante</t>
        </is>
      </c>
      <c r="P630" s="203" t="inlineStr">
        <is>
          <t>Referto</t>
        </is>
      </c>
      <c r="Q630" s="203" t="inlineStr">
        <is>
          <t>Cronometro</t>
        </is>
      </c>
      <c r="R630" s="203" t="inlineStr">
        <is>
          <t>Foglio Tiri</t>
        </is>
      </c>
    </row>
    <row r="631" ht="22" customHeight="1">
      <c r="A631" s="90">
        <f>IF('Calendario D'!A121="","",'Calendario D'!A121)</f>
        <v/>
      </c>
      <c r="B631" s="61">
        <f>IF('Calendario D'!B121="","",'Calendario D'!B121)</f>
        <v/>
      </c>
      <c r="C631" s="62">
        <f>IF('Calendario D'!C121="","",'Calendario D'!C121)</f>
        <v/>
      </c>
      <c r="D631" s="61">
        <f>IF('Calendario D'!D121="","",'Calendario D'!D121)</f>
        <v/>
      </c>
      <c r="E631" s="62">
        <f>IF('Calendario D'!E121="","",'Calendario D'!E121)</f>
        <v/>
      </c>
      <c r="F631" s="63">
        <f>IF('Calendario D'!F121="","",'Calendario D'!F121)</f>
        <v/>
      </c>
      <c r="G631" s="9" t="n"/>
      <c r="H631" s="9" t="n"/>
      <c r="I631" s="10" t="n"/>
      <c r="J631" s="195">
        <f>IF('Calendario D'!J121="","",'Calendario D'!J121)</f>
        <v/>
      </c>
      <c r="K631" s="64" t="inlineStr">
        <is>
          <t>-</t>
        </is>
      </c>
      <c r="L631" s="195">
        <f>IF('Calendario D'!L121="","",'Calendario D'!L121)</f>
        <v/>
      </c>
      <c r="M631" s="196" t="n"/>
      <c r="N631" s="196" t="n"/>
      <c r="O631" s="196" t="n"/>
      <c r="P631" s="196" t="n"/>
      <c r="Q631" s="196" t="n"/>
      <c r="R631" s="196" t="n"/>
    </row>
    <row r="632" ht="15" customHeight="1">
      <c r="A632" s="141" t="n"/>
      <c r="B632" s="69">
        <f>IF('Calendario D'!B122="","",'Calendario D'!B122)</f>
        <v/>
      </c>
      <c r="C632" s="9" t="n"/>
      <c r="D632" s="9" t="n"/>
      <c r="E632" s="9" t="n"/>
      <c r="F632" s="9" t="n"/>
      <c r="G632" s="9" t="n"/>
      <c r="H632" s="10" t="n"/>
      <c r="I632" s="62">
        <f>IF('Calendario D'!I122="","",'Calendario D'!I122)</f>
        <v/>
      </c>
      <c r="J632" s="141" t="n"/>
      <c r="K632" s="141" t="n"/>
      <c r="L632" s="141" t="n"/>
      <c r="M632" s="141" t="n"/>
      <c r="N632" s="141" t="n"/>
      <c r="O632" s="141" t="n"/>
      <c r="P632" s="141" t="n"/>
      <c r="Q632" s="141" t="n"/>
      <c r="R632" s="141" t="n"/>
    </row>
    <row r="633" ht="14" customHeight="1">
      <c r="A633" s="88" t="inlineStr">
        <is>
          <t>Gara N.</t>
        </is>
      </c>
      <c r="B633" s="88" t="inlineStr">
        <is>
          <t>Squadra A</t>
        </is>
      </c>
      <c r="C633" s="10" t="n"/>
      <c r="D633" s="88" t="inlineStr">
        <is>
          <t>Squadra B</t>
        </is>
      </c>
      <c r="E633" s="10" t="n"/>
      <c r="F633" s="88" t="inlineStr">
        <is>
          <t>Giorno</t>
        </is>
      </c>
      <c r="G633" s="88" t="inlineStr">
        <is>
          <t>Data</t>
        </is>
      </c>
      <c r="H633" s="88" t="inlineStr">
        <is>
          <t>Ora</t>
        </is>
      </c>
      <c r="I633" s="10" t="n"/>
      <c r="J633" s="88" t="inlineStr">
        <is>
          <t>Risultato</t>
        </is>
      </c>
      <c r="K633" s="9" t="n"/>
      <c r="L633" s="10" t="n"/>
      <c r="M633" s="203" t="inlineStr">
        <is>
          <t>1o Arbitro</t>
        </is>
      </c>
      <c r="N633" s="203" t="inlineStr">
        <is>
          <t>2o Arbitro</t>
        </is>
      </c>
      <c r="O633" s="203" t="inlineStr">
        <is>
          <t>3o Arbitro/Tirocinante</t>
        </is>
      </c>
      <c r="P633" s="203" t="inlineStr">
        <is>
          <t>Referto</t>
        </is>
      </c>
      <c r="Q633" s="203" t="inlineStr">
        <is>
          <t>Cronometro</t>
        </is>
      </c>
      <c r="R633" s="203" t="inlineStr">
        <is>
          <t>Foglio Tiri</t>
        </is>
      </c>
    </row>
    <row r="634" ht="22" customHeight="1">
      <c r="A634" s="90">
        <f>IF('Calendario D'!A124="","",'Calendario D'!A124)</f>
        <v/>
      </c>
      <c r="B634" s="61">
        <f>IF('Calendario D'!B124="","",'Calendario D'!B124)</f>
        <v/>
      </c>
      <c r="C634" s="62">
        <f>IF('Calendario D'!C124="","",'Calendario D'!C124)</f>
        <v/>
      </c>
      <c r="D634" s="61">
        <f>IF('Calendario D'!D124="","",'Calendario D'!D124)</f>
        <v/>
      </c>
      <c r="E634" s="62">
        <f>IF('Calendario D'!E124="","",'Calendario D'!E124)</f>
        <v/>
      </c>
      <c r="F634" s="63">
        <f>IF('Calendario D'!F124="","",'Calendario D'!F124)</f>
        <v/>
      </c>
      <c r="G634" s="9" t="n"/>
      <c r="H634" s="9" t="n"/>
      <c r="I634" s="10" t="n"/>
      <c r="J634" s="195">
        <f>IF('Calendario D'!J124="","",'Calendario D'!J124)</f>
        <v/>
      </c>
      <c r="K634" s="64" t="inlineStr">
        <is>
          <t>-</t>
        </is>
      </c>
      <c r="L634" s="195">
        <f>IF('Calendario D'!L124="","",'Calendario D'!L124)</f>
        <v/>
      </c>
      <c r="M634" s="196" t="n"/>
      <c r="N634" s="196" t="n"/>
      <c r="O634" s="196" t="n"/>
      <c r="P634" s="196" t="n"/>
      <c r="Q634" s="196" t="n"/>
      <c r="R634" s="196" t="n"/>
    </row>
    <row r="635" ht="15" customHeight="1">
      <c r="A635" s="141" t="n"/>
      <c r="B635" s="69">
        <f>IF('Calendario D'!B125="","",'Calendario D'!B125)</f>
        <v/>
      </c>
      <c r="C635" s="9" t="n"/>
      <c r="D635" s="9" t="n"/>
      <c r="E635" s="9" t="n"/>
      <c r="F635" s="9" t="n"/>
      <c r="G635" s="9" t="n"/>
      <c r="H635" s="10" t="n"/>
      <c r="I635" s="62">
        <f>IF('Calendario D'!I125="","",'Calendario D'!I125)</f>
        <v/>
      </c>
      <c r="J635" s="141" t="n"/>
      <c r="K635" s="141" t="n"/>
      <c r="L635" s="141" t="n"/>
      <c r="M635" s="141" t="n"/>
      <c r="N635" s="141" t="n"/>
      <c r="O635" s="141" t="n"/>
      <c r="P635" s="141" t="n"/>
      <c r="Q635" s="141" t="n"/>
      <c r="R635" s="141" t="n"/>
    </row>
    <row r="637" ht="20" customHeight="1">
      <c r="A637" s="85">
        <f>IF('Calendario D'!A127="","",'Calendario D'!A127)</f>
        <v/>
      </c>
      <c r="B637" s="86">
        <f>IF('Calendario D'!B127="","",'Calendario D'!B127)</f>
        <v/>
      </c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10" t="n"/>
      <c r="M637" s="202" t="inlineStr">
        <is>
          <t>ARBITRI</t>
        </is>
      </c>
      <c r="N637" s="9" t="n"/>
      <c r="O637" s="10" t="n"/>
      <c r="P637" s="202" t="inlineStr">
        <is>
          <t>UFFICIALI DI CAMPO</t>
        </is>
      </c>
      <c r="Q637" s="9" t="n"/>
      <c r="R637" s="10" t="n"/>
    </row>
    <row r="638" ht="14" customHeight="1">
      <c r="A638" s="88" t="inlineStr">
        <is>
          <t>Gara N.</t>
        </is>
      </c>
      <c r="B638" s="88" t="inlineStr">
        <is>
          <t>Squadra A</t>
        </is>
      </c>
      <c r="C638" s="10" t="n"/>
      <c r="D638" s="88" t="inlineStr">
        <is>
          <t>Squadra B</t>
        </is>
      </c>
      <c r="E638" s="10" t="n"/>
      <c r="F638" s="88" t="inlineStr">
        <is>
          <t>Giorno</t>
        </is>
      </c>
      <c r="G638" s="88" t="inlineStr">
        <is>
          <t>Data</t>
        </is>
      </c>
      <c r="H638" s="88" t="inlineStr">
        <is>
          <t>Ora</t>
        </is>
      </c>
      <c r="I638" s="10" t="n"/>
      <c r="J638" s="88" t="inlineStr">
        <is>
          <t>Risultato</t>
        </is>
      </c>
      <c r="K638" s="9" t="n"/>
      <c r="L638" s="10" t="n"/>
      <c r="M638" s="203" t="inlineStr">
        <is>
          <t>1o Arbitro</t>
        </is>
      </c>
      <c r="N638" s="203" t="inlineStr">
        <is>
          <t>2o Arbitro</t>
        </is>
      </c>
      <c r="O638" s="203" t="inlineStr">
        <is>
          <t>3o Arbitro/Tirocinante</t>
        </is>
      </c>
      <c r="P638" s="203" t="inlineStr">
        <is>
          <t>Referto</t>
        </is>
      </c>
      <c r="Q638" s="203" t="inlineStr">
        <is>
          <t>Cronometro</t>
        </is>
      </c>
      <c r="R638" s="203" t="inlineStr">
        <is>
          <t>Foglio Tiri</t>
        </is>
      </c>
    </row>
    <row r="639" ht="22" customHeight="1">
      <c r="A639" s="90">
        <f>IF('Calendario D'!A129="","",'Calendario D'!A129)</f>
        <v/>
      </c>
      <c r="B639" s="61">
        <f>IF('Calendario D'!B129="","",'Calendario D'!B129)</f>
        <v/>
      </c>
      <c r="C639" s="62">
        <f>IF('Calendario D'!C129="","",'Calendario D'!C129)</f>
        <v/>
      </c>
      <c r="D639" s="61">
        <f>IF('Calendario D'!D129="","",'Calendario D'!D129)</f>
        <v/>
      </c>
      <c r="E639" s="62">
        <f>IF('Calendario D'!E129="","",'Calendario D'!E129)</f>
        <v/>
      </c>
      <c r="F639" s="63">
        <f>IF('Calendario D'!F129="","",'Calendario D'!F129)</f>
        <v/>
      </c>
      <c r="G639" s="9" t="n"/>
      <c r="H639" s="9" t="n"/>
      <c r="I639" s="10" t="n"/>
      <c r="J639" s="195">
        <f>IF('Calendario D'!J129="","",'Calendario D'!J129)</f>
        <v/>
      </c>
      <c r="K639" s="64" t="inlineStr">
        <is>
          <t>-</t>
        </is>
      </c>
      <c r="L639" s="195">
        <f>IF('Calendario D'!L129="","",'Calendario D'!L129)</f>
        <v/>
      </c>
      <c r="M639" s="196" t="n"/>
      <c r="N639" s="196" t="n"/>
      <c r="O639" s="196" t="n"/>
      <c r="P639" s="196" t="n"/>
      <c r="Q639" s="196" t="n"/>
      <c r="R639" s="196" t="n"/>
    </row>
    <row r="640" ht="15" customHeight="1">
      <c r="A640" s="141" t="n"/>
      <c r="B640" s="69">
        <f>IF('Calendario D'!B130="","",'Calendario D'!B130)</f>
        <v/>
      </c>
      <c r="C640" s="9" t="n"/>
      <c r="D640" s="9" t="n"/>
      <c r="E640" s="9" t="n"/>
      <c r="F640" s="9" t="n"/>
      <c r="G640" s="9" t="n"/>
      <c r="H640" s="10" t="n"/>
      <c r="I640" s="62">
        <f>IF('Calendario D'!I130="","",'Calendario D'!I130)</f>
        <v/>
      </c>
      <c r="J640" s="141" t="n"/>
      <c r="K640" s="141" t="n"/>
      <c r="L640" s="141" t="n"/>
      <c r="M640" s="141" t="n"/>
      <c r="N640" s="141" t="n"/>
      <c r="O640" s="141" t="n"/>
      <c r="P640" s="141" t="n"/>
      <c r="Q640" s="141" t="n"/>
      <c r="R640" s="141" t="n"/>
    </row>
    <row r="641" ht="14" customHeight="1">
      <c r="A641" s="88" t="inlineStr">
        <is>
          <t>Gara N.</t>
        </is>
      </c>
      <c r="B641" s="88" t="inlineStr">
        <is>
          <t>Squadra A</t>
        </is>
      </c>
      <c r="C641" s="10" t="n"/>
      <c r="D641" s="88" t="inlineStr">
        <is>
          <t>Squadra B</t>
        </is>
      </c>
      <c r="E641" s="10" t="n"/>
      <c r="F641" s="88" t="inlineStr">
        <is>
          <t>Giorno</t>
        </is>
      </c>
      <c r="G641" s="88" t="inlineStr">
        <is>
          <t>Data</t>
        </is>
      </c>
      <c r="H641" s="88" t="inlineStr">
        <is>
          <t>Ora</t>
        </is>
      </c>
      <c r="I641" s="10" t="n"/>
      <c r="J641" s="88" t="inlineStr">
        <is>
          <t>Risultato</t>
        </is>
      </c>
      <c r="K641" s="9" t="n"/>
      <c r="L641" s="10" t="n"/>
      <c r="M641" s="203" t="inlineStr">
        <is>
          <t>1o Arbitro</t>
        </is>
      </c>
      <c r="N641" s="203" t="inlineStr">
        <is>
          <t>2o Arbitro</t>
        </is>
      </c>
      <c r="O641" s="203" t="inlineStr">
        <is>
          <t>3o Arbitro/Tirocinante</t>
        </is>
      </c>
      <c r="P641" s="203" t="inlineStr">
        <is>
          <t>Referto</t>
        </is>
      </c>
      <c r="Q641" s="203" t="inlineStr">
        <is>
          <t>Cronometro</t>
        </is>
      </c>
      <c r="R641" s="203" t="inlineStr">
        <is>
          <t>Foglio Tiri</t>
        </is>
      </c>
    </row>
    <row r="642" ht="22" customHeight="1">
      <c r="A642" s="90">
        <f>IF('Calendario D'!A132="","",'Calendario D'!A132)</f>
        <v/>
      </c>
      <c r="B642" s="61">
        <f>IF('Calendario D'!B132="","",'Calendario D'!B132)</f>
        <v/>
      </c>
      <c r="C642" s="62">
        <f>IF('Calendario D'!C132="","",'Calendario D'!C132)</f>
        <v/>
      </c>
      <c r="D642" s="61">
        <f>IF('Calendario D'!D132="","",'Calendario D'!D132)</f>
        <v/>
      </c>
      <c r="E642" s="62">
        <f>IF('Calendario D'!E132="","",'Calendario D'!E132)</f>
        <v/>
      </c>
      <c r="F642" s="63">
        <f>IF('Calendario D'!F132="","",'Calendario D'!F132)</f>
        <v/>
      </c>
      <c r="G642" s="9" t="n"/>
      <c r="H642" s="9" t="n"/>
      <c r="I642" s="10" t="n"/>
      <c r="J642" s="195">
        <f>IF('Calendario D'!J132="","",'Calendario D'!J132)</f>
        <v/>
      </c>
      <c r="K642" s="64" t="inlineStr">
        <is>
          <t>-</t>
        </is>
      </c>
      <c r="L642" s="195">
        <f>IF('Calendario D'!L132="","",'Calendario D'!L132)</f>
        <v/>
      </c>
      <c r="M642" s="196" t="n"/>
      <c r="N642" s="196" t="n"/>
      <c r="O642" s="196" t="n"/>
      <c r="P642" s="196" t="n"/>
      <c r="Q642" s="196" t="n"/>
      <c r="R642" s="196" t="n"/>
    </row>
    <row r="643" ht="15" customHeight="1">
      <c r="A643" s="141" t="n"/>
      <c r="B643" s="69">
        <f>IF('Calendario D'!B133="","",'Calendario D'!B133)</f>
        <v/>
      </c>
      <c r="C643" s="9" t="n"/>
      <c r="D643" s="9" t="n"/>
      <c r="E643" s="9" t="n"/>
      <c r="F643" s="9" t="n"/>
      <c r="G643" s="9" t="n"/>
      <c r="H643" s="10" t="n"/>
      <c r="I643" s="62">
        <f>IF('Calendario D'!I133="","",'Calendario D'!I133)</f>
        <v/>
      </c>
      <c r="J643" s="141" t="n"/>
      <c r="K643" s="141" t="n"/>
      <c r="L643" s="141" t="n"/>
      <c r="M643" s="141" t="n"/>
      <c r="N643" s="141" t="n"/>
      <c r="O643" s="141" t="n"/>
      <c r="P643" s="141" t="n"/>
      <c r="Q643" s="141" t="n"/>
      <c r="R643" s="141" t="n"/>
    </row>
    <row r="644" ht="14" customHeight="1">
      <c r="A644" s="88" t="inlineStr">
        <is>
          <t>Gara N.</t>
        </is>
      </c>
      <c r="B644" s="88" t="inlineStr">
        <is>
          <t>Squadra A</t>
        </is>
      </c>
      <c r="C644" s="10" t="n"/>
      <c r="D644" s="88" t="inlineStr">
        <is>
          <t>Squadra B</t>
        </is>
      </c>
      <c r="E644" s="10" t="n"/>
      <c r="F644" s="88" t="inlineStr">
        <is>
          <t>Giorno</t>
        </is>
      </c>
      <c r="G644" s="88" t="inlineStr">
        <is>
          <t>Data</t>
        </is>
      </c>
      <c r="H644" s="88" t="inlineStr">
        <is>
          <t>Ora</t>
        </is>
      </c>
      <c r="I644" s="10" t="n"/>
      <c r="J644" s="88" t="inlineStr">
        <is>
          <t>Risultato</t>
        </is>
      </c>
      <c r="K644" s="9" t="n"/>
      <c r="L644" s="10" t="n"/>
      <c r="M644" s="203" t="inlineStr">
        <is>
          <t>1o Arbitro</t>
        </is>
      </c>
      <c r="N644" s="203" t="inlineStr">
        <is>
          <t>2o Arbitro</t>
        </is>
      </c>
      <c r="O644" s="203" t="inlineStr">
        <is>
          <t>3o Arbitro/Tirocinante</t>
        </is>
      </c>
      <c r="P644" s="203" t="inlineStr">
        <is>
          <t>Referto</t>
        </is>
      </c>
      <c r="Q644" s="203" t="inlineStr">
        <is>
          <t>Cronometro</t>
        </is>
      </c>
      <c r="R644" s="203" t="inlineStr">
        <is>
          <t>Foglio Tiri</t>
        </is>
      </c>
    </row>
    <row r="645" ht="22" customHeight="1">
      <c r="A645" s="90">
        <f>IF('Calendario D'!A135="","",'Calendario D'!A135)</f>
        <v/>
      </c>
      <c r="B645" s="61">
        <f>IF('Calendario D'!B135="","",'Calendario D'!B135)</f>
        <v/>
      </c>
      <c r="C645" s="62">
        <f>IF('Calendario D'!C135="","",'Calendario D'!C135)</f>
        <v/>
      </c>
      <c r="D645" s="61">
        <f>IF('Calendario D'!D135="","",'Calendario D'!D135)</f>
        <v/>
      </c>
      <c r="E645" s="62">
        <f>IF('Calendario D'!E135="","",'Calendario D'!E135)</f>
        <v/>
      </c>
      <c r="F645" s="63">
        <f>IF('Calendario D'!F135="","",'Calendario D'!F135)</f>
        <v/>
      </c>
      <c r="G645" s="9" t="n"/>
      <c r="H645" s="9" t="n"/>
      <c r="I645" s="10" t="n"/>
      <c r="J645" s="195">
        <f>IF('Calendario D'!J135="","",'Calendario D'!J135)</f>
        <v/>
      </c>
      <c r="K645" s="64" t="inlineStr">
        <is>
          <t>-</t>
        </is>
      </c>
      <c r="L645" s="195">
        <f>IF('Calendario D'!L135="","",'Calendario D'!L135)</f>
        <v/>
      </c>
      <c r="M645" s="196" t="n"/>
      <c r="N645" s="196" t="n"/>
      <c r="O645" s="196" t="n"/>
      <c r="P645" s="196" t="n"/>
      <c r="Q645" s="196" t="n"/>
      <c r="R645" s="196" t="n"/>
    </row>
    <row r="646" ht="15" customHeight="1">
      <c r="A646" s="141" t="n"/>
      <c r="B646" s="69">
        <f>IF('Calendario D'!B136="","",'Calendario D'!B136)</f>
        <v/>
      </c>
      <c r="C646" s="9" t="n"/>
      <c r="D646" s="9" t="n"/>
      <c r="E646" s="9" t="n"/>
      <c r="F646" s="9" t="n"/>
      <c r="G646" s="9" t="n"/>
      <c r="H646" s="10" t="n"/>
      <c r="I646" s="62">
        <f>IF('Calendario D'!I136="","",'Calendario D'!I136)</f>
        <v/>
      </c>
      <c r="J646" s="141" t="n"/>
      <c r="K646" s="141" t="n"/>
      <c r="L646" s="141" t="n"/>
      <c r="M646" s="141" t="n"/>
      <c r="N646" s="141" t="n"/>
      <c r="O646" s="141" t="n"/>
      <c r="P646" s="141" t="n"/>
      <c r="Q646" s="141" t="n"/>
      <c r="R646" s="141" t="n"/>
    </row>
    <row r="647" ht="14" customHeight="1">
      <c r="A647" s="88" t="inlineStr">
        <is>
          <t>Gara N.</t>
        </is>
      </c>
      <c r="B647" s="88" t="inlineStr">
        <is>
          <t>Squadra A</t>
        </is>
      </c>
      <c r="C647" s="10" t="n"/>
      <c r="D647" s="88" t="inlineStr">
        <is>
          <t>Squadra B</t>
        </is>
      </c>
      <c r="E647" s="10" t="n"/>
      <c r="F647" s="88" t="inlineStr">
        <is>
          <t>Giorno</t>
        </is>
      </c>
      <c r="G647" s="88" t="inlineStr">
        <is>
          <t>Data</t>
        </is>
      </c>
      <c r="H647" s="88" t="inlineStr">
        <is>
          <t>Ora</t>
        </is>
      </c>
      <c r="I647" s="10" t="n"/>
      <c r="J647" s="88" t="inlineStr">
        <is>
          <t>Risultato</t>
        </is>
      </c>
      <c r="K647" s="9" t="n"/>
      <c r="L647" s="10" t="n"/>
      <c r="M647" s="203" t="inlineStr">
        <is>
          <t>1o Arbitro</t>
        </is>
      </c>
      <c r="N647" s="203" t="inlineStr">
        <is>
          <t>2o Arbitro</t>
        </is>
      </c>
      <c r="O647" s="203" t="inlineStr">
        <is>
          <t>3o Arbitro/Tirocinante</t>
        </is>
      </c>
      <c r="P647" s="203" t="inlineStr">
        <is>
          <t>Referto</t>
        </is>
      </c>
      <c r="Q647" s="203" t="inlineStr">
        <is>
          <t>Cronometro</t>
        </is>
      </c>
      <c r="R647" s="203" t="inlineStr">
        <is>
          <t>Foglio Tiri</t>
        </is>
      </c>
    </row>
    <row r="648" ht="22" customHeight="1">
      <c r="A648" s="90">
        <f>IF('Calendario D'!A138="","",'Calendario D'!A138)</f>
        <v/>
      </c>
      <c r="B648" s="61">
        <f>IF('Calendario D'!B138="","",'Calendario D'!B138)</f>
        <v/>
      </c>
      <c r="C648" s="62">
        <f>IF('Calendario D'!C138="","",'Calendario D'!C138)</f>
        <v/>
      </c>
      <c r="D648" s="61">
        <f>IF('Calendario D'!D138="","",'Calendario D'!D138)</f>
        <v/>
      </c>
      <c r="E648" s="62">
        <f>IF('Calendario D'!E138="","",'Calendario D'!E138)</f>
        <v/>
      </c>
      <c r="F648" s="63">
        <f>IF('Calendario D'!F138="","",'Calendario D'!F138)</f>
        <v/>
      </c>
      <c r="G648" s="9" t="n"/>
      <c r="H648" s="9" t="n"/>
      <c r="I648" s="10" t="n"/>
      <c r="J648" s="195">
        <f>IF('Calendario D'!J138="","",'Calendario D'!J138)</f>
        <v/>
      </c>
      <c r="K648" s="64" t="inlineStr">
        <is>
          <t>-</t>
        </is>
      </c>
      <c r="L648" s="195">
        <f>IF('Calendario D'!L138="","",'Calendario D'!L138)</f>
        <v/>
      </c>
      <c r="M648" s="196" t="n"/>
      <c r="N648" s="196" t="n"/>
      <c r="O648" s="196" t="n"/>
      <c r="P648" s="196" t="n"/>
      <c r="Q648" s="196" t="n"/>
      <c r="R648" s="196" t="n"/>
    </row>
    <row r="649" ht="15" customHeight="1">
      <c r="A649" s="141" t="n"/>
      <c r="B649" s="69">
        <f>IF('Calendario D'!B139="","",'Calendario D'!B139)</f>
        <v/>
      </c>
      <c r="C649" s="9" t="n"/>
      <c r="D649" s="9" t="n"/>
      <c r="E649" s="9" t="n"/>
      <c r="F649" s="9" t="n"/>
      <c r="G649" s="9" t="n"/>
      <c r="H649" s="10" t="n"/>
      <c r="I649" s="62">
        <f>IF('Calendario D'!I139="","",'Calendario D'!I139)</f>
        <v/>
      </c>
      <c r="J649" s="141" t="n"/>
      <c r="K649" s="141" t="n"/>
      <c r="L649" s="141" t="n"/>
      <c r="M649" s="141" t="n"/>
      <c r="N649" s="141" t="n"/>
      <c r="O649" s="141" t="n"/>
      <c r="P649" s="141" t="n"/>
      <c r="Q649" s="141" t="n"/>
      <c r="R649" s="141" t="n"/>
    </row>
    <row r="650" ht="14" customHeight="1">
      <c r="A650" s="88" t="inlineStr">
        <is>
          <t>Gara N.</t>
        </is>
      </c>
      <c r="B650" s="88" t="inlineStr">
        <is>
          <t>Squadra A</t>
        </is>
      </c>
      <c r="C650" s="10" t="n"/>
      <c r="D650" s="88" t="inlineStr">
        <is>
          <t>Squadra B</t>
        </is>
      </c>
      <c r="E650" s="10" t="n"/>
      <c r="F650" s="88" t="inlineStr">
        <is>
          <t>Giorno</t>
        </is>
      </c>
      <c r="G650" s="88" t="inlineStr">
        <is>
          <t>Data</t>
        </is>
      </c>
      <c r="H650" s="88" t="inlineStr">
        <is>
          <t>Ora</t>
        </is>
      </c>
      <c r="I650" s="10" t="n"/>
      <c r="J650" s="88" t="inlineStr">
        <is>
          <t>Risultato</t>
        </is>
      </c>
      <c r="K650" s="9" t="n"/>
      <c r="L650" s="10" t="n"/>
      <c r="M650" s="203" t="inlineStr">
        <is>
          <t>1o Arbitro</t>
        </is>
      </c>
      <c r="N650" s="203" t="inlineStr">
        <is>
          <t>2o Arbitro</t>
        </is>
      </c>
      <c r="O650" s="203" t="inlineStr">
        <is>
          <t>3o Arbitro/Tirocinante</t>
        </is>
      </c>
      <c r="P650" s="203" t="inlineStr">
        <is>
          <t>Referto</t>
        </is>
      </c>
      <c r="Q650" s="203" t="inlineStr">
        <is>
          <t>Cronometro</t>
        </is>
      </c>
      <c r="R650" s="203" t="inlineStr">
        <is>
          <t>Foglio Tiri</t>
        </is>
      </c>
    </row>
    <row r="651" ht="22" customHeight="1">
      <c r="A651" s="90">
        <f>IF('Calendario D'!A141="","",'Calendario D'!A141)</f>
        <v/>
      </c>
      <c r="B651" s="61">
        <f>IF('Calendario D'!B141="","",'Calendario D'!B141)</f>
        <v/>
      </c>
      <c r="C651" s="62">
        <f>IF('Calendario D'!C141="","",'Calendario D'!C141)</f>
        <v/>
      </c>
      <c r="D651" s="61">
        <f>IF('Calendario D'!D141="","",'Calendario D'!D141)</f>
        <v/>
      </c>
      <c r="E651" s="62">
        <f>IF('Calendario D'!E141="","",'Calendario D'!E141)</f>
        <v/>
      </c>
      <c r="F651" s="63">
        <f>IF('Calendario D'!F141="","",'Calendario D'!F141)</f>
        <v/>
      </c>
      <c r="G651" s="9" t="n"/>
      <c r="H651" s="9" t="n"/>
      <c r="I651" s="10" t="n"/>
      <c r="J651" s="195">
        <f>IF('Calendario D'!J141="","",'Calendario D'!J141)</f>
        <v/>
      </c>
      <c r="K651" s="64" t="inlineStr">
        <is>
          <t>-</t>
        </is>
      </c>
      <c r="L651" s="195">
        <f>IF('Calendario D'!L141="","",'Calendario D'!L141)</f>
        <v/>
      </c>
      <c r="M651" s="196" t="n"/>
      <c r="N651" s="196" t="n"/>
      <c r="O651" s="196" t="n"/>
      <c r="P651" s="196" t="n"/>
      <c r="Q651" s="196" t="n"/>
      <c r="R651" s="196" t="n"/>
    </row>
    <row r="652" ht="15" customHeight="1">
      <c r="A652" s="141" t="n"/>
      <c r="B652" s="69">
        <f>IF('Calendario D'!B142="","",'Calendario D'!B142)</f>
        <v/>
      </c>
      <c r="C652" s="9" t="n"/>
      <c r="D652" s="9" t="n"/>
      <c r="E652" s="9" t="n"/>
      <c r="F652" s="9" t="n"/>
      <c r="G652" s="9" t="n"/>
      <c r="H652" s="10" t="n"/>
      <c r="I652" s="62">
        <f>IF('Calendario D'!I142="","",'Calendario D'!I142)</f>
        <v/>
      </c>
      <c r="J652" s="141" t="n"/>
      <c r="K652" s="141" t="n"/>
      <c r="L652" s="141" t="n"/>
      <c r="M652" s="141" t="n"/>
      <c r="N652" s="141" t="n"/>
      <c r="O652" s="141" t="n"/>
      <c r="P652" s="141" t="n"/>
      <c r="Q652" s="141" t="n"/>
      <c r="R652" s="141" t="n"/>
    </row>
    <row r="654" ht="20" customHeight="1">
      <c r="A654" s="85">
        <f>IF('Calendario D'!A144="","",'Calendario D'!A144)</f>
        <v/>
      </c>
      <c r="B654" s="86">
        <f>IF('Calendario D'!B144="","",'Calendario D'!B144)</f>
        <v/>
      </c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10" t="n"/>
      <c r="M654" s="202" t="inlineStr">
        <is>
          <t>ARBITRI</t>
        </is>
      </c>
      <c r="N654" s="9" t="n"/>
      <c r="O654" s="10" t="n"/>
      <c r="P654" s="202" t="inlineStr">
        <is>
          <t>UFFICIALI DI CAMPO</t>
        </is>
      </c>
      <c r="Q654" s="9" t="n"/>
      <c r="R654" s="10" t="n"/>
    </row>
    <row r="655" ht="14" customHeight="1">
      <c r="A655" s="88" t="inlineStr">
        <is>
          <t>Gara N.</t>
        </is>
      </c>
      <c r="B655" s="88" t="inlineStr">
        <is>
          <t>Squadra A</t>
        </is>
      </c>
      <c r="C655" s="10" t="n"/>
      <c r="D655" s="88" t="inlineStr">
        <is>
          <t>Squadra B</t>
        </is>
      </c>
      <c r="E655" s="10" t="n"/>
      <c r="F655" s="88" t="inlineStr">
        <is>
          <t>Giorno</t>
        </is>
      </c>
      <c r="G655" s="88" t="inlineStr">
        <is>
          <t>Data</t>
        </is>
      </c>
      <c r="H655" s="88" t="inlineStr">
        <is>
          <t>Ora</t>
        </is>
      </c>
      <c r="I655" s="10" t="n"/>
      <c r="J655" s="88" t="inlineStr">
        <is>
          <t>Risultato</t>
        </is>
      </c>
      <c r="K655" s="9" t="n"/>
      <c r="L655" s="10" t="n"/>
      <c r="M655" s="203" t="inlineStr">
        <is>
          <t>1o Arbitro</t>
        </is>
      </c>
      <c r="N655" s="203" t="inlineStr">
        <is>
          <t>2o Arbitro</t>
        </is>
      </c>
      <c r="O655" s="203" t="inlineStr">
        <is>
          <t>3o Arbitro/Tirocinante</t>
        </is>
      </c>
      <c r="P655" s="203" t="inlineStr">
        <is>
          <t>Referto</t>
        </is>
      </c>
      <c r="Q655" s="203" t="inlineStr">
        <is>
          <t>Cronometro</t>
        </is>
      </c>
      <c r="R655" s="203" t="inlineStr">
        <is>
          <t>Foglio Tiri</t>
        </is>
      </c>
    </row>
    <row r="656" ht="22" customHeight="1">
      <c r="A656" s="90">
        <f>IF('Calendario D'!A146="","",'Calendario D'!A146)</f>
        <v/>
      </c>
      <c r="B656" s="61">
        <f>IF('Calendario D'!B146="","",'Calendario D'!B146)</f>
        <v/>
      </c>
      <c r="C656" s="62">
        <f>IF('Calendario D'!C146="","",'Calendario D'!C146)</f>
        <v/>
      </c>
      <c r="D656" s="61">
        <f>IF('Calendario D'!D146="","",'Calendario D'!D146)</f>
        <v/>
      </c>
      <c r="E656" s="62">
        <f>IF('Calendario D'!E146="","",'Calendario D'!E146)</f>
        <v/>
      </c>
      <c r="F656" s="63">
        <f>IF('Calendario D'!F146="","",'Calendario D'!F146)</f>
        <v/>
      </c>
      <c r="G656" s="9" t="n"/>
      <c r="H656" s="9" t="n"/>
      <c r="I656" s="10" t="n"/>
      <c r="J656" s="195">
        <f>IF('Calendario D'!J146="","",'Calendario D'!J146)</f>
        <v/>
      </c>
      <c r="K656" s="64" t="inlineStr">
        <is>
          <t>-</t>
        </is>
      </c>
      <c r="L656" s="195">
        <f>IF('Calendario D'!L146="","",'Calendario D'!L146)</f>
        <v/>
      </c>
      <c r="M656" s="196" t="n"/>
      <c r="N656" s="196" t="n"/>
      <c r="O656" s="196" t="n"/>
      <c r="P656" s="196" t="n"/>
      <c r="Q656" s="196" t="n"/>
      <c r="R656" s="196" t="n"/>
    </row>
    <row r="657" ht="15" customHeight="1">
      <c r="A657" s="141" t="n"/>
      <c r="B657" s="69">
        <f>IF('Calendario D'!B147="","",'Calendario D'!B147)</f>
        <v/>
      </c>
      <c r="C657" s="9" t="n"/>
      <c r="D657" s="9" t="n"/>
      <c r="E657" s="9" t="n"/>
      <c r="F657" s="9" t="n"/>
      <c r="G657" s="9" t="n"/>
      <c r="H657" s="10" t="n"/>
      <c r="I657" s="62">
        <f>IF('Calendario D'!I147="","",'Calendario D'!I147)</f>
        <v/>
      </c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</row>
    <row r="658" ht="14" customHeight="1">
      <c r="A658" s="88" t="inlineStr">
        <is>
          <t>Gara N.</t>
        </is>
      </c>
      <c r="B658" s="88" t="inlineStr">
        <is>
          <t>Squadra A</t>
        </is>
      </c>
      <c r="C658" s="10" t="n"/>
      <c r="D658" s="88" t="inlineStr">
        <is>
          <t>Squadra B</t>
        </is>
      </c>
      <c r="E658" s="10" t="n"/>
      <c r="F658" s="88" t="inlineStr">
        <is>
          <t>Giorno</t>
        </is>
      </c>
      <c r="G658" s="88" t="inlineStr">
        <is>
          <t>Data</t>
        </is>
      </c>
      <c r="H658" s="88" t="inlineStr">
        <is>
          <t>Ora</t>
        </is>
      </c>
      <c r="I658" s="10" t="n"/>
      <c r="J658" s="88" t="inlineStr">
        <is>
          <t>Risultato</t>
        </is>
      </c>
      <c r="K658" s="9" t="n"/>
      <c r="L658" s="10" t="n"/>
      <c r="M658" s="203" t="inlineStr">
        <is>
          <t>1o Arbitro</t>
        </is>
      </c>
      <c r="N658" s="203" t="inlineStr">
        <is>
          <t>2o Arbitro</t>
        </is>
      </c>
      <c r="O658" s="203" t="inlineStr">
        <is>
          <t>3o Arbitro/Tirocinante</t>
        </is>
      </c>
      <c r="P658" s="203" t="inlineStr">
        <is>
          <t>Referto</t>
        </is>
      </c>
      <c r="Q658" s="203" t="inlineStr">
        <is>
          <t>Cronometro</t>
        </is>
      </c>
      <c r="R658" s="203" t="inlineStr">
        <is>
          <t>Foglio Tiri</t>
        </is>
      </c>
    </row>
    <row r="659" ht="22" customHeight="1">
      <c r="A659" s="90">
        <f>IF('Calendario D'!A149="","",'Calendario D'!A149)</f>
        <v/>
      </c>
      <c r="B659" s="61">
        <f>IF('Calendario D'!B149="","",'Calendario D'!B149)</f>
        <v/>
      </c>
      <c r="C659" s="62">
        <f>IF('Calendario D'!C149="","",'Calendario D'!C149)</f>
        <v/>
      </c>
      <c r="D659" s="61">
        <f>IF('Calendario D'!D149="","",'Calendario D'!D149)</f>
        <v/>
      </c>
      <c r="E659" s="62">
        <f>IF('Calendario D'!E149="","",'Calendario D'!E149)</f>
        <v/>
      </c>
      <c r="F659" s="63">
        <f>IF('Calendario D'!F149="","",'Calendario D'!F149)</f>
        <v/>
      </c>
      <c r="G659" s="9" t="n"/>
      <c r="H659" s="9" t="n"/>
      <c r="I659" s="10" t="n"/>
      <c r="J659" s="195">
        <f>IF('Calendario D'!J149="","",'Calendario D'!J149)</f>
        <v/>
      </c>
      <c r="K659" s="64" t="inlineStr">
        <is>
          <t>-</t>
        </is>
      </c>
      <c r="L659" s="195">
        <f>IF('Calendario D'!L149="","",'Calendario D'!L149)</f>
        <v/>
      </c>
      <c r="M659" s="196" t="n"/>
      <c r="N659" s="196" t="n"/>
      <c r="O659" s="196" t="n"/>
      <c r="P659" s="196" t="n"/>
      <c r="Q659" s="196" t="n"/>
      <c r="R659" s="196" t="n"/>
    </row>
    <row r="660" ht="15" customHeight="1">
      <c r="A660" s="141" t="n"/>
      <c r="B660" s="69">
        <f>IF('Calendario D'!B150="","",'Calendario D'!B150)</f>
        <v/>
      </c>
      <c r="C660" s="9" t="n"/>
      <c r="D660" s="9" t="n"/>
      <c r="E660" s="9" t="n"/>
      <c r="F660" s="9" t="n"/>
      <c r="G660" s="9" t="n"/>
      <c r="H660" s="10" t="n"/>
      <c r="I660" s="62">
        <f>IF('Calendario D'!I150="","",'Calendario D'!I150)</f>
        <v/>
      </c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</row>
    <row r="661" ht="14" customHeight="1">
      <c r="A661" s="88" t="inlineStr">
        <is>
          <t>Gara N.</t>
        </is>
      </c>
      <c r="B661" s="88" t="inlineStr">
        <is>
          <t>Squadra A</t>
        </is>
      </c>
      <c r="C661" s="10" t="n"/>
      <c r="D661" s="88" t="inlineStr">
        <is>
          <t>Squadra B</t>
        </is>
      </c>
      <c r="E661" s="10" t="n"/>
      <c r="F661" s="88" t="inlineStr">
        <is>
          <t>Giorno</t>
        </is>
      </c>
      <c r="G661" s="88" t="inlineStr">
        <is>
          <t>Data</t>
        </is>
      </c>
      <c r="H661" s="88" t="inlineStr">
        <is>
          <t>Ora</t>
        </is>
      </c>
      <c r="I661" s="10" t="n"/>
      <c r="J661" s="88" t="inlineStr">
        <is>
          <t>Risultato</t>
        </is>
      </c>
      <c r="K661" s="9" t="n"/>
      <c r="L661" s="10" t="n"/>
      <c r="M661" s="203" t="inlineStr">
        <is>
          <t>1o Arbitro</t>
        </is>
      </c>
      <c r="N661" s="203" t="inlineStr">
        <is>
          <t>2o Arbitro</t>
        </is>
      </c>
      <c r="O661" s="203" t="inlineStr">
        <is>
          <t>3o Arbitro/Tirocinante</t>
        </is>
      </c>
      <c r="P661" s="203" t="inlineStr">
        <is>
          <t>Referto</t>
        </is>
      </c>
      <c r="Q661" s="203" t="inlineStr">
        <is>
          <t>Cronometro</t>
        </is>
      </c>
      <c r="R661" s="203" t="inlineStr">
        <is>
          <t>Foglio Tiri</t>
        </is>
      </c>
    </row>
    <row r="662" ht="22" customHeight="1">
      <c r="A662" s="90">
        <f>IF('Calendario D'!A152="","",'Calendario D'!A152)</f>
        <v/>
      </c>
      <c r="B662" s="61">
        <f>IF('Calendario D'!B152="","",'Calendario D'!B152)</f>
        <v/>
      </c>
      <c r="C662" s="62">
        <f>IF('Calendario D'!C152="","",'Calendario D'!C152)</f>
        <v/>
      </c>
      <c r="D662" s="61">
        <f>IF('Calendario D'!D152="","",'Calendario D'!D152)</f>
        <v/>
      </c>
      <c r="E662" s="62">
        <f>IF('Calendario D'!E152="","",'Calendario D'!E152)</f>
        <v/>
      </c>
      <c r="F662" s="63">
        <f>IF('Calendario D'!F152="","",'Calendario D'!F152)</f>
        <v/>
      </c>
      <c r="G662" s="9" t="n"/>
      <c r="H662" s="9" t="n"/>
      <c r="I662" s="10" t="n"/>
      <c r="J662" s="195">
        <f>IF('Calendario D'!J152="","",'Calendario D'!J152)</f>
        <v/>
      </c>
      <c r="K662" s="64" t="inlineStr">
        <is>
          <t>-</t>
        </is>
      </c>
      <c r="L662" s="195">
        <f>IF('Calendario D'!L152="","",'Calendario D'!L152)</f>
        <v/>
      </c>
      <c r="M662" s="196" t="n"/>
      <c r="N662" s="196" t="n"/>
      <c r="O662" s="196" t="n"/>
      <c r="P662" s="196" t="n"/>
      <c r="Q662" s="196" t="n"/>
      <c r="R662" s="196" t="n"/>
    </row>
    <row r="663" ht="15" customHeight="1">
      <c r="A663" s="141" t="n"/>
      <c r="B663" s="69">
        <f>IF('Calendario D'!B153="","",'Calendario D'!B153)</f>
        <v/>
      </c>
      <c r="C663" s="9" t="n"/>
      <c r="D663" s="9" t="n"/>
      <c r="E663" s="9" t="n"/>
      <c r="F663" s="9" t="n"/>
      <c r="G663" s="9" t="n"/>
      <c r="H663" s="10" t="n"/>
      <c r="I663" s="62">
        <f>IF('Calendario D'!I153="","",'Calendario D'!I153)</f>
        <v/>
      </c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</row>
    <row r="664" ht="14" customHeight="1">
      <c r="A664" s="88" t="inlineStr">
        <is>
          <t>Gara N.</t>
        </is>
      </c>
      <c r="B664" s="88" t="inlineStr">
        <is>
          <t>Squadra A</t>
        </is>
      </c>
      <c r="C664" s="10" t="n"/>
      <c r="D664" s="88" t="inlineStr">
        <is>
          <t>Squadra B</t>
        </is>
      </c>
      <c r="E664" s="10" t="n"/>
      <c r="F664" s="88" t="inlineStr">
        <is>
          <t>Giorno</t>
        </is>
      </c>
      <c r="G664" s="88" t="inlineStr">
        <is>
          <t>Data</t>
        </is>
      </c>
      <c r="H664" s="88" t="inlineStr">
        <is>
          <t>Ora</t>
        </is>
      </c>
      <c r="I664" s="10" t="n"/>
      <c r="J664" s="88" t="inlineStr">
        <is>
          <t>Risultato</t>
        </is>
      </c>
      <c r="K664" s="9" t="n"/>
      <c r="L664" s="10" t="n"/>
      <c r="M664" s="203" t="inlineStr">
        <is>
          <t>1o Arbitro</t>
        </is>
      </c>
      <c r="N664" s="203" t="inlineStr">
        <is>
          <t>2o Arbitro</t>
        </is>
      </c>
      <c r="O664" s="203" t="inlineStr">
        <is>
          <t>3o Arbitro/Tirocinante</t>
        </is>
      </c>
      <c r="P664" s="203" t="inlineStr">
        <is>
          <t>Referto</t>
        </is>
      </c>
      <c r="Q664" s="203" t="inlineStr">
        <is>
          <t>Cronometro</t>
        </is>
      </c>
      <c r="R664" s="203" t="inlineStr">
        <is>
          <t>Foglio Tiri</t>
        </is>
      </c>
    </row>
    <row r="665" ht="22" customHeight="1">
      <c r="A665" s="90">
        <f>IF('Calendario D'!A155="","",'Calendario D'!A155)</f>
        <v/>
      </c>
      <c r="B665" s="61">
        <f>IF('Calendario D'!B155="","",'Calendario D'!B155)</f>
        <v/>
      </c>
      <c r="C665" s="62">
        <f>IF('Calendario D'!C155="","",'Calendario D'!C155)</f>
        <v/>
      </c>
      <c r="D665" s="61">
        <f>IF('Calendario D'!D155="","",'Calendario D'!D155)</f>
        <v/>
      </c>
      <c r="E665" s="62">
        <f>IF('Calendario D'!E155="","",'Calendario D'!E155)</f>
        <v/>
      </c>
      <c r="F665" s="63">
        <f>IF('Calendario D'!F155="","",'Calendario D'!F155)</f>
        <v/>
      </c>
      <c r="G665" s="9" t="n"/>
      <c r="H665" s="9" t="n"/>
      <c r="I665" s="10" t="n"/>
      <c r="J665" s="195">
        <f>IF('Calendario D'!J155="","",'Calendario D'!J155)</f>
        <v/>
      </c>
      <c r="K665" s="64" t="inlineStr">
        <is>
          <t>-</t>
        </is>
      </c>
      <c r="L665" s="195">
        <f>IF('Calendario D'!L155="","",'Calendario D'!L155)</f>
        <v/>
      </c>
      <c r="M665" s="196" t="n"/>
      <c r="N665" s="196" t="n"/>
      <c r="O665" s="196" t="n"/>
      <c r="P665" s="196" t="n"/>
      <c r="Q665" s="196" t="n"/>
      <c r="R665" s="196" t="n"/>
    </row>
    <row r="666" ht="15" customHeight="1">
      <c r="A666" s="141" t="n"/>
      <c r="B666" s="69">
        <f>IF('Calendario D'!B156="","",'Calendario D'!B156)</f>
        <v/>
      </c>
      <c r="C666" s="9" t="n"/>
      <c r="D666" s="9" t="n"/>
      <c r="E666" s="9" t="n"/>
      <c r="F666" s="9" t="n"/>
      <c r="G666" s="9" t="n"/>
      <c r="H666" s="10" t="n"/>
      <c r="I666" s="62">
        <f>IF('Calendario D'!I156="","",'Calendario D'!I156)</f>
        <v/>
      </c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</row>
    <row r="667" ht="14" customHeight="1">
      <c r="A667" s="88" t="inlineStr">
        <is>
          <t>Gara N.</t>
        </is>
      </c>
      <c r="B667" s="88" t="inlineStr">
        <is>
          <t>Squadra A</t>
        </is>
      </c>
      <c r="C667" s="10" t="n"/>
      <c r="D667" s="88" t="inlineStr">
        <is>
          <t>Squadra B</t>
        </is>
      </c>
      <c r="E667" s="10" t="n"/>
      <c r="F667" s="88" t="inlineStr">
        <is>
          <t>Giorno</t>
        </is>
      </c>
      <c r="G667" s="88" t="inlineStr">
        <is>
          <t>Data</t>
        </is>
      </c>
      <c r="H667" s="88" t="inlineStr">
        <is>
          <t>Ora</t>
        </is>
      </c>
      <c r="I667" s="10" t="n"/>
      <c r="J667" s="88" t="inlineStr">
        <is>
          <t>Risultato</t>
        </is>
      </c>
      <c r="K667" s="9" t="n"/>
      <c r="L667" s="10" t="n"/>
      <c r="M667" s="203" t="inlineStr">
        <is>
          <t>1o Arbitro</t>
        </is>
      </c>
      <c r="N667" s="203" t="inlineStr">
        <is>
          <t>2o Arbitro</t>
        </is>
      </c>
      <c r="O667" s="203" t="inlineStr">
        <is>
          <t>3o Arbitro/Tirocinante</t>
        </is>
      </c>
      <c r="P667" s="203" t="inlineStr">
        <is>
          <t>Referto</t>
        </is>
      </c>
      <c r="Q667" s="203" t="inlineStr">
        <is>
          <t>Cronometro</t>
        </is>
      </c>
      <c r="R667" s="203" t="inlineStr">
        <is>
          <t>Foglio Tiri</t>
        </is>
      </c>
    </row>
    <row r="668" ht="22" customHeight="1">
      <c r="A668" s="90">
        <f>IF('Calendario D'!A158="","",'Calendario D'!A158)</f>
        <v/>
      </c>
      <c r="B668" s="61">
        <f>IF('Calendario D'!B158="","",'Calendario D'!B158)</f>
        <v/>
      </c>
      <c r="C668" s="62">
        <f>IF('Calendario D'!C158="","",'Calendario D'!C158)</f>
        <v/>
      </c>
      <c r="D668" s="61">
        <f>IF('Calendario D'!D158="","",'Calendario D'!D158)</f>
        <v/>
      </c>
      <c r="E668" s="62">
        <f>IF('Calendario D'!E158="","",'Calendario D'!E158)</f>
        <v/>
      </c>
      <c r="F668" s="63">
        <f>IF('Calendario D'!F158="","",'Calendario D'!F158)</f>
        <v/>
      </c>
      <c r="G668" s="9" t="n"/>
      <c r="H668" s="9" t="n"/>
      <c r="I668" s="10" t="n"/>
      <c r="J668" s="195">
        <f>IF('Calendario D'!J158="","",'Calendario D'!J158)</f>
        <v/>
      </c>
      <c r="K668" s="64" t="inlineStr">
        <is>
          <t>-</t>
        </is>
      </c>
      <c r="L668" s="195">
        <f>IF('Calendario D'!L158="","",'Calendario D'!L158)</f>
        <v/>
      </c>
      <c r="M668" s="196" t="n"/>
      <c r="N668" s="196" t="n"/>
      <c r="O668" s="196" t="n"/>
      <c r="P668" s="196" t="n"/>
      <c r="Q668" s="196" t="n"/>
      <c r="R668" s="196" t="n"/>
    </row>
    <row r="669" ht="15" customHeight="1">
      <c r="A669" s="141" t="n"/>
      <c r="B669" s="69">
        <f>IF('Calendario D'!B159="","",'Calendario D'!B159)</f>
        <v/>
      </c>
      <c r="C669" s="9" t="n"/>
      <c r="D669" s="9" t="n"/>
      <c r="E669" s="9" t="n"/>
      <c r="F669" s="9" t="n"/>
      <c r="G669" s="9" t="n"/>
      <c r="H669" s="10" t="n"/>
      <c r="I669" s="62">
        <f>IF('Calendario D'!I159="","",'Calendario D'!I159)</f>
        <v/>
      </c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</row>
    <row r="688" ht="20" customHeight="1">
      <c r="A688" s="92">
        <f>IF('Calendario E'!A8="","",'Calendario E'!A8)</f>
        <v/>
      </c>
      <c r="B688" s="93">
        <f>IF('Calendario E'!B8="","",'Calendario E'!B8)</f>
        <v/>
      </c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10" t="n"/>
      <c r="M688" s="204" t="inlineStr">
        <is>
          <t>ARBITRI</t>
        </is>
      </c>
      <c r="N688" s="9" t="n"/>
      <c r="O688" s="10" t="n"/>
      <c r="P688" s="204" t="inlineStr">
        <is>
          <t>UFFICIALI DI CAMPO</t>
        </is>
      </c>
      <c r="Q688" s="9" t="n"/>
      <c r="R688" s="10" t="n"/>
    </row>
    <row r="689" ht="14" customHeight="1">
      <c r="A689" s="95" t="inlineStr">
        <is>
          <t>Gara N.</t>
        </is>
      </c>
      <c r="B689" s="95" t="inlineStr">
        <is>
          <t>Squadra A</t>
        </is>
      </c>
      <c r="C689" s="10" t="n"/>
      <c r="D689" s="95" t="inlineStr">
        <is>
          <t>Squadra B</t>
        </is>
      </c>
      <c r="E689" s="10" t="n"/>
      <c r="F689" s="95" t="inlineStr">
        <is>
          <t>Giorno</t>
        </is>
      </c>
      <c r="G689" s="95" t="inlineStr">
        <is>
          <t>Data</t>
        </is>
      </c>
      <c r="H689" s="95" t="inlineStr">
        <is>
          <t>Ora</t>
        </is>
      </c>
      <c r="I689" s="10" t="n"/>
      <c r="J689" s="95" t="inlineStr">
        <is>
          <t>Risultato</t>
        </is>
      </c>
      <c r="K689" s="9" t="n"/>
      <c r="L689" s="10" t="n"/>
      <c r="M689" s="205" t="inlineStr">
        <is>
          <t>1o Arbitro</t>
        </is>
      </c>
      <c r="N689" s="205" t="inlineStr">
        <is>
          <t>2o Arbitro</t>
        </is>
      </c>
      <c r="O689" s="205" t="inlineStr">
        <is>
          <t>3o Arbitro/Tirocinante</t>
        </is>
      </c>
      <c r="P689" s="205" t="inlineStr">
        <is>
          <t>Referto</t>
        </is>
      </c>
      <c r="Q689" s="205" t="inlineStr">
        <is>
          <t>Cronometro</t>
        </is>
      </c>
      <c r="R689" s="205" t="inlineStr">
        <is>
          <t>Foglio Tiri</t>
        </is>
      </c>
    </row>
    <row r="690" ht="22" customHeight="1">
      <c r="A690" s="97">
        <f>IF('Calendario E'!A10="","",'Calendario E'!A10)</f>
        <v/>
      </c>
      <c r="B690" s="61">
        <f>IF('Calendario E'!B10="","",'Calendario E'!B10)</f>
        <v/>
      </c>
      <c r="C690" s="62">
        <f>IF('Calendario E'!C10="","",'Calendario E'!C10)</f>
        <v/>
      </c>
      <c r="D690" s="61">
        <f>IF('Calendario E'!D10="","",'Calendario E'!D10)</f>
        <v/>
      </c>
      <c r="E690" s="62">
        <f>IF('Calendario E'!E10="","",'Calendario E'!E10)</f>
        <v/>
      </c>
      <c r="F690" s="63">
        <f>IF('Calendario E'!F10="","",'Calendario E'!F10)</f>
        <v/>
      </c>
      <c r="G690" s="9" t="n"/>
      <c r="H690" s="9" t="n"/>
      <c r="I690" s="10" t="n"/>
      <c r="J690" s="195">
        <f>IF('Calendario E'!J10="","",'Calendario E'!J10)</f>
        <v/>
      </c>
      <c r="K690" s="64" t="inlineStr">
        <is>
          <t>-</t>
        </is>
      </c>
      <c r="L690" s="195">
        <f>IF('Calendario E'!L10="","",'Calendario E'!L10)</f>
        <v/>
      </c>
      <c r="M690" s="196" t="n"/>
      <c r="N690" s="196" t="n"/>
      <c r="O690" s="196" t="n"/>
      <c r="P690" s="196" t="n"/>
      <c r="Q690" s="196" t="n"/>
      <c r="R690" s="196" t="n"/>
    </row>
    <row r="691" ht="15" customHeight="1">
      <c r="A691" s="141" t="n"/>
      <c r="B691" s="69">
        <f>IF('Calendario E'!B11="","",'Calendario E'!B11)</f>
        <v/>
      </c>
      <c r="C691" s="9" t="n"/>
      <c r="D691" s="9" t="n"/>
      <c r="E691" s="9" t="n"/>
      <c r="F691" s="9" t="n"/>
      <c r="G691" s="9" t="n"/>
      <c r="H691" s="10" t="n"/>
      <c r="I691" s="62">
        <f>IF('Calendario E'!I11="","",'Calendario E'!I11)</f>
        <v/>
      </c>
      <c r="J691" s="141" t="n"/>
      <c r="K691" s="141" t="n"/>
      <c r="L691" s="141" t="n"/>
      <c r="M691" s="141" t="n"/>
      <c r="N691" s="141" t="n"/>
      <c r="O691" s="141" t="n"/>
      <c r="P691" s="141" t="n"/>
      <c r="Q691" s="141" t="n"/>
      <c r="R691" s="141" t="n"/>
    </row>
    <row r="692" ht="14" customHeight="1">
      <c r="A692" s="95" t="inlineStr">
        <is>
          <t>Gara N.</t>
        </is>
      </c>
      <c r="B692" s="95" t="inlineStr">
        <is>
          <t>Squadra A</t>
        </is>
      </c>
      <c r="C692" s="10" t="n"/>
      <c r="D692" s="95" t="inlineStr">
        <is>
          <t>Squadra B</t>
        </is>
      </c>
      <c r="E692" s="10" t="n"/>
      <c r="F692" s="95" t="inlineStr">
        <is>
          <t>Giorno</t>
        </is>
      </c>
      <c r="G692" s="95" t="inlineStr">
        <is>
          <t>Data</t>
        </is>
      </c>
      <c r="H692" s="95" t="inlineStr">
        <is>
          <t>Ora</t>
        </is>
      </c>
      <c r="I692" s="10" t="n"/>
      <c r="J692" s="95" t="inlineStr">
        <is>
          <t>Risultato</t>
        </is>
      </c>
      <c r="K692" s="9" t="n"/>
      <c r="L692" s="10" t="n"/>
      <c r="M692" s="205" t="inlineStr">
        <is>
          <t>1o Arbitro</t>
        </is>
      </c>
      <c r="N692" s="205" t="inlineStr">
        <is>
          <t>2o Arbitro</t>
        </is>
      </c>
      <c r="O692" s="205" t="inlineStr">
        <is>
          <t>3o Arbitro/Tirocinante</t>
        </is>
      </c>
      <c r="P692" s="205" t="inlineStr">
        <is>
          <t>Referto</t>
        </is>
      </c>
      <c r="Q692" s="205" t="inlineStr">
        <is>
          <t>Cronometro</t>
        </is>
      </c>
      <c r="R692" s="205" t="inlineStr">
        <is>
          <t>Foglio Tiri</t>
        </is>
      </c>
    </row>
    <row r="693" ht="22" customHeight="1">
      <c r="A693" s="97">
        <f>IF('Calendario E'!A13="","",'Calendario E'!A13)</f>
        <v/>
      </c>
      <c r="B693" s="61">
        <f>IF('Calendario E'!B13="","",'Calendario E'!B13)</f>
        <v/>
      </c>
      <c r="C693" s="62">
        <f>IF('Calendario E'!C13="","",'Calendario E'!C13)</f>
        <v/>
      </c>
      <c r="D693" s="61">
        <f>IF('Calendario E'!D13="","",'Calendario E'!D13)</f>
        <v/>
      </c>
      <c r="E693" s="62">
        <f>IF('Calendario E'!E13="","",'Calendario E'!E13)</f>
        <v/>
      </c>
      <c r="F693" s="63">
        <f>IF('Calendario E'!F13="","",'Calendario E'!F13)</f>
        <v/>
      </c>
      <c r="G693" s="9" t="n"/>
      <c r="H693" s="9" t="n"/>
      <c r="I693" s="10" t="n"/>
      <c r="J693" s="195">
        <f>IF('Calendario E'!J13="","",'Calendario E'!J13)</f>
        <v/>
      </c>
      <c r="K693" s="64" t="inlineStr">
        <is>
          <t>-</t>
        </is>
      </c>
      <c r="L693" s="195">
        <f>IF('Calendario E'!L13="","",'Calendario E'!L13)</f>
        <v/>
      </c>
      <c r="M693" s="196" t="n"/>
      <c r="N693" s="196" t="n"/>
      <c r="O693" s="196" t="n"/>
      <c r="P693" s="196" t="n"/>
      <c r="Q693" s="196" t="n"/>
      <c r="R693" s="196" t="n"/>
    </row>
    <row r="694" ht="15" customHeight="1">
      <c r="A694" s="141" t="n"/>
      <c r="B694" s="69">
        <f>IF('Calendario E'!B14="","",'Calendario E'!B14)</f>
        <v/>
      </c>
      <c r="C694" s="9" t="n"/>
      <c r="D694" s="9" t="n"/>
      <c r="E694" s="9" t="n"/>
      <c r="F694" s="9" t="n"/>
      <c r="G694" s="9" t="n"/>
      <c r="H694" s="10" t="n"/>
      <c r="I694" s="62">
        <f>IF('Calendario E'!I14="","",'Calendario E'!I14)</f>
        <v/>
      </c>
      <c r="J694" s="141" t="n"/>
      <c r="K694" s="141" t="n"/>
      <c r="L694" s="141" t="n"/>
      <c r="M694" s="141" t="n"/>
      <c r="N694" s="141" t="n"/>
      <c r="O694" s="141" t="n"/>
      <c r="P694" s="141" t="n"/>
      <c r="Q694" s="141" t="n"/>
      <c r="R694" s="141" t="n"/>
    </row>
    <row r="695" ht="14" customHeight="1">
      <c r="A695" s="95" t="inlineStr">
        <is>
          <t>Gara N.</t>
        </is>
      </c>
      <c r="B695" s="95" t="inlineStr">
        <is>
          <t>Squadra A</t>
        </is>
      </c>
      <c r="C695" s="10" t="n"/>
      <c r="D695" s="95" t="inlineStr">
        <is>
          <t>Squadra B</t>
        </is>
      </c>
      <c r="E695" s="10" t="n"/>
      <c r="F695" s="95" t="inlineStr">
        <is>
          <t>Giorno</t>
        </is>
      </c>
      <c r="G695" s="95" t="inlineStr">
        <is>
          <t>Data</t>
        </is>
      </c>
      <c r="H695" s="95" t="inlineStr">
        <is>
          <t>Ora</t>
        </is>
      </c>
      <c r="I695" s="10" t="n"/>
      <c r="J695" s="95" t="inlineStr">
        <is>
          <t>Risultato</t>
        </is>
      </c>
      <c r="K695" s="9" t="n"/>
      <c r="L695" s="10" t="n"/>
      <c r="M695" s="205" t="inlineStr">
        <is>
          <t>1o Arbitro</t>
        </is>
      </c>
      <c r="N695" s="205" t="inlineStr">
        <is>
          <t>2o Arbitro</t>
        </is>
      </c>
      <c r="O695" s="205" t="inlineStr">
        <is>
          <t>3o Arbitro/Tirocinante</t>
        </is>
      </c>
      <c r="P695" s="205" t="inlineStr">
        <is>
          <t>Referto</t>
        </is>
      </c>
      <c r="Q695" s="205" t="inlineStr">
        <is>
          <t>Cronometro</t>
        </is>
      </c>
      <c r="R695" s="205" t="inlineStr">
        <is>
          <t>Foglio Tiri</t>
        </is>
      </c>
    </row>
    <row r="696" ht="22" customHeight="1">
      <c r="A696" s="97">
        <f>IF('Calendario E'!A16="","",'Calendario E'!A16)</f>
        <v/>
      </c>
      <c r="B696" s="61">
        <f>IF('Calendario E'!B16="","",'Calendario E'!B16)</f>
        <v/>
      </c>
      <c r="C696" s="62">
        <f>IF('Calendario E'!C16="","",'Calendario E'!C16)</f>
        <v/>
      </c>
      <c r="D696" s="61">
        <f>IF('Calendario E'!D16="","",'Calendario E'!D16)</f>
        <v/>
      </c>
      <c r="E696" s="62">
        <f>IF('Calendario E'!E16="","",'Calendario E'!E16)</f>
        <v/>
      </c>
      <c r="F696" s="63">
        <f>IF('Calendario E'!F16="","",'Calendario E'!F16)</f>
        <v/>
      </c>
      <c r="G696" s="9" t="n"/>
      <c r="H696" s="9" t="n"/>
      <c r="I696" s="10" t="n"/>
      <c r="J696" s="195">
        <f>IF('Calendario E'!J16="","",'Calendario E'!J16)</f>
        <v/>
      </c>
      <c r="K696" s="64" t="inlineStr">
        <is>
          <t>-</t>
        </is>
      </c>
      <c r="L696" s="195">
        <f>IF('Calendario E'!L16="","",'Calendario E'!L16)</f>
        <v/>
      </c>
      <c r="M696" s="196" t="n"/>
      <c r="N696" s="196" t="n"/>
      <c r="O696" s="196" t="n"/>
      <c r="P696" s="196" t="n"/>
      <c r="Q696" s="196" t="n"/>
      <c r="R696" s="196" t="n"/>
    </row>
    <row r="697" ht="15" customHeight="1">
      <c r="A697" s="141" t="n"/>
      <c r="B697" s="69">
        <f>IF('Calendario E'!B17="","",'Calendario E'!B17)</f>
        <v/>
      </c>
      <c r="C697" s="9" t="n"/>
      <c r="D697" s="9" t="n"/>
      <c r="E697" s="9" t="n"/>
      <c r="F697" s="9" t="n"/>
      <c r="G697" s="9" t="n"/>
      <c r="H697" s="10" t="n"/>
      <c r="I697" s="62">
        <f>IF('Calendario E'!I17="","",'Calendario E'!I17)</f>
        <v/>
      </c>
      <c r="J697" s="141" t="n"/>
      <c r="K697" s="141" t="n"/>
      <c r="L697" s="141" t="n"/>
      <c r="M697" s="141" t="n"/>
      <c r="N697" s="141" t="n"/>
      <c r="O697" s="141" t="n"/>
      <c r="P697" s="141" t="n"/>
      <c r="Q697" s="141" t="n"/>
      <c r="R697" s="141" t="n"/>
    </row>
    <row r="698" ht="14" customHeight="1">
      <c r="A698" s="95" t="inlineStr">
        <is>
          <t>Gara N.</t>
        </is>
      </c>
      <c r="B698" s="95" t="inlineStr">
        <is>
          <t>Squadra A</t>
        </is>
      </c>
      <c r="C698" s="10" t="n"/>
      <c r="D698" s="95" t="inlineStr">
        <is>
          <t>Squadra B</t>
        </is>
      </c>
      <c r="E698" s="10" t="n"/>
      <c r="F698" s="95" t="inlineStr">
        <is>
          <t>Giorno</t>
        </is>
      </c>
      <c r="G698" s="95" t="inlineStr">
        <is>
          <t>Data</t>
        </is>
      </c>
      <c r="H698" s="95" t="inlineStr">
        <is>
          <t>Ora</t>
        </is>
      </c>
      <c r="I698" s="10" t="n"/>
      <c r="J698" s="95" t="inlineStr">
        <is>
          <t>Risultato</t>
        </is>
      </c>
      <c r="K698" s="9" t="n"/>
      <c r="L698" s="10" t="n"/>
      <c r="M698" s="205" t="inlineStr">
        <is>
          <t>1o Arbitro</t>
        </is>
      </c>
      <c r="N698" s="205" t="inlineStr">
        <is>
          <t>2o Arbitro</t>
        </is>
      </c>
      <c r="O698" s="205" t="inlineStr">
        <is>
          <t>3o Arbitro/Tirocinante</t>
        </is>
      </c>
      <c r="P698" s="205" t="inlineStr">
        <is>
          <t>Referto</t>
        </is>
      </c>
      <c r="Q698" s="205" t="inlineStr">
        <is>
          <t>Cronometro</t>
        </is>
      </c>
      <c r="R698" s="205" t="inlineStr">
        <is>
          <t>Foglio Tiri</t>
        </is>
      </c>
    </row>
    <row r="699" ht="22" customHeight="1">
      <c r="A699" s="97">
        <f>IF('Calendario E'!A19="","",'Calendario E'!A19)</f>
        <v/>
      </c>
      <c r="B699" s="61">
        <f>IF('Calendario E'!B19="","",'Calendario E'!B19)</f>
        <v/>
      </c>
      <c r="C699" s="62">
        <f>IF('Calendario E'!C19="","",'Calendario E'!C19)</f>
        <v/>
      </c>
      <c r="D699" s="61">
        <f>IF('Calendario E'!D19="","",'Calendario E'!D19)</f>
        <v/>
      </c>
      <c r="E699" s="62">
        <f>IF('Calendario E'!E19="","",'Calendario E'!E19)</f>
        <v/>
      </c>
      <c r="F699" s="63">
        <f>IF('Calendario E'!F19="","",'Calendario E'!F19)</f>
        <v/>
      </c>
      <c r="G699" s="9" t="n"/>
      <c r="H699" s="9" t="n"/>
      <c r="I699" s="10" t="n"/>
      <c r="J699" s="195">
        <f>IF('Calendario E'!J19="","",'Calendario E'!J19)</f>
        <v/>
      </c>
      <c r="K699" s="64" t="inlineStr">
        <is>
          <t>-</t>
        </is>
      </c>
      <c r="L699" s="195">
        <f>IF('Calendario E'!L19="","",'Calendario E'!L19)</f>
        <v/>
      </c>
      <c r="M699" s="196" t="n"/>
      <c r="N699" s="196" t="n"/>
      <c r="O699" s="196" t="n"/>
      <c r="P699" s="196" t="n"/>
      <c r="Q699" s="196" t="n"/>
      <c r="R699" s="196" t="n"/>
    </row>
    <row r="700" ht="15" customHeight="1">
      <c r="A700" s="141" t="n"/>
      <c r="B700" s="69">
        <f>IF('Calendario E'!B20="","",'Calendario E'!B20)</f>
        <v/>
      </c>
      <c r="C700" s="9" t="n"/>
      <c r="D700" s="9" t="n"/>
      <c r="E700" s="9" t="n"/>
      <c r="F700" s="9" t="n"/>
      <c r="G700" s="9" t="n"/>
      <c r="H700" s="10" t="n"/>
      <c r="I700" s="62">
        <f>IF('Calendario E'!I20="","",'Calendario E'!I20)</f>
        <v/>
      </c>
      <c r="J700" s="141" t="n"/>
      <c r="K700" s="141" t="n"/>
      <c r="L700" s="141" t="n"/>
      <c r="M700" s="141" t="n"/>
      <c r="N700" s="141" t="n"/>
      <c r="O700" s="141" t="n"/>
      <c r="P700" s="141" t="n"/>
      <c r="Q700" s="141" t="n"/>
      <c r="R700" s="141" t="n"/>
    </row>
    <row r="701" ht="14" customHeight="1">
      <c r="A701" s="95" t="inlineStr">
        <is>
          <t>Gara N.</t>
        </is>
      </c>
      <c r="B701" s="95" t="inlineStr">
        <is>
          <t>Squadra A</t>
        </is>
      </c>
      <c r="C701" s="10" t="n"/>
      <c r="D701" s="95" t="inlineStr">
        <is>
          <t>Squadra B</t>
        </is>
      </c>
      <c r="E701" s="10" t="n"/>
      <c r="F701" s="95" t="inlineStr">
        <is>
          <t>Giorno</t>
        </is>
      </c>
      <c r="G701" s="95" t="inlineStr">
        <is>
          <t>Data</t>
        </is>
      </c>
      <c r="H701" s="95" t="inlineStr">
        <is>
          <t>Ora</t>
        </is>
      </c>
      <c r="I701" s="10" t="n"/>
      <c r="J701" s="95" t="inlineStr">
        <is>
          <t>Risultato</t>
        </is>
      </c>
      <c r="K701" s="9" t="n"/>
      <c r="L701" s="10" t="n"/>
      <c r="M701" s="205" t="inlineStr">
        <is>
          <t>1o Arbitro</t>
        </is>
      </c>
      <c r="N701" s="205" t="inlineStr">
        <is>
          <t>2o Arbitro</t>
        </is>
      </c>
      <c r="O701" s="205" t="inlineStr">
        <is>
          <t>3o Arbitro/Tirocinante</t>
        </is>
      </c>
      <c r="P701" s="205" t="inlineStr">
        <is>
          <t>Referto</t>
        </is>
      </c>
      <c r="Q701" s="205" t="inlineStr">
        <is>
          <t>Cronometro</t>
        </is>
      </c>
      <c r="R701" s="205" t="inlineStr">
        <is>
          <t>Foglio Tiri</t>
        </is>
      </c>
    </row>
    <row r="702" ht="22" customHeight="1">
      <c r="A702" s="97">
        <f>IF('Calendario E'!A22="","",'Calendario E'!A22)</f>
        <v/>
      </c>
      <c r="B702" s="61">
        <f>IF('Calendario E'!B22="","",'Calendario E'!B22)</f>
        <v/>
      </c>
      <c r="C702" s="62">
        <f>IF('Calendario E'!C22="","",'Calendario E'!C22)</f>
        <v/>
      </c>
      <c r="D702" s="61">
        <f>IF('Calendario E'!D22="","",'Calendario E'!D22)</f>
        <v/>
      </c>
      <c r="E702" s="62">
        <f>IF('Calendario E'!E22="","",'Calendario E'!E22)</f>
        <v/>
      </c>
      <c r="F702" s="63">
        <f>IF('Calendario E'!F22="","",'Calendario E'!F22)</f>
        <v/>
      </c>
      <c r="G702" s="9" t="n"/>
      <c r="H702" s="9" t="n"/>
      <c r="I702" s="10" t="n"/>
      <c r="J702" s="195">
        <f>IF('Calendario E'!J22="","",'Calendario E'!J22)</f>
        <v/>
      </c>
      <c r="K702" s="64" t="inlineStr">
        <is>
          <t>-</t>
        </is>
      </c>
      <c r="L702" s="195">
        <f>IF('Calendario E'!L22="","",'Calendario E'!L22)</f>
        <v/>
      </c>
      <c r="M702" s="196" t="n"/>
      <c r="N702" s="196" t="n"/>
      <c r="O702" s="196" t="n"/>
      <c r="P702" s="196" t="n"/>
      <c r="Q702" s="196" t="n"/>
      <c r="R702" s="196" t="n"/>
    </row>
    <row r="703" ht="15" customHeight="1">
      <c r="A703" s="141" t="n"/>
      <c r="B703" s="69">
        <f>IF('Calendario E'!B23="","",'Calendario E'!B23)</f>
        <v/>
      </c>
      <c r="C703" s="9" t="n"/>
      <c r="D703" s="9" t="n"/>
      <c r="E703" s="9" t="n"/>
      <c r="F703" s="9" t="n"/>
      <c r="G703" s="9" t="n"/>
      <c r="H703" s="10" t="n"/>
      <c r="I703" s="62">
        <f>IF('Calendario E'!I23="","",'Calendario E'!I23)</f>
        <v/>
      </c>
      <c r="J703" s="141" t="n"/>
      <c r="K703" s="141" t="n"/>
      <c r="L703" s="141" t="n"/>
      <c r="M703" s="141" t="n"/>
      <c r="N703" s="141" t="n"/>
      <c r="O703" s="141" t="n"/>
      <c r="P703" s="141" t="n"/>
      <c r="Q703" s="141" t="n"/>
      <c r="R703" s="141" t="n"/>
    </row>
    <row r="705" ht="20" customHeight="1">
      <c r="A705" s="92">
        <f>IF('Calendario E'!A25="","",'Calendario E'!A25)</f>
        <v/>
      </c>
      <c r="B705" s="93">
        <f>IF('Calendario E'!B25="","",'Calendario E'!B25)</f>
        <v/>
      </c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10" t="n"/>
      <c r="M705" s="204" t="inlineStr">
        <is>
          <t>ARBITRI</t>
        </is>
      </c>
      <c r="N705" s="9" t="n"/>
      <c r="O705" s="10" t="n"/>
      <c r="P705" s="204" t="inlineStr">
        <is>
          <t>UFFICIALI DI CAMPO</t>
        </is>
      </c>
      <c r="Q705" s="9" t="n"/>
      <c r="R705" s="10" t="n"/>
    </row>
    <row r="706" ht="14" customHeight="1">
      <c r="A706" s="95" t="inlineStr">
        <is>
          <t>Gara N.</t>
        </is>
      </c>
      <c r="B706" s="95" t="inlineStr">
        <is>
          <t>Squadra A</t>
        </is>
      </c>
      <c r="C706" s="10" t="n"/>
      <c r="D706" s="95" t="inlineStr">
        <is>
          <t>Squadra B</t>
        </is>
      </c>
      <c r="E706" s="10" t="n"/>
      <c r="F706" s="95" t="inlineStr">
        <is>
          <t>Giorno</t>
        </is>
      </c>
      <c r="G706" s="95" t="inlineStr">
        <is>
          <t>Data</t>
        </is>
      </c>
      <c r="H706" s="95" t="inlineStr">
        <is>
          <t>Ora</t>
        </is>
      </c>
      <c r="I706" s="10" t="n"/>
      <c r="J706" s="95" t="inlineStr">
        <is>
          <t>Risultato</t>
        </is>
      </c>
      <c r="K706" s="9" t="n"/>
      <c r="L706" s="10" t="n"/>
      <c r="M706" s="205" t="inlineStr">
        <is>
          <t>1o Arbitro</t>
        </is>
      </c>
      <c r="N706" s="205" t="inlineStr">
        <is>
          <t>2o Arbitro</t>
        </is>
      </c>
      <c r="O706" s="205" t="inlineStr">
        <is>
          <t>3o Arbitro/Tirocinante</t>
        </is>
      </c>
      <c r="P706" s="205" t="inlineStr">
        <is>
          <t>Referto</t>
        </is>
      </c>
      <c r="Q706" s="205" t="inlineStr">
        <is>
          <t>Cronometro</t>
        </is>
      </c>
      <c r="R706" s="205" t="inlineStr">
        <is>
          <t>Foglio Tiri</t>
        </is>
      </c>
    </row>
    <row r="707" ht="22" customHeight="1">
      <c r="A707" s="97">
        <f>IF('Calendario E'!A27="","",'Calendario E'!A27)</f>
        <v/>
      </c>
      <c r="B707" s="61">
        <f>IF('Calendario E'!B27="","",'Calendario E'!B27)</f>
        <v/>
      </c>
      <c r="C707" s="62">
        <f>IF('Calendario E'!C27="","",'Calendario E'!C27)</f>
        <v/>
      </c>
      <c r="D707" s="61">
        <f>IF('Calendario E'!D27="","",'Calendario E'!D27)</f>
        <v/>
      </c>
      <c r="E707" s="62">
        <f>IF('Calendario E'!E27="","",'Calendario E'!E27)</f>
        <v/>
      </c>
      <c r="F707" s="63">
        <f>IF('Calendario E'!F27="","",'Calendario E'!F27)</f>
        <v/>
      </c>
      <c r="G707" s="9" t="n"/>
      <c r="H707" s="9" t="n"/>
      <c r="I707" s="10" t="n"/>
      <c r="J707" s="195">
        <f>IF('Calendario E'!J27="","",'Calendario E'!J27)</f>
        <v/>
      </c>
      <c r="K707" s="64" t="inlineStr">
        <is>
          <t>-</t>
        </is>
      </c>
      <c r="L707" s="195">
        <f>IF('Calendario E'!L27="","",'Calendario E'!L27)</f>
        <v/>
      </c>
      <c r="M707" s="196" t="n"/>
      <c r="N707" s="196" t="n"/>
      <c r="O707" s="196" t="n"/>
      <c r="P707" s="196" t="n"/>
      <c r="Q707" s="196" t="n"/>
      <c r="R707" s="196" t="n"/>
    </row>
    <row r="708" ht="15" customHeight="1">
      <c r="A708" s="141" t="n"/>
      <c r="B708" s="69">
        <f>IF('Calendario E'!B28="","",'Calendario E'!B28)</f>
        <v/>
      </c>
      <c r="C708" s="9" t="n"/>
      <c r="D708" s="9" t="n"/>
      <c r="E708" s="9" t="n"/>
      <c r="F708" s="9" t="n"/>
      <c r="G708" s="9" t="n"/>
      <c r="H708" s="10" t="n"/>
      <c r="I708" s="62">
        <f>IF('Calendario E'!I28="","",'Calendario E'!I28)</f>
        <v/>
      </c>
      <c r="J708" s="141" t="n"/>
      <c r="K708" s="141" t="n"/>
      <c r="L708" s="141" t="n"/>
      <c r="M708" s="141" t="n"/>
      <c r="N708" s="141" t="n"/>
      <c r="O708" s="141" t="n"/>
      <c r="P708" s="141" t="n"/>
      <c r="Q708" s="141" t="n"/>
      <c r="R708" s="141" t="n"/>
    </row>
    <row r="709" ht="14" customHeight="1">
      <c r="A709" s="95" t="inlineStr">
        <is>
          <t>Gara N.</t>
        </is>
      </c>
      <c r="B709" s="95" t="inlineStr">
        <is>
          <t>Squadra A</t>
        </is>
      </c>
      <c r="C709" s="10" t="n"/>
      <c r="D709" s="95" t="inlineStr">
        <is>
          <t>Squadra B</t>
        </is>
      </c>
      <c r="E709" s="10" t="n"/>
      <c r="F709" s="95" t="inlineStr">
        <is>
          <t>Giorno</t>
        </is>
      </c>
      <c r="G709" s="95" t="inlineStr">
        <is>
          <t>Data</t>
        </is>
      </c>
      <c r="H709" s="95" t="inlineStr">
        <is>
          <t>Ora</t>
        </is>
      </c>
      <c r="I709" s="10" t="n"/>
      <c r="J709" s="95" t="inlineStr">
        <is>
          <t>Risultato</t>
        </is>
      </c>
      <c r="K709" s="9" t="n"/>
      <c r="L709" s="10" t="n"/>
      <c r="M709" s="205" t="inlineStr">
        <is>
          <t>1o Arbitro</t>
        </is>
      </c>
      <c r="N709" s="205" t="inlineStr">
        <is>
          <t>2o Arbitro</t>
        </is>
      </c>
      <c r="O709" s="205" t="inlineStr">
        <is>
          <t>3o Arbitro/Tirocinante</t>
        </is>
      </c>
      <c r="P709" s="205" t="inlineStr">
        <is>
          <t>Referto</t>
        </is>
      </c>
      <c r="Q709" s="205" t="inlineStr">
        <is>
          <t>Cronometro</t>
        </is>
      </c>
      <c r="R709" s="205" t="inlineStr">
        <is>
          <t>Foglio Tiri</t>
        </is>
      </c>
    </row>
    <row r="710" ht="22" customHeight="1">
      <c r="A710" s="97">
        <f>IF('Calendario E'!A30="","",'Calendario E'!A30)</f>
        <v/>
      </c>
      <c r="B710" s="61">
        <f>IF('Calendario E'!B30="","",'Calendario E'!B30)</f>
        <v/>
      </c>
      <c r="C710" s="62">
        <f>IF('Calendario E'!C30="","",'Calendario E'!C30)</f>
        <v/>
      </c>
      <c r="D710" s="61">
        <f>IF('Calendario E'!D30="","",'Calendario E'!D30)</f>
        <v/>
      </c>
      <c r="E710" s="62">
        <f>IF('Calendario E'!E30="","",'Calendario E'!E30)</f>
        <v/>
      </c>
      <c r="F710" s="63">
        <f>IF('Calendario E'!F30="","",'Calendario E'!F30)</f>
        <v/>
      </c>
      <c r="G710" s="9" t="n"/>
      <c r="H710" s="9" t="n"/>
      <c r="I710" s="10" t="n"/>
      <c r="J710" s="195">
        <f>IF('Calendario E'!J30="","",'Calendario E'!J30)</f>
        <v/>
      </c>
      <c r="K710" s="64" t="inlineStr">
        <is>
          <t>-</t>
        </is>
      </c>
      <c r="L710" s="195">
        <f>IF('Calendario E'!L30="","",'Calendario E'!L30)</f>
        <v/>
      </c>
      <c r="M710" s="196" t="n"/>
      <c r="N710" s="196" t="n"/>
      <c r="O710" s="196" t="n"/>
      <c r="P710" s="196" t="n"/>
      <c r="Q710" s="196" t="n"/>
      <c r="R710" s="196" t="n"/>
    </row>
    <row r="711" ht="15" customHeight="1">
      <c r="A711" s="141" t="n"/>
      <c r="B711" s="69">
        <f>IF('Calendario E'!B31="","",'Calendario E'!B31)</f>
        <v/>
      </c>
      <c r="C711" s="9" t="n"/>
      <c r="D711" s="9" t="n"/>
      <c r="E711" s="9" t="n"/>
      <c r="F711" s="9" t="n"/>
      <c r="G711" s="9" t="n"/>
      <c r="H711" s="10" t="n"/>
      <c r="I711" s="62">
        <f>IF('Calendario E'!I31="","",'Calendario E'!I31)</f>
        <v/>
      </c>
      <c r="J711" s="141" t="n"/>
      <c r="K711" s="141" t="n"/>
      <c r="L711" s="141" t="n"/>
      <c r="M711" s="141" t="n"/>
      <c r="N711" s="141" t="n"/>
      <c r="O711" s="141" t="n"/>
      <c r="P711" s="141" t="n"/>
      <c r="Q711" s="141" t="n"/>
      <c r="R711" s="141" t="n"/>
    </row>
    <row r="712" ht="14" customHeight="1">
      <c r="A712" s="95" t="inlineStr">
        <is>
          <t>Gara N.</t>
        </is>
      </c>
      <c r="B712" s="95" t="inlineStr">
        <is>
          <t>Squadra A</t>
        </is>
      </c>
      <c r="C712" s="10" t="n"/>
      <c r="D712" s="95" t="inlineStr">
        <is>
          <t>Squadra B</t>
        </is>
      </c>
      <c r="E712" s="10" t="n"/>
      <c r="F712" s="95" t="inlineStr">
        <is>
          <t>Giorno</t>
        </is>
      </c>
      <c r="G712" s="95" t="inlineStr">
        <is>
          <t>Data</t>
        </is>
      </c>
      <c r="H712" s="95" t="inlineStr">
        <is>
          <t>Ora</t>
        </is>
      </c>
      <c r="I712" s="10" t="n"/>
      <c r="J712" s="95" t="inlineStr">
        <is>
          <t>Risultato</t>
        </is>
      </c>
      <c r="K712" s="9" t="n"/>
      <c r="L712" s="10" t="n"/>
      <c r="M712" s="205" t="inlineStr">
        <is>
          <t>1o Arbitro</t>
        </is>
      </c>
      <c r="N712" s="205" t="inlineStr">
        <is>
          <t>2o Arbitro</t>
        </is>
      </c>
      <c r="O712" s="205" t="inlineStr">
        <is>
          <t>3o Arbitro/Tirocinante</t>
        </is>
      </c>
      <c r="P712" s="205" t="inlineStr">
        <is>
          <t>Referto</t>
        </is>
      </c>
      <c r="Q712" s="205" t="inlineStr">
        <is>
          <t>Cronometro</t>
        </is>
      </c>
      <c r="R712" s="205" t="inlineStr">
        <is>
          <t>Foglio Tiri</t>
        </is>
      </c>
    </row>
    <row r="713" ht="22" customHeight="1">
      <c r="A713" s="97">
        <f>IF('Calendario E'!A33="","",'Calendario E'!A33)</f>
        <v/>
      </c>
      <c r="B713" s="61">
        <f>IF('Calendario E'!B33="","",'Calendario E'!B33)</f>
        <v/>
      </c>
      <c r="C713" s="62">
        <f>IF('Calendario E'!C33="","",'Calendario E'!C33)</f>
        <v/>
      </c>
      <c r="D713" s="61">
        <f>IF('Calendario E'!D33="","",'Calendario E'!D33)</f>
        <v/>
      </c>
      <c r="E713" s="62">
        <f>IF('Calendario E'!E33="","",'Calendario E'!E33)</f>
        <v/>
      </c>
      <c r="F713" s="63">
        <f>IF('Calendario E'!F33="","",'Calendario E'!F33)</f>
        <v/>
      </c>
      <c r="G713" s="9" t="n"/>
      <c r="H713" s="9" t="n"/>
      <c r="I713" s="10" t="n"/>
      <c r="J713" s="195">
        <f>IF('Calendario E'!J33="","",'Calendario E'!J33)</f>
        <v/>
      </c>
      <c r="K713" s="64" t="inlineStr">
        <is>
          <t>-</t>
        </is>
      </c>
      <c r="L713" s="195">
        <f>IF('Calendario E'!L33="","",'Calendario E'!L33)</f>
        <v/>
      </c>
      <c r="M713" s="196" t="n"/>
      <c r="N713" s="196" t="n"/>
      <c r="O713" s="196" t="n"/>
      <c r="P713" s="196" t="n"/>
      <c r="Q713" s="196" t="n"/>
      <c r="R713" s="196" t="n"/>
    </row>
    <row r="714" ht="15" customHeight="1">
      <c r="A714" s="141" t="n"/>
      <c r="B714" s="69">
        <f>IF('Calendario E'!B34="","",'Calendario E'!B34)</f>
        <v/>
      </c>
      <c r="C714" s="9" t="n"/>
      <c r="D714" s="9" t="n"/>
      <c r="E714" s="9" t="n"/>
      <c r="F714" s="9" t="n"/>
      <c r="G714" s="9" t="n"/>
      <c r="H714" s="10" t="n"/>
      <c r="I714" s="62">
        <f>IF('Calendario E'!I34="","",'Calendario E'!I34)</f>
        <v/>
      </c>
      <c r="J714" s="141" t="n"/>
      <c r="K714" s="141" t="n"/>
      <c r="L714" s="141" t="n"/>
      <c r="M714" s="141" t="n"/>
      <c r="N714" s="141" t="n"/>
      <c r="O714" s="141" t="n"/>
      <c r="P714" s="141" t="n"/>
      <c r="Q714" s="141" t="n"/>
      <c r="R714" s="141" t="n"/>
    </row>
    <row r="715" ht="14" customHeight="1">
      <c r="A715" s="95" t="inlineStr">
        <is>
          <t>Gara N.</t>
        </is>
      </c>
      <c r="B715" s="95" t="inlineStr">
        <is>
          <t>Squadra A</t>
        </is>
      </c>
      <c r="C715" s="10" t="n"/>
      <c r="D715" s="95" t="inlineStr">
        <is>
          <t>Squadra B</t>
        </is>
      </c>
      <c r="E715" s="10" t="n"/>
      <c r="F715" s="95" t="inlineStr">
        <is>
          <t>Giorno</t>
        </is>
      </c>
      <c r="G715" s="95" t="inlineStr">
        <is>
          <t>Data</t>
        </is>
      </c>
      <c r="H715" s="95" t="inlineStr">
        <is>
          <t>Ora</t>
        </is>
      </c>
      <c r="I715" s="10" t="n"/>
      <c r="J715" s="95" t="inlineStr">
        <is>
          <t>Risultato</t>
        </is>
      </c>
      <c r="K715" s="9" t="n"/>
      <c r="L715" s="10" t="n"/>
      <c r="M715" s="205" t="inlineStr">
        <is>
          <t>1o Arbitro</t>
        </is>
      </c>
      <c r="N715" s="205" t="inlineStr">
        <is>
          <t>2o Arbitro</t>
        </is>
      </c>
      <c r="O715" s="205" t="inlineStr">
        <is>
          <t>3o Arbitro/Tirocinante</t>
        </is>
      </c>
      <c r="P715" s="205" t="inlineStr">
        <is>
          <t>Referto</t>
        </is>
      </c>
      <c r="Q715" s="205" t="inlineStr">
        <is>
          <t>Cronometro</t>
        </is>
      </c>
      <c r="R715" s="205" t="inlineStr">
        <is>
          <t>Foglio Tiri</t>
        </is>
      </c>
    </row>
    <row r="716" ht="22" customHeight="1">
      <c r="A716" s="97">
        <f>IF('Calendario E'!A36="","",'Calendario E'!A36)</f>
        <v/>
      </c>
      <c r="B716" s="61">
        <f>IF('Calendario E'!B36="","",'Calendario E'!B36)</f>
        <v/>
      </c>
      <c r="C716" s="62">
        <f>IF('Calendario E'!C36="","",'Calendario E'!C36)</f>
        <v/>
      </c>
      <c r="D716" s="61">
        <f>IF('Calendario E'!D36="","",'Calendario E'!D36)</f>
        <v/>
      </c>
      <c r="E716" s="62">
        <f>IF('Calendario E'!E36="","",'Calendario E'!E36)</f>
        <v/>
      </c>
      <c r="F716" s="63">
        <f>IF('Calendario E'!F36="","",'Calendario E'!F36)</f>
        <v/>
      </c>
      <c r="G716" s="9" t="n"/>
      <c r="H716" s="9" t="n"/>
      <c r="I716" s="10" t="n"/>
      <c r="J716" s="195">
        <f>IF('Calendario E'!J36="","",'Calendario E'!J36)</f>
        <v/>
      </c>
      <c r="K716" s="64" t="inlineStr">
        <is>
          <t>-</t>
        </is>
      </c>
      <c r="L716" s="195">
        <f>IF('Calendario E'!L36="","",'Calendario E'!L36)</f>
        <v/>
      </c>
      <c r="M716" s="196" t="n"/>
      <c r="N716" s="196" t="n"/>
      <c r="O716" s="196" t="n"/>
      <c r="P716" s="196" t="n"/>
      <c r="Q716" s="196" t="n"/>
      <c r="R716" s="196" t="n"/>
    </row>
    <row r="717" ht="15" customHeight="1">
      <c r="A717" s="141" t="n"/>
      <c r="B717" s="69">
        <f>IF('Calendario E'!B37="","",'Calendario E'!B37)</f>
        <v/>
      </c>
      <c r="C717" s="9" t="n"/>
      <c r="D717" s="9" t="n"/>
      <c r="E717" s="9" t="n"/>
      <c r="F717" s="9" t="n"/>
      <c r="G717" s="9" t="n"/>
      <c r="H717" s="10" t="n"/>
      <c r="I717" s="62">
        <f>IF('Calendario E'!I37="","",'Calendario E'!I37)</f>
        <v/>
      </c>
      <c r="J717" s="141" t="n"/>
      <c r="K717" s="141" t="n"/>
      <c r="L717" s="141" t="n"/>
      <c r="M717" s="141" t="n"/>
      <c r="N717" s="141" t="n"/>
      <c r="O717" s="141" t="n"/>
      <c r="P717" s="141" t="n"/>
      <c r="Q717" s="141" t="n"/>
      <c r="R717" s="141" t="n"/>
    </row>
    <row r="718" ht="14" customHeight="1">
      <c r="A718" s="95" t="inlineStr">
        <is>
          <t>Gara N.</t>
        </is>
      </c>
      <c r="B718" s="95" t="inlineStr">
        <is>
          <t>Squadra A</t>
        </is>
      </c>
      <c r="C718" s="10" t="n"/>
      <c r="D718" s="95" t="inlineStr">
        <is>
          <t>Squadra B</t>
        </is>
      </c>
      <c r="E718" s="10" t="n"/>
      <c r="F718" s="95" t="inlineStr">
        <is>
          <t>Giorno</t>
        </is>
      </c>
      <c r="G718" s="95" t="inlineStr">
        <is>
          <t>Data</t>
        </is>
      </c>
      <c r="H718" s="95" t="inlineStr">
        <is>
          <t>Ora</t>
        </is>
      </c>
      <c r="I718" s="10" t="n"/>
      <c r="J718" s="95" t="inlineStr">
        <is>
          <t>Risultato</t>
        </is>
      </c>
      <c r="K718" s="9" t="n"/>
      <c r="L718" s="10" t="n"/>
      <c r="M718" s="205" t="inlineStr">
        <is>
          <t>1o Arbitro</t>
        </is>
      </c>
      <c r="N718" s="205" t="inlineStr">
        <is>
          <t>2o Arbitro</t>
        </is>
      </c>
      <c r="O718" s="205" t="inlineStr">
        <is>
          <t>3o Arbitro/Tirocinante</t>
        </is>
      </c>
      <c r="P718" s="205" t="inlineStr">
        <is>
          <t>Referto</t>
        </is>
      </c>
      <c r="Q718" s="205" t="inlineStr">
        <is>
          <t>Cronometro</t>
        </is>
      </c>
      <c r="R718" s="205" t="inlineStr">
        <is>
          <t>Foglio Tiri</t>
        </is>
      </c>
    </row>
    <row r="719" ht="22" customHeight="1">
      <c r="A719" s="97">
        <f>IF('Calendario E'!A39="","",'Calendario E'!A39)</f>
        <v/>
      </c>
      <c r="B719" s="61">
        <f>IF('Calendario E'!B39="","",'Calendario E'!B39)</f>
        <v/>
      </c>
      <c r="C719" s="62">
        <f>IF('Calendario E'!C39="","",'Calendario E'!C39)</f>
        <v/>
      </c>
      <c r="D719" s="61">
        <f>IF('Calendario E'!D39="","",'Calendario E'!D39)</f>
        <v/>
      </c>
      <c r="E719" s="62">
        <f>IF('Calendario E'!E39="","",'Calendario E'!E39)</f>
        <v/>
      </c>
      <c r="F719" s="63">
        <f>IF('Calendario E'!F39="","",'Calendario E'!F39)</f>
        <v/>
      </c>
      <c r="G719" s="9" t="n"/>
      <c r="H719" s="9" t="n"/>
      <c r="I719" s="10" t="n"/>
      <c r="J719" s="195">
        <f>IF('Calendario E'!J39="","",'Calendario E'!J39)</f>
        <v/>
      </c>
      <c r="K719" s="64" t="inlineStr">
        <is>
          <t>-</t>
        </is>
      </c>
      <c r="L719" s="195">
        <f>IF('Calendario E'!L39="","",'Calendario E'!L39)</f>
        <v/>
      </c>
      <c r="M719" s="196" t="n"/>
      <c r="N719" s="196" t="n"/>
      <c r="O719" s="196" t="n"/>
      <c r="P719" s="196" t="n"/>
      <c r="Q719" s="196" t="n"/>
      <c r="R719" s="196" t="n"/>
    </row>
    <row r="720" ht="15" customHeight="1">
      <c r="A720" s="141" t="n"/>
      <c r="B720" s="69">
        <f>IF('Calendario E'!B40="","",'Calendario E'!B40)</f>
        <v/>
      </c>
      <c r="C720" s="9" t="n"/>
      <c r="D720" s="9" t="n"/>
      <c r="E720" s="9" t="n"/>
      <c r="F720" s="9" t="n"/>
      <c r="G720" s="9" t="n"/>
      <c r="H720" s="10" t="n"/>
      <c r="I720" s="62">
        <f>IF('Calendario E'!I40="","",'Calendario E'!I40)</f>
        <v/>
      </c>
      <c r="J720" s="141" t="n"/>
      <c r="K720" s="141" t="n"/>
      <c r="L720" s="141" t="n"/>
      <c r="M720" s="141" t="n"/>
      <c r="N720" s="141" t="n"/>
      <c r="O720" s="141" t="n"/>
      <c r="P720" s="141" t="n"/>
      <c r="Q720" s="141" t="n"/>
      <c r="R720" s="141" t="n"/>
    </row>
    <row r="722" ht="20" customHeight="1">
      <c r="A722" s="92">
        <f>IF('Calendario E'!A42="","",'Calendario E'!A42)</f>
        <v/>
      </c>
      <c r="B722" s="93">
        <f>IF('Calendario E'!B42="","",'Calendario E'!B42)</f>
        <v/>
      </c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10" t="n"/>
      <c r="M722" s="204" t="inlineStr">
        <is>
          <t>ARBITRI</t>
        </is>
      </c>
      <c r="N722" s="9" t="n"/>
      <c r="O722" s="10" t="n"/>
      <c r="P722" s="204" t="inlineStr">
        <is>
          <t>UFFICIALI DI CAMPO</t>
        </is>
      </c>
      <c r="Q722" s="9" t="n"/>
      <c r="R722" s="10" t="n"/>
    </row>
    <row r="723" ht="14" customHeight="1">
      <c r="A723" s="95" t="inlineStr">
        <is>
          <t>Gara N.</t>
        </is>
      </c>
      <c r="B723" s="95" t="inlineStr">
        <is>
          <t>Squadra A</t>
        </is>
      </c>
      <c r="C723" s="10" t="n"/>
      <c r="D723" s="95" t="inlineStr">
        <is>
          <t>Squadra B</t>
        </is>
      </c>
      <c r="E723" s="10" t="n"/>
      <c r="F723" s="95" t="inlineStr">
        <is>
          <t>Giorno</t>
        </is>
      </c>
      <c r="G723" s="95" t="inlineStr">
        <is>
          <t>Data</t>
        </is>
      </c>
      <c r="H723" s="95" t="inlineStr">
        <is>
          <t>Ora</t>
        </is>
      </c>
      <c r="I723" s="10" t="n"/>
      <c r="J723" s="95" t="inlineStr">
        <is>
          <t>Risultato</t>
        </is>
      </c>
      <c r="K723" s="9" t="n"/>
      <c r="L723" s="10" t="n"/>
      <c r="M723" s="205" t="inlineStr">
        <is>
          <t>1o Arbitro</t>
        </is>
      </c>
      <c r="N723" s="205" t="inlineStr">
        <is>
          <t>2o Arbitro</t>
        </is>
      </c>
      <c r="O723" s="205" t="inlineStr">
        <is>
          <t>3o Arbitro/Tirocinante</t>
        </is>
      </c>
      <c r="P723" s="205" t="inlineStr">
        <is>
          <t>Referto</t>
        </is>
      </c>
      <c r="Q723" s="205" t="inlineStr">
        <is>
          <t>Cronometro</t>
        </is>
      </c>
      <c r="R723" s="205" t="inlineStr">
        <is>
          <t>Foglio Tiri</t>
        </is>
      </c>
    </row>
    <row r="724" ht="22" customHeight="1">
      <c r="A724" s="97">
        <f>IF('Calendario E'!A44="","",'Calendario E'!A44)</f>
        <v/>
      </c>
      <c r="B724" s="61">
        <f>IF('Calendario E'!B44="","",'Calendario E'!B44)</f>
        <v/>
      </c>
      <c r="C724" s="62">
        <f>IF('Calendario E'!C44="","",'Calendario E'!C44)</f>
        <v/>
      </c>
      <c r="D724" s="61">
        <f>IF('Calendario E'!D44="","",'Calendario E'!D44)</f>
        <v/>
      </c>
      <c r="E724" s="62">
        <f>IF('Calendario E'!E44="","",'Calendario E'!E44)</f>
        <v/>
      </c>
      <c r="F724" s="63">
        <f>IF('Calendario E'!F44="","",'Calendario E'!F44)</f>
        <v/>
      </c>
      <c r="G724" s="9" t="n"/>
      <c r="H724" s="9" t="n"/>
      <c r="I724" s="10" t="n"/>
      <c r="J724" s="195">
        <f>IF('Calendario E'!J44="","",'Calendario E'!J44)</f>
        <v/>
      </c>
      <c r="K724" s="64" t="inlineStr">
        <is>
          <t>-</t>
        </is>
      </c>
      <c r="L724" s="195">
        <f>IF('Calendario E'!L44="","",'Calendario E'!L44)</f>
        <v/>
      </c>
      <c r="M724" s="196" t="n"/>
      <c r="N724" s="196" t="n"/>
      <c r="O724" s="196" t="n"/>
      <c r="P724" s="196" t="n"/>
      <c r="Q724" s="196" t="n"/>
      <c r="R724" s="196" t="n"/>
    </row>
    <row r="725" ht="15" customHeight="1">
      <c r="A725" s="141" t="n"/>
      <c r="B725" s="69">
        <f>IF('Calendario E'!B45="","",'Calendario E'!B45)</f>
        <v/>
      </c>
      <c r="C725" s="9" t="n"/>
      <c r="D725" s="9" t="n"/>
      <c r="E725" s="9" t="n"/>
      <c r="F725" s="9" t="n"/>
      <c r="G725" s="9" t="n"/>
      <c r="H725" s="10" t="n"/>
      <c r="I725" s="62">
        <f>IF('Calendario E'!I45="","",'Calendario E'!I45)</f>
        <v/>
      </c>
      <c r="J725" s="141" t="n"/>
      <c r="K725" s="141" t="n"/>
      <c r="L725" s="141" t="n"/>
      <c r="M725" s="141" t="n"/>
      <c r="N725" s="141" t="n"/>
      <c r="O725" s="141" t="n"/>
      <c r="P725" s="141" t="n"/>
      <c r="Q725" s="141" t="n"/>
      <c r="R725" s="141" t="n"/>
    </row>
    <row r="726" ht="14" customHeight="1">
      <c r="A726" s="95" t="inlineStr">
        <is>
          <t>Gara N.</t>
        </is>
      </c>
      <c r="B726" s="95" t="inlineStr">
        <is>
          <t>Squadra A</t>
        </is>
      </c>
      <c r="C726" s="10" t="n"/>
      <c r="D726" s="95" t="inlineStr">
        <is>
          <t>Squadra B</t>
        </is>
      </c>
      <c r="E726" s="10" t="n"/>
      <c r="F726" s="95" t="inlineStr">
        <is>
          <t>Giorno</t>
        </is>
      </c>
      <c r="G726" s="95" t="inlineStr">
        <is>
          <t>Data</t>
        </is>
      </c>
      <c r="H726" s="95" t="inlineStr">
        <is>
          <t>Ora</t>
        </is>
      </c>
      <c r="I726" s="10" t="n"/>
      <c r="J726" s="95" t="inlineStr">
        <is>
          <t>Risultato</t>
        </is>
      </c>
      <c r="K726" s="9" t="n"/>
      <c r="L726" s="10" t="n"/>
      <c r="M726" s="205" t="inlineStr">
        <is>
          <t>1o Arbitro</t>
        </is>
      </c>
      <c r="N726" s="205" t="inlineStr">
        <is>
          <t>2o Arbitro</t>
        </is>
      </c>
      <c r="O726" s="205" t="inlineStr">
        <is>
          <t>3o Arbitro/Tirocinante</t>
        </is>
      </c>
      <c r="P726" s="205" t="inlineStr">
        <is>
          <t>Referto</t>
        </is>
      </c>
      <c r="Q726" s="205" t="inlineStr">
        <is>
          <t>Cronometro</t>
        </is>
      </c>
      <c r="R726" s="205" t="inlineStr">
        <is>
          <t>Foglio Tiri</t>
        </is>
      </c>
    </row>
    <row r="727" ht="22" customHeight="1">
      <c r="A727" s="97">
        <f>IF('Calendario E'!A47="","",'Calendario E'!A47)</f>
        <v/>
      </c>
      <c r="B727" s="61">
        <f>IF('Calendario E'!B47="","",'Calendario E'!B47)</f>
        <v/>
      </c>
      <c r="C727" s="62">
        <f>IF('Calendario E'!C47="","",'Calendario E'!C47)</f>
        <v/>
      </c>
      <c r="D727" s="61">
        <f>IF('Calendario E'!D47="","",'Calendario E'!D47)</f>
        <v/>
      </c>
      <c r="E727" s="62">
        <f>IF('Calendario E'!E47="","",'Calendario E'!E47)</f>
        <v/>
      </c>
      <c r="F727" s="63">
        <f>IF('Calendario E'!F47="","",'Calendario E'!F47)</f>
        <v/>
      </c>
      <c r="G727" s="9" t="n"/>
      <c r="H727" s="9" t="n"/>
      <c r="I727" s="10" t="n"/>
      <c r="J727" s="195">
        <f>IF('Calendario E'!J47="","",'Calendario E'!J47)</f>
        <v/>
      </c>
      <c r="K727" s="64" t="inlineStr">
        <is>
          <t>-</t>
        </is>
      </c>
      <c r="L727" s="195">
        <f>IF('Calendario E'!L47="","",'Calendario E'!L47)</f>
        <v/>
      </c>
      <c r="M727" s="196" t="n"/>
      <c r="N727" s="196" t="n"/>
      <c r="O727" s="196" t="n"/>
      <c r="P727" s="196" t="n"/>
      <c r="Q727" s="196" t="n"/>
      <c r="R727" s="196" t="n"/>
    </row>
    <row r="728" ht="15" customHeight="1">
      <c r="A728" s="141" t="n"/>
      <c r="B728" s="69">
        <f>IF('Calendario E'!B48="","",'Calendario E'!B48)</f>
        <v/>
      </c>
      <c r="C728" s="9" t="n"/>
      <c r="D728" s="9" t="n"/>
      <c r="E728" s="9" t="n"/>
      <c r="F728" s="9" t="n"/>
      <c r="G728" s="9" t="n"/>
      <c r="H728" s="10" t="n"/>
      <c r="I728" s="62">
        <f>IF('Calendario E'!I48="","",'Calendario E'!I48)</f>
        <v/>
      </c>
      <c r="J728" s="141" t="n"/>
      <c r="K728" s="141" t="n"/>
      <c r="L728" s="141" t="n"/>
      <c r="M728" s="141" t="n"/>
      <c r="N728" s="141" t="n"/>
      <c r="O728" s="141" t="n"/>
      <c r="P728" s="141" t="n"/>
      <c r="Q728" s="141" t="n"/>
      <c r="R728" s="141" t="n"/>
    </row>
    <row r="729" ht="14" customHeight="1">
      <c r="A729" s="95" t="inlineStr">
        <is>
          <t>Gara N.</t>
        </is>
      </c>
      <c r="B729" s="95" t="inlineStr">
        <is>
          <t>Squadra A</t>
        </is>
      </c>
      <c r="C729" s="10" t="n"/>
      <c r="D729" s="95" t="inlineStr">
        <is>
          <t>Squadra B</t>
        </is>
      </c>
      <c r="E729" s="10" t="n"/>
      <c r="F729" s="95" t="inlineStr">
        <is>
          <t>Giorno</t>
        </is>
      </c>
      <c r="G729" s="95" t="inlineStr">
        <is>
          <t>Data</t>
        </is>
      </c>
      <c r="H729" s="95" t="inlineStr">
        <is>
          <t>Ora</t>
        </is>
      </c>
      <c r="I729" s="10" t="n"/>
      <c r="J729" s="95" t="inlineStr">
        <is>
          <t>Risultato</t>
        </is>
      </c>
      <c r="K729" s="9" t="n"/>
      <c r="L729" s="10" t="n"/>
      <c r="M729" s="205" t="inlineStr">
        <is>
          <t>1o Arbitro</t>
        </is>
      </c>
      <c r="N729" s="205" t="inlineStr">
        <is>
          <t>2o Arbitro</t>
        </is>
      </c>
      <c r="O729" s="205" t="inlineStr">
        <is>
          <t>3o Arbitro/Tirocinante</t>
        </is>
      </c>
      <c r="P729" s="205" t="inlineStr">
        <is>
          <t>Referto</t>
        </is>
      </c>
      <c r="Q729" s="205" t="inlineStr">
        <is>
          <t>Cronometro</t>
        </is>
      </c>
      <c r="R729" s="205" t="inlineStr">
        <is>
          <t>Foglio Tiri</t>
        </is>
      </c>
    </row>
    <row r="730" ht="22" customHeight="1">
      <c r="A730" s="97">
        <f>IF('Calendario E'!A50="","",'Calendario E'!A50)</f>
        <v/>
      </c>
      <c r="B730" s="61">
        <f>IF('Calendario E'!B50="","",'Calendario E'!B50)</f>
        <v/>
      </c>
      <c r="C730" s="62">
        <f>IF('Calendario E'!C50="","",'Calendario E'!C50)</f>
        <v/>
      </c>
      <c r="D730" s="61">
        <f>IF('Calendario E'!D50="","",'Calendario E'!D50)</f>
        <v/>
      </c>
      <c r="E730" s="62">
        <f>IF('Calendario E'!E50="","",'Calendario E'!E50)</f>
        <v/>
      </c>
      <c r="F730" s="63">
        <f>IF('Calendario E'!F50="","",'Calendario E'!F50)</f>
        <v/>
      </c>
      <c r="G730" s="9" t="n"/>
      <c r="H730" s="9" t="n"/>
      <c r="I730" s="10" t="n"/>
      <c r="J730" s="195">
        <f>IF('Calendario E'!J50="","",'Calendario E'!J50)</f>
        <v/>
      </c>
      <c r="K730" s="64" t="inlineStr">
        <is>
          <t>-</t>
        </is>
      </c>
      <c r="L730" s="195">
        <f>IF('Calendario E'!L50="","",'Calendario E'!L50)</f>
        <v/>
      </c>
      <c r="M730" s="196" t="n"/>
      <c r="N730" s="196" t="n"/>
      <c r="O730" s="196" t="n"/>
      <c r="P730" s="196" t="n"/>
      <c r="Q730" s="196" t="n"/>
      <c r="R730" s="196" t="n"/>
    </row>
    <row r="731" ht="15" customHeight="1">
      <c r="A731" s="141" t="n"/>
      <c r="B731" s="69">
        <f>IF('Calendario E'!B51="","",'Calendario E'!B51)</f>
        <v/>
      </c>
      <c r="C731" s="9" t="n"/>
      <c r="D731" s="9" t="n"/>
      <c r="E731" s="9" t="n"/>
      <c r="F731" s="9" t="n"/>
      <c r="G731" s="9" t="n"/>
      <c r="H731" s="10" t="n"/>
      <c r="I731" s="62">
        <f>IF('Calendario E'!I51="","",'Calendario E'!I51)</f>
        <v/>
      </c>
      <c r="J731" s="141" t="n"/>
      <c r="K731" s="141" t="n"/>
      <c r="L731" s="141" t="n"/>
      <c r="M731" s="141" t="n"/>
      <c r="N731" s="141" t="n"/>
      <c r="O731" s="141" t="n"/>
      <c r="P731" s="141" t="n"/>
      <c r="Q731" s="141" t="n"/>
      <c r="R731" s="141" t="n"/>
    </row>
    <row r="732" ht="14" customHeight="1">
      <c r="A732" s="95" t="inlineStr">
        <is>
          <t>Gara N.</t>
        </is>
      </c>
      <c r="B732" s="95" t="inlineStr">
        <is>
          <t>Squadra A</t>
        </is>
      </c>
      <c r="C732" s="10" t="n"/>
      <c r="D732" s="95" t="inlineStr">
        <is>
          <t>Squadra B</t>
        </is>
      </c>
      <c r="E732" s="10" t="n"/>
      <c r="F732" s="95" t="inlineStr">
        <is>
          <t>Giorno</t>
        </is>
      </c>
      <c r="G732" s="95" t="inlineStr">
        <is>
          <t>Data</t>
        </is>
      </c>
      <c r="H732" s="95" t="inlineStr">
        <is>
          <t>Ora</t>
        </is>
      </c>
      <c r="I732" s="10" t="n"/>
      <c r="J732" s="95" t="inlineStr">
        <is>
          <t>Risultato</t>
        </is>
      </c>
      <c r="K732" s="9" t="n"/>
      <c r="L732" s="10" t="n"/>
      <c r="M732" s="205" t="inlineStr">
        <is>
          <t>1o Arbitro</t>
        </is>
      </c>
      <c r="N732" s="205" t="inlineStr">
        <is>
          <t>2o Arbitro</t>
        </is>
      </c>
      <c r="O732" s="205" t="inlineStr">
        <is>
          <t>3o Arbitro/Tirocinante</t>
        </is>
      </c>
      <c r="P732" s="205" t="inlineStr">
        <is>
          <t>Referto</t>
        </is>
      </c>
      <c r="Q732" s="205" t="inlineStr">
        <is>
          <t>Cronometro</t>
        </is>
      </c>
      <c r="R732" s="205" t="inlineStr">
        <is>
          <t>Foglio Tiri</t>
        </is>
      </c>
    </row>
    <row r="733" ht="22" customHeight="1">
      <c r="A733" s="97">
        <f>IF('Calendario E'!A53="","",'Calendario E'!A53)</f>
        <v/>
      </c>
      <c r="B733" s="61">
        <f>IF('Calendario E'!B53="","",'Calendario E'!B53)</f>
        <v/>
      </c>
      <c r="C733" s="62">
        <f>IF('Calendario E'!C53="","",'Calendario E'!C53)</f>
        <v/>
      </c>
      <c r="D733" s="61">
        <f>IF('Calendario E'!D53="","",'Calendario E'!D53)</f>
        <v/>
      </c>
      <c r="E733" s="62">
        <f>IF('Calendario E'!E53="","",'Calendario E'!E53)</f>
        <v/>
      </c>
      <c r="F733" s="63">
        <f>IF('Calendario E'!F53="","",'Calendario E'!F53)</f>
        <v/>
      </c>
      <c r="G733" s="9" t="n"/>
      <c r="H733" s="9" t="n"/>
      <c r="I733" s="10" t="n"/>
      <c r="J733" s="195">
        <f>IF('Calendario E'!J53="","",'Calendario E'!J53)</f>
        <v/>
      </c>
      <c r="K733" s="64" t="inlineStr">
        <is>
          <t>-</t>
        </is>
      </c>
      <c r="L733" s="195">
        <f>IF('Calendario E'!L53="","",'Calendario E'!L53)</f>
        <v/>
      </c>
      <c r="M733" s="196" t="n"/>
      <c r="N733" s="196" t="n"/>
      <c r="O733" s="196" t="n"/>
      <c r="P733" s="196" t="n"/>
      <c r="Q733" s="196" t="n"/>
      <c r="R733" s="196" t="n"/>
    </row>
    <row r="734" ht="15" customHeight="1">
      <c r="A734" s="141" t="n"/>
      <c r="B734" s="69">
        <f>IF('Calendario E'!B54="","",'Calendario E'!B54)</f>
        <v/>
      </c>
      <c r="C734" s="9" t="n"/>
      <c r="D734" s="9" t="n"/>
      <c r="E734" s="9" t="n"/>
      <c r="F734" s="9" t="n"/>
      <c r="G734" s="9" t="n"/>
      <c r="H734" s="10" t="n"/>
      <c r="I734" s="62">
        <f>IF('Calendario E'!I54="","",'Calendario E'!I54)</f>
        <v/>
      </c>
      <c r="J734" s="141" t="n"/>
      <c r="K734" s="141" t="n"/>
      <c r="L734" s="141" t="n"/>
      <c r="M734" s="141" t="n"/>
      <c r="N734" s="141" t="n"/>
      <c r="O734" s="141" t="n"/>
      <c r="P734" s="141" t="n"/>
      <c r="Q734" s="141" t="n"/>
      <c r="R734" s="141" t="n"/>
    </row>
    <row r="735" ht="14" customHeight="1">
      <c r="A735" s="95" t="inlineStr">
        <is>
          <t>Gara N.</t>
        </is>
      </c>
      <c r="B735" s="95" t="inlineStr">
        <is>
          <t>Squadra A</t>
        </is>
      </c>
      <c r="C735" s="10" t="n"/>
      <c r="D735" s="95" t="inlineStr">
        <is>
          <t>Squadra B</t>
        </is>
      </c>
      <c r="E735" s="10" t="n"/>
      <c r="F735" s="95" t="inlineStr">
        <is>
          <t>Giorno</t>
        </is>
      </c>
      <c r="G735" s="95" t="inlineStr">
        <is>
          <t>Data</t>
        </is>
      </c>
      <c r="H735" s="95" t="inlineStr">
        <is>
          <t>Ora</t>
        </is>
      </c>
      <c r="I735" s="10" t="n"/>
      <c r="J735" s="95" t="inlineStr">
        <is>
          <t>Risultato</t>
        </is>
      </c>
      <c r="K735" s="9" t="n"/>
      <c r="L735" s="10" t="n"/>
      <c r="M735" s="205" t="inlineStr">
        <is>
          <t>1o Arbitro</t>
        </is>
      </c>
      <c r="N735" s="205" t="inlineStr">
        <is>
          <t>2o Arbitro</t>
        </is>
      </c>
      <c r="O735" s="205" t="inlineStr">
        <is>
          <t>3o Arbitro/Tirocinante</t>
        </is>
      </c>
      <c r="P735" s="205" t="inlineStr">
        <is>
          <t>Referto</t>
        </is>
      </c>
      <c r="Q735" s="205" t="inlineStr">
        <is>
          <t>Cronometro</t>
        </is>
      </c>
      <c r="R735" s="205" t="inlineStr">
        <is>
          <t>Foglio Tiri</t>
        </is>
      </c>
    </row>
    <row r="736" ht="22" customHeight="1">
      <c r="A736" s="97">
        <f>IF('Calendario E'!A56="","",'Calendario E'!A56)</f>
        <v/>
      </c>
      <c r="B736" s="61">
        <f>IF('Calendario E'!B56="","",'Calendario E'!B56)</f>
        <v/>
      </c>
      <c r="C736" s="62">
        <f>IF('Calendario E'!C56="","",'Calendario E'!C56)</f>
        <v/>
      </c>
      <c r="D736" s="61">
        <f>IF('Calendario E'!D56="","",'Calendario E'!D56)</f>
        <v/>
      </c>
      <c r="E736" s="62">
        <f>IF('Calendario E'!E56="","",'Calendario E'!E56)</f>
        <v/>
      </c>
      <c r="F736" s="63">
        <f>IF('Calendario E'!F56="","",'Calendario E'!F56)</f>
        <v/>
      </c>
      <c r="G736" s="9" t="n"/>
      <c r="H736" s="9" t="n"/>
      <c r="I736" s="10" t="n"/>
      <c r="J736" s="195">
        <f>IF('Calendario E'!J56="","",'Calendario E'!J56)</f>
        <v/>
      </c>
      <c r="K736" s="64" t="inlineStr">
        <is>
          <t>-</t>
        </is>
      </c>
      <c r="L736" s="195">
        <f>IF('Calendario E'!L56="","",'Calendario E'!L56)</f>
        <v/>
      </c>
      <c r="M736" s="196" t="n"/>
      <c r="N736" s="196" t="n"/>
      <c r="O736" s="196" t="n"/>
      <c r="P736" s="196" t="n"/>
      <c r="Q736" s="196" t="n"/>
      <c r="R736" s="196" t="n"/>
    </row>
    <row r="737" ht="15" customHeight="1">
      <c r="A737" s="141" t="n"/>
      <c r="B737" s="69">
        <f>IF('Calendario E'!B57="","",'Calendario E'!B57)</f>
        <v/>
      </c>
      <c r="C737" s="9" t="n"/>
      <c r="D737" s="9" t="n"/>
      <c r="E737" s="9" t="n"/>
      <c r="F737" s="9" t="n"/>
      <c r="G737" s="9" t="n"/>
      <c r="H737" s="10" t="n"/>
      <c r="I737" s="62">
        <f>IF('Calendario E'!I57="","",'Calendario E'!I57)</f>
        <v/>
      </c>
      <c r="J737" s="141" t="n"/>
      <c r="K737" s="141" t="n"/>
      <c r="L737" s="141" t="n"/>
      <c r="M737" s="141" t="n"/>
      <c r="N737" s="141" t="n"/>
      <c r="O737" s="141" t="n"/>
      <c r="P737" s="141" t="n"/>
      <c r="Q737" s="141" t="n"/>
      <c r="R737" s="141" t="n"/>
    </row>
    <row r="739" ht="20" customHeight="1">
      <c r="A739" s="92">
        <f>IF('Calendario E'!A59="","",'Calendario E'!A59)</f>
        <v/>
      </c>
      <c r="B739" s="93">
        <f>IF('Calendario E'!B59="","",'Calendario E'!B59)</f>
        <v/>
      </c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10" t="n"/>
      <c r="M739" s="204" t="inlineStr">
        <is>
          <t>ARBITRI</t>
        </is>
      </c>
      <c r="N739" s="9" t="n"/>
      <c r="O739" s="10" t="n"/>
      <c r="P739" s="204" t="inlineStr">
        <is>
          <t>UFFICIALI DI CAMPO</t>
        </is>
      </c>
      <c r="Q739" s="9" t="n"/>
      <c r="R739" s="10" t="n"/>
    </row>
    <row r="740" ht="14" customHeight="1">
      <c r="A740" s="95" t="inlineStr">
        <is>
          <t>Gara N.</t>
        </is>
      </c>
      <c r="B740" s="95" t="inlineStr">
        <is>
          <t>Squadra A</t>
        </is>
      </c>
      <c r="C740" s="10" t="n"/>
      <c r="D740" s="95" t="inlineStr">
        <is>
          <t>Squadra B</t>
        </is>
      </c>
      <c r="E740" s="10" t="n"/>
      <c r="F740" s="95" t="inlineStr">
        <is>
          <t>Giorno</t>
        </is>
      </c>
      <c r="G740" s="95" t="inlineStr">
        <is>
          <t>Data</t>
        </is>
      </c>
      <c r="H740" s="95" t="inlineStr">
        <is>
          <t>Ora</t>
        </is>
      </c>
      <c r="I740" s="10" t="n"/>
      <c r="J740" s="95" t="inlineStr">
        <is>
          <t>Risultato</t>
        </is>
      </c>
      <c r="K740" s="9" t="n"/>
      <c r="L740" s="10" t="n"/>
      <c r="M740" s="205" t="inlineStr">
        <is>
          <t>1o Arbitro</t>
        </is>
      </c>
      <c r="N740" s="205" t="inlineStr">
        <is>
          <t>2o Arbitro</t>
        </is>
      </c>
      <c r="O740" s="205" t="inlineStr">
        <is>
          <t>3o Arbitro/Tirocinante</t>
        </is>
      </c>
      <c r="P740" s="205" t="inlineStr">
        <is>
          <t>Referto</t>
        </is>
      </c>
      <c r="Q740" s="205" t="inlineStr">
        <is>
          <t>Cronometro</t>
        </is>
      </c>
      <c r="R740" s="205" t="inlineStr">
        <is>
          <t>Foglio Tiri</t>
        </is>
      </c>
    </row>
    <row r="741" ht="22" customHeight="1">
      <c r="A741" s="97">
        <f>IF('Calendario E'!A61="","",'Calendario E'!A61)</f>
        <v/>
      </c>
      <c r="B741" s="61">
        <f>IF('Calendario E'!B61="","",'Calendario E'!B61)</f>
        <v/>
      </c>
      <c r="C741" s="62">
        <f>IF('Calendario E'!C61="","",'Calendario E'!C61)</f>
        <v/>
      </c>
      <c r="D741" s="61">
        <f>IF('Calendario E'!D61="","",'Calendario E'!D61)</f>
        <v/>
      </c>
      <c r="E741" s="62">
        <f>IF('Calendario E'!E61="","",'Calendario E'!E61)</f>
        <v/>
      </c>
      <c r="F741" s="63">
        <f>IF('Calendario E'!F61="","",'Calendario E'!F61)</f>
        <v/>
      </c>
      <c r="G741" s="9" t="n"/>
      <c r="H741" s="9" t="n"/>
      <c r="I741" s="10" t="n"/>
      <c r="J741" s="195">
        <f>IF('Calendario E'!J61="","",'Calendario E'!J61)</f>
        <v/>
      </c>
      <c r="K741" s="64" t="inlineStr">
        <is>
          <t>-</t>
        </is>
      </c>
      <c r="L741" s="195">
        <f>IF('Calendario E'!L61="","",'Calendario E'!L61)</f>
        <v/>
      </c>
      <c r="M741" s="196" t="n"/>
      <c r="N741" s="196" t="n"/>
      <c r="O741" s="196" t="n"/>
      <c r="P741" s="196" t="n"/>
      <c r="Q741" s="196" t="n"/>
      <c r="R741" s="196" t="n"/>
    </row>
    <row r="742" ht="15" customHeight="1">
      <c r="A742" s="141" t="n"/>
      <c r="B742" s="69">
        <f>IF('Calendario E'!B62="","",'Calendario E'!B62)</f>
        <v/>
      </c>
      <c r="C742" s="9" t="n"/>
      <c r="D742" s="9" t="n"/>
      <c r="E742" s="9" t="n"/>
      <c r="F742" s="9" t="n"/>
      <c r="G742" s="9" t="n"/>
      <c r="H742" s="10" t="n"/>
      <c r="I742" s="62">
        <f>IF('Calendario E'!I62="","",'Calendario E'!I62)</f>
        <v/>
      </c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</row>
    <row r="743" ht="14" customHeight="1">
      <c r="A743" s="95" t="inlineStr">
        <is>
          <t>Gara N.</t>
        </is>
      </c>
      <c r="B743" s="95" t="inlineStr">
        <is>
          <t>Squadra A</t>
        </is>
      </c>
      <c r="C743" s="10" t="n"/>
      <c r="D743" s="95" t="inlineStr">
        <is>
          <t>Squadra B</t>
        </is>
      </c>
      <c r="E743" s="10" t="n"/>
      <c r="F743" s="95" t="inlineStr">
        <is>
          <t>Giorno</t>
        </is>
      </c>
      <c r="G743" s="95" t="inlineStr">
        <is>
          <t>Data</t>
        </is>
      </c>
      <c r="H743" s="95" t="inlineStr">
        <is>
          <t>Ora</t>
        </is>
      </c>
      <c r="I743" s="10" t="n"/>
      <c r="J743" s="95" t="inlineStr">
        <is>
          <t>Risultato</t>
        </is>
      </c>
      <c r="K743" s="9" t="n"/>
      <c r="L743" s="10" t="n"/>
      <c r="M743" s="205" t="inlineStr">
        <is>
          <t>1o Arbitro</t>
        </is>
      </c>
      <c r="N743" s="205" t="inlineStr">
        <is>
          <t>2o Arbitro</t>
        </is>
      </c>
      <c r="O743" s="205" t="inlineStr">
        <is>
          <t>3o Arbitro/Tirocinante</t>
        </is>
      </c>
      <c r="P743" s="205" t="inlineStr">
        <is>
          <t>Referto</t>
        </is>
      </c>
      <c r="Q743" s="205" t="inlineStr">
        <is>
          <t>Cronometro</t>
        </is>
      </c>
      <c r="R743" s="205" t="inlineStr">
        <is>
          <t>Foglio Tiri</t>
        </is>
      </c>
    </row>
    <row r="744" ht="22" customHeight="1">
      <c r="A744" s="97">
        <f>IF('Calendario E'!A64="","",'Calendario E'!A64)</f>
        <v/>
      </c>
      <c r="B744" s="61">
        <f>IF('Calendario E'!B64="","",'Calendario E'!B64)</f>
        <v/>
      </c>
      <c r="C744" s="62">
        <f>IF('Calendario E'!C64="","",'Calendario E'!C64)</f>
        <v/>
      </c>
      <c r="D744" s="61">
        <f>IF('Calendario E'!D64="","",'Calendario E'!D64)</f>
        <v/>
      </c>
      <c r="E744" s="62">
        <f>IF('Calendario E'!E64="","",'Calendario E'!E64)</f>
        <v/>
      </c>
      <c r="F744" s="63">
        <f>IF('Calendario E'!F64="","",'Calendario E'!F64)</f>
        <v/>
      </c>
      <c r="G744" s="9" t="n"/>
      <c r="H744" s="9" t="n"/>
      <c r="I744" s="10" t="n"/>
      <c r="J744" s="195">
        <f>IF('Calendario E'!J64="","",'Calendario E'!J64)</f>
        <v/>
      </c>
      <c r="K744" s="64" t="inlineStr">
        <is>
          <t>-</t>
        </is>
      </c>
      <c r="L744" s="195">
        <f>IF('Calendario E'!L64="","",'Calendario E'!L64)</f>
        <v/>
      </c>
      <c r="M744" s="196" t="n"/>
      <c r="N744" s="196" t="n"/>
      <c r="O744" s="196" t="n"/>
      <c r="P744" s="196" t="n"/>
      <c r="Q744" s="196" t="n"/>
      <c r="R744" s="196" t="n"/>
    </row>
    <row r="745" ht="15" customHeight="1">
      <c r="A745" s="141" t="n"/>
      <c r="B745" s="69">
        <f>IF('Calendario E'!B65="","",'Calendario E'!B65)</f>
        <v/>
      </c>
      <c r="C745" s="9" t="n"/>
      <c r="D745" s="9" t="n"/>
      <c r="E745" s="9" t="n"/>
      <c r="F745" s="9" t="n"/>
      <c r="G745" s="9" t="n"/>
      <c r="H745" s="10" t="n"/>
      <c r="I745" s="62">
        <f>IF('Calendario E'!I65="","",'Calendario E'!I65)</f>
        <v/>
      </c>
      <c r="J745" s="141" t="n"/>
      <c r="K745" s="141" t="n"/>
      <c r="L745" s="141" t="n"/>
      <c r="M745" s="141" t="n"/>
      <c r="N745" s="141" t="n"/>
      <c r="O745" s="141" t="n"/>
      <c r="P745" s="141" t="n"/>
      <c r="Q745" s="141" t="n"/>
      <c r="R745" s="141" t="n"/>
    </row>
    <row r="746" ht="14" customHeight="1">
      <c r="A746" s="95" t="inlineStr">
        <is>
          <t>Gara N.</t>
        </is>
      </c>
      <c r="B746" s="95" t="inlineStr">
        <is>
          <t>Squadra A</t>
        </is>
      </c>
      <c r="C746" s="10" t="n"/>
      <c r="D746" s="95" t="inlineStr">
        <is>
          <t>Squadra B</t>
        </is>
      </c>
      <c r="E746" s="10" t="n"/>
      <c r="F746" s="95" t="inlineStr">
        <is>
          <t>Giorno</t>
        </is>
      </c>
      <c r="G746" s="95" t="inlineStr">
        <is>
          <t>Data</t>
        </is>
      </c>
      <c r="H746" s="95" t="inlineStr">
        <is>
          <t>Ora</t>
        </is>
      </c>
      <c r="I746" s="10" t="n"/>
      <c r="J746" s="95" t="inlineStr">
        <is>
          <t>Risultato</t>
        </is>
      </c>
      <c r="K746" s="9" t="n"/>
      <c r="L746" s="10" t="n"/>
      <c r="M746" s="205" t="inlineStr">
        <is>
          <t>1o Arbitro</t>
        </is>
      </c>
      <c r="N746" s="205" t="inlineStr">
        <is>
          <t>2o Arbitro</t>
        </is>
      </c>
      <c r="O746" s="205" t="inlineStr">
        <is>
          <t>3o Arbitro/Tirocinante</t>
        </is>
      </c>
      <c r="P746" s="205" t="inlineStr">
        <is>
          <t>Referto</t>
        </is>
      </c>
      <c r="Q746" s="205" t="inlineStr">
        <is>
          <t>Cronometro</t>
        </is>
      </c>
      <c r="R746" s="205" t="inlineStr">
        <is>
          <t>Foglio Tiri</t>
        </is>
      </c>
    </row>
    <row r="747" ht="22" customHeight="1">
      <c r="A747" s="97">
        <f>IF('Calendario E'!A67="","",'Calendario E'!A67)</f>
        <v/>
      </c>
      <c r="B747" s="61">
        <f>IF('Calendario E'!B67="","",'Calendario E'!B67)</f>
        <v/>
      </c>
      <c r="C747" s="62">
        <f>IF('Calendario E'!C67="","",'Calendario E'!C67)</f>
        <v/>
      </c>
      <c r="D747" s="61">
        <f>IF('Calendario E'!D67="","",'Calendario E'!D67)</f>
        <v/>
      </c>
      <c r="E747" s="62">
        <f>IF('Calendario E'!E67="","",'Calendario E'!E67)</f>
        <v/>
      </c>
      <c r="F747" s="63">
        <f>IF('Calendario E'!F67="","",'Calendario E'!F67)</f>
        <v/>
      </c>
      <c r="G747" s="9" t="n"/>
      <c r="H747" s="9" t="n"/>
      <c r="I747" s="10" t="n"/>
      <c r="J747" s="195">
        <f>IF('Calendario E'!J67="","",'Calendario E'!J67)</f>
        <v/>
      </c>
      <c r="K747" s="64" t="inlineStr">
        <is>
          <t>-</t>
        </is>
      </c>
      <c r="L747" s="195">
        <f>IF('Calendario E'!L67="","",'Calendario E'!L67)</f>
        <v/>
      </c>
      <c r="M747" s="196" t="n"/>
      <c r="N747" s="196" t="n"/>
      <c r="O747" s="196" t="n"/>
      <c r="P747" s="196" t="n"/>
      <c r="Q747" s="196" t="n"/>
      <c r="R747" s="196" t="n"/>
    </row>
    <row r="748" ht="15" customHeight="1">
      <c r="A748" s="141" t="n"/>
      <c r="B748" s="69">
        <f>IF('Calendario E'!B68="","",'Calendario E'!B68)</f>
        <v/>
      </c>
      <c r="C748" s="9" t="n"/>
      <c r="D748" s="9" t="n"/>
      <c r="E748" s="9" t="n"/>
      <c r="F748" s="9" t="n"/>
      <c r="G748" s="9" t="n"/>
      <c r="H748" s="10" t="n"/>
      <c r="I748" s="62">
        <f>IF('Calendario E'!I68="","",'Calendario E'!I68)</f>
        <v/>
      </c>
      <c r="J748" s="141" t="n"/>
      <c r="K748" s="141" t="n"/>
      <c r="L748" s="141" t="n"/>
      <c r="M748" s="141" t="n"/>
      <c r="N748" s="141" t="n"/>
      <c r="O748" s="141" t="n"/>
      <c r="P748" s="141" t="n"/>
      <c r="Q748" s="141" t="n"/>
      <c r="R748" s="141" t="n"/>
    </row>
    <row r="749" ht="14" customHeight="1">
      <c r="A749" s="95" t="inlineStr">
        <is>
          <t>Gara N.</t>
        </is>
      </c>
      <c r="B749" s="95" t="inlineStr">
        <is>
          <t>Squadra A</t>
        </is>
      </c>
      <c r="C749" s="10" t="n"/>
      <c r="D749" s="95" t="inlineStr">
        <is>
          <t>Squadra B</t>
        </is>
      </c>
      <c r="E749" s="10" t="n"/>
      <c r="F749" s="95" t="inlineStr">
        <is>
          <t>Giorno</t>
        </is>
      </c>
      <c r="G749" s="95" t="inlineStr">
        <is>
          <t>Data</t>
        </is>
      </c>
      <c r="H749" s="95" t="inlineStr">
        <is>
          <t>Ora</t>
        </is>
      </c>
      <c r="I749" s="10" t="n"/>
      <c r="J749" s="95" t="inlineStr">
        <is>
          <t>Risultato</t>
        </is>
      </c>
      <c r="K749" s="9" t="n"/>
      <c r="L749" s="10" t="n"/>
      <c r="M749" s="205" t="inlineStr">
        <is>
          <t>1o Arbitro</t>
        </is>
      </c>
      <c r="N749" s="205" t="inlineStr">
        <is>
          <t>2o Arbitro</t>
        </is>
      </c>
      <c r="O749" s="205" t="inlineStr">
        <is>
          <t>3o Arbitro/Tirocinante</t>
        </is>
      </c>
      <c r="P749" s="205" t="inlineStr">
        <is>
          <t>Referto</t>
        </is>
      </c>
      <c r="Q749" s="205" t="inlineStr">
        <is>
          <t>Cronometro</t>
        </is>
      </c>
      <c r="R749" s="205" t="inlineStr">
        <is>
          <t>Foglio Tiri</t>
        </is>
      </c>
    </row>
    <row r="750" ht="22" customHeight="1">
      <c r="A750" s="97">
        <f>IF('Calendario E'!A70="","",'Calendario E'!A70)</f>
        <v/>
      </c>
      <c r="B750" s="61">
        <f>IF('Calendario E'!B70="","",'Calendario E'!B70)</f>
        <v/>
      </c>
      <c r="C750" s="62">
        <f>IF('Calendario E'!C70="","",'Calendario E'!C70)</f>
        <v/>
      </c>
      <c r="D750" s="61">
        <f>IF('Calendario E'!D70="","",'Calendario E'!D70)</f>
        <v/>
      </c>
      <c r="E750" s="62">
        <f>IF('Calendario E'!E70="","",'Calendario E'!E70)</f>
        <v/>
      </c>
      <c r="F750" s="63">
        <f>IF('Calendario E'!F70="","",'Calendario E'!F70)</f>
        <v/>
      </c>
      <c r="G750" s="9" t="n"/>
      <c r="H750" s="9" t="n"/>
      <c r="I750" s="10" t="n"/>
      <c r="J750" s="195">
        <f>IF('Calendario E'!J70="","",'Calendario E'!J70)</f>
        <v/>
      </c>
      <c r="K750" s="64" t="inlineStr">
        <is>
          <t>-</t>
        </is>
      </c>
      <c r="L750" s="195">
        <f>IF('Calendario E'!L70="","",'Calendario E'!L70)</f>
        <v/>
      </c>
      <c r="M750" s="196" t="n"/>
      <c r="N750" s="196" t="n"/>
      <c r="O750" s="196" t="n"/>
      <c r="P750" s="196" t="n"/>
      <c r="Q750" s="196" t="n"/>
      <c r="R750" s="196" t="n"/>
    </row>
    <row r="751" ht="15" customHeight="1">
      <c r="A751" s="141" t="n"/>
      <c r="B751" s="69">
        <f>IF('Calendario E'!B71="","",'Calendario E'!B71)</f>
        <v/>
      </c>
      <c r="C751" s="9" t="n"/>
      <c r="D751" s="9" t="n"/>
      <c r="E751" s="9" t="n"/>
      <c r="F751" s="9" t="n"/>
      <c r="G751" s="9" t="n"/>
      <c r="H751" s="10" t="n"/>
      <c r="I751" s="62">
        <f>IF('Calendario E'!I71="","",'Calendario E'!I71)</f>
        <v/>
      </c>
      <c r="J751" s="141" t="n"/>
      <c r="K751" s="141" t="n"/>
      <c r="L751" s="141" t="n"/>
      <c r="M751" s="141" t="n"/>
      <c r="N751" s="141" t="n"/>
      <c r="O751" s="141" t="n"/>
      <c r="P751" s="141" t="n"/>
      <c r="Q751" s="141" t="n"/>
      <c r="R751" s="141" t="n"/>
    </row>
    <row r="752" ht="14" customHeight="1">
      <c r="A752" s="95" t="inlineStr">
        <is>
          <t>Gara N.</t>
        </is>
      </c>
      <c r="B752" s="95" t="inlineStr">
        <is>
          <t>Squadra A</t>
        </is>
      </c>
      <c r="C752" s="10" t="n"/>
      <c r="D752" s="95" t="inlineStr">
        <is>
          <t>Squadra B</t>
        </is>
      </c>
      <c r="E752" s="10" t="n"/>
      <c r="F752" s="95" t="inlineStr">
        <is>
          <t>Giorno</t>
        </is>
      </c>
      <c r="G752" s="95" t="inlineStr">
        <is>
          <t>Data</t>
        </is>
      </c>
      <c r="H752" s="95" t="inlineStr">
        <is>
          <t>Ora</t>
        </is>
      </c>
      <c r="I752" s="10" t="n"/>
      <c r="J752" s="95" t="inlineStr">
        <is>
          <t>Risultato</t>
        </is>
      </c>
      <c r="K752" s="9" t="n"/>
      <c r="L752" s="10" t="n"/>
      <c r="M752" s="205" t="inlineStr">
        <is>
          <t>1o Arbitro</t>
        </is>
      </c>
      <c r="N752" s="205" t="inlineStr">
        <is>
          <t>2o Arbitro</t>
        </is>
      </c>
      <c r="O752" s="205" t="inlineStr">
        <is>
          <t>3o Arbitro/Tirocinante</t>
        </is>
      </c>
      <c r="P752" s="205" t="inlineStr">
        <is>
          <t>Referto</t>
        </is>
      </c>
      <c r="Q752" s="205" t="inlineStr">
        <is>
          <t>Cronometro</t>
        </is>
      </c>
      <c r="R752" s="205" t="inlineStr">
        <is>
          <t>Foglio Tiri</t>
        </is>
      </c>
    </row>
    <row r="753" ht="22" customHeight="1">
      <c r="A753" s="97">
        <f>IF('Calendario E'!A73="","",'Calendario E'!A73)</f>
        <v/>
      </c>
      <c r="B753" s="61">
        <f>IF('Calendario E'!B73="","",'Calendario E'!B73)</f>
        <v/>
      </c>
      <c r="C753" s="62">
        <f>IF('Calendario E'!C73="","",'Calendario E'!C73)</f>
        <v/>
      </c>
      <c r="D753" s="61">
        <f>IF('Calendario E'!D73="","",'Calendario E'!D73)</f>
        <v/>
      </c>
      <c r="E753" s="62">
        <f>IF('Calendario E'!E73="","",'Calendario E'!E73)</f>
        <v/>
      </c>
      <c r="F753" s="63">
        <f>IF('Calendario E'!F73="","",'Calendario E'!F73)</f>
        <v/>
      </c>
      <c r="G753" s="9" t="n"/>
      <c r="H753" s="9" t="n"/>
      <c r="I753" s="10" t="n"/>
      <c r="J753" s="195">
        <f>IF('Calendario E'!J73="","",'Calendario E'!J73)</f>
        <v/>
      </c>
      <c r="K753" s="64" t="inlineStr">
        <is>
          <t>-</t>
        </is>
      </c>
      <c r="L753" s="195">
        <f>IF('Calendario E'!L73="","",'Calendario E'!L73)</f>
        <v/>
      </c>
      <c r="M753" s="196" t="n"/>
      <c r="N753" s="196" t="n"/>
      <c r="O753" s="196" t="n"/>
      <c r="P753" s="196" t="n"/>
      <c r="Q753" s="196" t="n"/>
      <c r="R753" s="196" t="n"/>
    </row>
    <row r="754" ht="15" customHeight="1">
      <c r="A754" s="141" t="n"/>
      <c r="B754" s="69">
        <f>IF('Calendario E'!B74="","",'Calendario E'!B74)</f>
        <v/>
      </c>
      <c r="C754" s="9" t="n"/>
      <c r="D754" s="9" t="n"/>
      <c r="E754" s="9" t="n"/>
      <c r="F754" s="9" t="n"/>
      <c r="G754" s="9" t="n"/>
      <c r="H754" s="10" t="n"/>
      <c r="I754" s="62">
        <f>IF('Calendario E'!I74="","",'Calendario E'!I74)</f>
        <v/>
      </c>
      <c r="J754" s="141" t="n"/>
      <c r="K754" s="141" t="n"/>
      <c r="L754" s="141" t="n"/>
      <c r="M754" s="141" t="n"/>
      <c r="N754" s="141" t="n"/>
      <c r="O754" s="141" t="n"/>
      <c r="P754" s="141" t="n"/>
      <c r="Q754" s="141" t="n"/>
      <c r="R754" s="141" t="n"/>
    </row>
    <row r="756" ht="20" customHeight="1">
      <c r="A756" s="92">
        <f>IF('Calendario E'!A76="","",'Calendario E'!A76)</f>
        <v/>
      </c>
      <c r="B756" s="93">
        <f>IF('Calendario E'!B76="","",'Calendario E'!B76)</f>
        <v/>
      </c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10" t="n"/>
      <c r="M756" s="204" t="inlineStr">
        <is>
          <t>ARBITRI</t>
        </is>
      </c>
      <c r="N756" s="9" t="n"/>
      <c r="O756" s="10" t="n"/>
      <c r="P756" s="204" t="inlineStr">
        <is>
          <t>UFFICIALI DI CAMPO</t>
        </is>
      </c>
      <c r="Q756" s="9" t="n"/>
      <c r="R756" s="10" t="n"/>
    </row>
    <row r="757" ht="14" customHeight="1">
      <c r="A757" s="95" t="inlineStr">
        <is>
          <t>Gara N.</t>
        </is>
      </c>
      <c r="B757" s="95" t="inlineStr">
        <is>
          <t>Squadra A</t>
        </is>
      </c>
      <c r="C757" s="10" t="n"/>
      <c r="D757" s="95" t="inlineStr">
        <is>
          <t>Squadra B</t>
        </is>
      </c>
      <c r="E757" s="10" t="n"/>
      <c r="F757" s="95" t="inlineStr">
        <is>
          <t>Giorno</t>
        </is>
      </c>
      <c r="G757" s="95" t="inlineStr">
        <is>
          <t>Data</t>
        </is>
      </c>
      <c r="H757" s="95" t="inlineStr">
        <is>
          <t>Ora</t>
        </is>
      </c>
      <c r="I757" s="10" t="n"/>
      <c r="J757" s="95" t="inlineStr">
        <is>
          <t>Risultato</t>
        </is>
      </c>
      <c r="K757" s="9" t="n"/>
      <c r="L757" s="10" t="n"/>
      <c r="M757" s="205" t="inlineStr">
        <is>
          <t>1o Arbitro</t>
        </is>
      </c>
      <c r="N757" s="205" t="inlineStr">
        <is>
          <t>2o Arbitro</t>
        </is>
      </c>
      <c r="O757" s="205" t="inlineStr">
        <is>
          <t>3o Arbitro/Tirocinante</t>
        </is>
      </c>
      <c r="P757" s="205" t="inlineStr">
        <is>
          <t>Referto</t>
        </is>
      </c>
      <c r="Q757" s="205" t="inlineStr">
        <is>
          <t>Cronometro</t>
        </is>
      </c>
      <c r="R757" s="205" t="inlineStr">
        <is>
          <t>Foglio Tiri</t>
        </is>
      </c>
    </row>
    <row r="758" ht="22" customHeight="1">
      <c r="A758" s="97">
        <f>IF('Calendario E'!A78="","",'Calendario E'!A78)</f>
        <v/>
      </c>
      <c r="B758" s="61">
        <f>IF('Calendario E'!B78="","",'Calendario E'!B78)</f>
        <v/>
      </c>
      <c r="C758" s="62">
        <f>IF('Calendario E'!C78="","",'Calendario E'!C78)</f>
        <v/>
      </c>
      <c r="D758" s="61">
        <f>IF('Calendario E'!D78="","",'Calendario E'!D78)</f>
        <v/>
      </c>
      <c r="E758" s="62">
        <f>IF('Calendario E'!E78="","",'Calendario E'!E78)</f>
        <v/>
      </c>
      <c r="F758" s="63">
        <f>IF('Calendario E'!F78="","",'Calendario E'!F78)</f>
        <v/>
      </c>
      <c r="G758" s="9" t="n"/>
      <c r="H758" s="9" t="n"/>
      <c r="I758" s="10" t="n"/>
      <c r="J758" s="195">
        <f>IF('Calendario E'!J78="","",'Calendario E'!J78)</f>
        <v/>
      </c>
      <c r="K758" s="64" t="inlineStr">
        <is>
          <t>-</t>
        </is>
      </c>
      <c r="L758" s="195">
        <f>IF('Calendario E'!L78="","",'Calendario E'!L78)</f>
        <v/>
      </c>
      <c r="M758" s="196" t="n"/>
      <c r="N758" s="196" t="n"/>
      <c r="O758" s="196" t="n"/>
      <c r="P758" s="196" t="n"/>
      <c r="Q758" s="196" t="n"/>
      <c r="R758" s="196" t="n"/>
    </row>
    <row r="759" ht="15" customHeight="1">
      <c r="A759" s="141" t="n"/>
      <c r="B759" s="69">
        <f>IF('Calendario E'!B79="","",'Calendario E'!B79)</f>
        <v/>
      </c>
      <c r="C759" s="9" t="n"/>
      <c r="D759" s="9" t="n"/>
      <c r="E759" s="9" t="n"/>
      <c r="F759" s="9" t="n"/>
      <c r="G759" s="9" t="n"/>
      <c r="H759" s="10" t="n"/>
      <c r="I759" s="62">
        <f>IF('Calendario E'!I79="","",'Calendario E'!I79)</f>
        <v/>
      </c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</row>
    <row r="760" ht="14" customHeight="1">
      <c r="A760" s="95" t="inlineStr">
        <is>
          <t>Gara N.</t>
        </is>
      </c>
      <c r="B760" s="95" t="inlineStr">
        <is>
          <t>Squadra A</t>
        </is>
      </c>
      <c r="C760" s="10" t="n"/>
      <c r="D760" s="95" t="inlineStr">
        <is>
          <t>Squadra B</t>
        </is>
      </c>
      <c r="E760" s="10" t="n"/>
      <c r="F760" s="95" t="inlineStr">
        <is>
          <t>Giorno</t>
        </is>
      </c>
      <c r="G760" s="95" t="inlineStr">
        <is>
          <t>Data</t>
        </is>
      </c>
      <c r="H760" s="95" t="inlineStr">
        <is>
          <t>Ora</t>
        </is>
      </c>
      <c r="I760" s="10" t="n"/>
      <c r="J760" s="95" t="inlineStr">
        <is>
          <t>Risultato</t>
        </is>
      </c>
      <c r="K760" s="9" t="n"/>
      <c r="L760" s="10" t="n"/>
      <c r="M760" s="205" t="inlineStr">
        <is>
          <t>1o Arbitro</t>
        </is>
      </c>
      <c r="N760" s="205" t="inlineStr">
        <is>
          <t>2o Arbitro</t>
        </is>
      </c>
      <c r="O760" s="205" t="inlineStr">
        <is>
          <t>3o Arbitro/Tirocinante</t>
        </is>
      </c>
      <c r="P760" s="205" t="inlineStr">
        <is>
          <t>Referto</t>
        </is>
      </c>
      <c r="Q760" s="205" t="inlineStr">
        <is>
          <t>Cronometro</t>
        </is>
      </c>
      <c r="R760" s="205" t="inlineStr">
        <is>
          <t>Foglio Tiri</t>
        </is>
      </c>
    </row>
    <row r="761" ht="22" customHeight="1">
      <c r="A761" s="97">
        <f>IF('Calendario E'!A81="","",'Calendario E'!A81)</f>
        <v/>
      </c>
      <c r="B761" s="61">
        <f>IF('Calendario E'!B81="","",'Calendario E'!B81)</f>
        <v/>
      </c>
      <c r="C761" s="62">
        <f>IF('Calendario E'!C81="","",'Calendario E'!C81)</f>
        <v/>
      </c>
      <c r="D761" s="61">
        <f>IF('Calendario E'!D81="","",'Calendario E'!D81)</f>
        <v/>
      </c>
      <c r="E761" s="62">
        <f>IF('Calendario E'!E81="","",'Calendario E'!E81)</f>
        <v/>
      </c>
      <c r="F761" s="63">
        <f>IF('Calendario E'!F81="","",'Calendario E'!F81)</f>
        <v/>
      </c>
      <c r="G761" s="9" t="n"/>
      <c r="H761" s="9" t="n"/>
      <c r="I761" s="10" t="n"/>
      <c r="J761" s="195">
        <f>IF('Calendario E'!J81="","",'Calendario E'!J81)</f>
        <v/>
      </c>
      <c r="K761" s="64" t="inlineStr">
        <is>
          <t>-</t>
        </is>
      </c>
      <c r="L761" s="195">
        <f>IF('Calendario E'!L81="","",'Calendario E'!L81)</f>
        <v/>
      </c>
      <c r="M761" s="196" t="n"/>
      <c r="N761" s="196" t="n"/>
      <c r="O761" s="196" t="n"/>
      <c r="P761" s="196" t="n"/>
      <c r="Q761" s="196" t="n"/>
      <c r="R761" s="196" t="n"/>
    </row>
    <row r="762" ht="15" customHeight="1">
      <c r="A762" s="141" t="n"/>
      <c r="B762" s="69">
        <f>IF('Calendario E'!B82="","",'Calendario E'!B82)</f>
        <v/>
      </c>
      <c r="C762" s="9" t="n"/>
      <c r="D762" s="9" t="n"/>
      <c r="E762" s="9" t="n"/>
      <c r="F762" s="9" t="n"/>
      <c r="G762" s="9" t="n"/>
      <c r="H762" s="10" t="n"/>
      <c r="I762" s="62">
        <f>IF('Calendario E'!I82="","",'Calendario E'!I82)</f>
        <v/>
      </c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</row>
    <row r="763" ht="14" customHeight="1">
      <c r="A763" s="95" t="inlineStr">
        <is>
          <t>Gara N.</t>
        </is>
      </c>
      <c r="B763" s="95" t="inlineStr">
        <is>
          <t>Squadra A</t>
        </is>
      </c>
      <c r="C763" s="10" t="n"/>
      <c r="D763" s="95" t="inlineStr">
        <is>
          <t>Squadra B</t>
        </is>
      </c>
      <c r="E763" s="10" t="n"/>
      <c r="F763" s="95" t="inlineStr">
        <is>
          <t>Giorno</t>
        </is>
      </c>
      <c r="G763" s="95" t="inlineStr">
        <is>
          <t>Data</t>
        </is>
      </c>
      <c r="H763" s="95" t="inlineStr">
        <is>
          <t>Ora</t>
        </is>
      </c>
      <c r="I763" s="10" t="n"/>
      <c r="J763" s="95" t="inlineStr">
        <is>
          <t>Risultato</t>
        </is>
      </c>
      <c r="K763" s="9" t="n"/>
      <c r="L763" s="10" t="n"/>
      <c r="M763" s="205" t="inlineStr">
        <is>
          <t>1o Arbitro</t>
        </is>
      </c>
      <c r="N763" s="205" t="inlineStr">
        <is>
          <t>2o Arbitro</t>
        </is>
      </c>
      <c r="O763" s="205" t="inlineStr">
        <is>
          <t>3o Arbitro/Tirocinante</t>
        </is>
      </c>
      <c r="P763" s="205" t="inlineStr">
        <is>
          <t>Referto</t>
        </is>
      </c>
      <c r="Q763" s="205" t="inlineStr">
        <is>
          <t>Cronometro</t>
        </is>
      </c>
      <c r="R763" s="205" t="inlineStr">
        <is>
          <t>Foglio Tiri</t>
        </is>
      </c>
    </row>
    <row r="764" ht="22" customHeight="1">
      <c r="A764" s="97">
        <f>IF('Calendario E'!A84="","",'Calendario E'!A84)</f>
        <v/>
      </c>
      <c r="B764" s="61">
        <f>IF('Calendario E'!B84="","",'Calendario E'!B84)</f>
        <v/>
      </c>
      <c r="C764" s="62">
        <f>IF('Calendario E'!C84="","",'Calendario E'!C84)</f>
        <v/>
      </c>
      <c r="D764" s="61">
        <f>IF('Calendario E'!D84="","",'Calendario E'!D84)</f>
        <v/>
      </c>
      <c r="E764" s="62">
        <f>IF('Calendario E'!E84="","",'Calendario E'!E84)</f>
        <v/>
      </c>
      <c r="F764" s="63">
        <f>IF('Calendario E'!F84="","",'Calendario E'!F84)</f>
        <v/>
      </c>
      <c r="G764" s="9" t="n"/>
      <c r="H764" s="9" t="n"/>
      <c r="I764" s="10" t="n"/>
      <c r="J764" s="195">
        <f>IF('Calendario E'!J84="","",'Calendario E'!J84)</f>
        <v/>
      </c>
      <c r="K764" s="64" t="inlineStr">
        <is>
          <t>-</t>
        </is>
      </c>
      <c r="L764" s="195">
        <f>IF('Calendario E'!L84="","",'Calendario E'!L84)</f>
        <v/>
      </c>
      <c r="M764" s="196" t="n"/>
      <c r="N764" s="196" t="n"/>
      <c r="O764" s="196" t="n"/>
      <c r="P764" s="196" t="n"/>
      <c r="Q764" s="196" t="n"/>
      <c r="R764" s="196" t="n"/>
    </row>
    <row r="765" ht="15" customHeight="1">
      <c r="A765" s="141" t="n"/>
      <c r="B765" s="69">
        <f>IF('Calendario E'!B85="","",'Calendario E'!B85)</f>
        <v/>
      </c>
      <c r="C765" s="9" t="n"/>
      <c r="D765" s="9" t="n"/>
      <c r="E765" s="9" t="n"/>
      <c r="F765" s="9" t="n"/>
      <c r="G765" s="9" t="n"/>
      <c r="H765" s="10" t="n"/>
      <c r="I765" s="62">
        <f>IF('Calendario E'!I85="","",'Calendario E'!I85)</f>
        <v/>
      </c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</row>
    <row r="766" ht="14" customHeight="1">
      <c r="A766" s="95" t="inlineStr">
        <is>
          <t>Gara N.</t>
        </is>
      </c>
      <c r="B766" s="95" t="inlineStr">
        <is>
          <t>Squadra A</t>
        </is>
      </c>
      <c r="C766" s="10" t="n"/>
      <c r="D766" s="95" t="inlineStr">
        <is>
          <t>Squadra B</t>
        </is>
      </c>
      <c r="E766" s="10" t="n"/>
      <c r="F766" s="95" t="inlineStr">
        <is>
          <t>Giorno</t>
        </is>
      </c>
      <c r="G766" s="95" t="inlineStr">
        <is>
          <t>Data</t>
        </is>
      </c>
      <c r="H766" s="95" t="inlineStr">
        <is>
          <t>Ora</t>
        </is>
      </c>
      <c r="I766" s="10" t="n"/>
      <c r="J766" s="95" t="inlineStr">
        <is>
          <t>Risultato</t>
        </is>
      </c>
      <c r="K766" s="9" t="n"/>
      <c r="L766" s="10" t="n"/>
      <c r="M766" s="205" t="inlineStr">
        <is>
          <t>1o Arbitro</t>
        </is>
      </c>
      <c r="N766" s="205" t="inlineStr">
        <is>
          <t>2o Arbitro</t>
        </is>
      </c>
      <c r="O766" s="205" t="inlineStr">
        <is>
          <t>3o Arbitro/Tirocinante</t>
        </is>
      </c>
      <c r="P766" s="205" t="inlineStr">
        <is>
          <t>Referto</t>
        </is>
      </c>
      <c r="Q766" s="205" t="inlineStr">
        <is>
          <t>Cronometro</t>
        </is>
      </c>
      <c r="R766" s="205" t="inlineStr">
        <is>
          <t>Foglio Tiri</t>
        </is>
      </c>
    </row>
    <row r="767" ht="22" customHeight="1">
      <c r="A767" s="97">
        <f>IF('Calendario E'!A87="","",'Calendario E'!A87)</f>
        <v/>
      </c>
      <c r="B767" s="61">
        <f>IF('Calendario E'!B87="","",'Calendario E'!B87)</f>
        <v/>
      </c>
      <c r="C767" s="62">
        <f>IF('Calendario E'!C87="","",'Calendario E'!C87)</f>
        <v/>
      </c>
      <c r="D767" s="61">
        <f>IF('Calendario E'!D87="","",'Calendario E'!D87)</f>
        <v/>
      </c>
      <c r="E767" s="62">
        <f>IF('Calendario E'!E87="","",'Calendario E'!E87)</f>
        <v/>
      </c>
      <c r="F767" s="63">
        <f>IF('Calendario E'!F87="","",'Calendario E'!F87)</f>
        <v/>
      </c>
      <c r="G767" s="9" t="n"/>
      <c r="H767" s="9" t="n"/>
      <c r="I767" s="10" t="n"/>
      <c r="J767" s="195">
        <f>IF('Calendario E'!J87="","",'Calendario E'!J87)</f>
        <v/>
      </c>
      <c r="K767" s="64" t="inlineStr">
        <is>
          <t>-</t>
        </is>
      </c>
      <c r="L767" s="195">
        <f>IF('Calendario E'!L87="","",'Calendario E'!L87)</f>
        <v/>
      </c>
      <c r="M767" s="196" t="n"/>
      <c r="N767" s="196" t="n"/>
      <c r="O767" s="196" t="n"/>
      <c r="P767" s="196" t="n"/>
      <c r="Q767" s="196" t="n"/>
      <c r="R767" s="196" t="n"/>
    </row>
    <row r="768" ht="15" customHeight="1">
      <c r="A768" s="141" t="n"/>
      <c r="B768" s="69">
        <f>IF('Calendario E'!B88="","",'Calendario E'!B88)</f>
        <v/>
      </c>
      <c r="C768" s="9" t="n"/>
      <c r="D768" s="9" t="n"/>
      <c r="E768" s="9" t="n"/>
      <c r="F768" s="9" t="n"/>
      <c r="G768" s="9" t="n"/>
      <c r="H768" s="10" t="n"/>
      <c r="I768" s="62">
        <f>IF('Calendario E'!I88="","",'Calendario E'!I88)</f>
        <v/>
      </c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</row>
    <row r="769" ht="14" customHeight="1">
      <c r="A769" s="95" t="inlineStr">
        <is>
          <t>Gara N.</t>
        </is>
      </c>
      <c r="B769" s="95" t="inlineStr">
        <is>
          <t>Squadra A</t>
        </is>
      </c>
      <c r="C769" s="10" t="n"/>
      <c r="D769" s="95" t="inlineStr">
        <is>
          <t>Squadra B</t>
        </is>
      </c>
      <c r="E769" s="10" t="n"/>
      <c r="F769" s="95" t="inlineStr">
        <is>
          <t>Giorno</t>
        </is>
      </c>
      <c r="G769" s="95" t="inlineStr">
        <is>
          <t>Data</t>
        </is>
      </c>
      <c r="H769" s="95" t="inlineStr">
        <is>
          <t>Ora</t>
        </is>
      </c>
      <c r="I769" s="10" t="n"/>
      <c r="J769" s="95" t="inlineStr">
        <is>
          <t>Risultato</t>
        </is>
      </c>
      <c r="K769" s="9" t="n"/>
      <c r="L769" s="10" t="n"/>
      <c r="M769" s="205" t="inlineStr">
        <is>
          <t>1o Arbitro</t>
        </is>
      </c>
      <c r="N769" s="205" t="inlineStr">
        <is>
          <t>2o Arbitro</t>
        </is>
      </c>
      <c r="O769" s="205" t="inlineStr">
        <is>
          <t>3o Arbitro/Tirocinante</t>
        </is>
      </c>
      <c r="P769" s="205" t="inlineStr">
        <is>
          <t>Referto</t>
        </is>
      </c>
      <c r="Q769" s="205" t="inlineStr">
        <is>
          <t>Cronometro</t>
        </is>
      </c>
      <c r="R769" s="205" t="inlineStr">
        <is>
          <t>Foglio Tiri</t>
        </is>
      </c>
    </row>
    <row r="770" ht="22" customHeight="1">
      <c r="A770" s="97">
        <f>IF('Calendario E'!A90="","",'Calendario E'!A90)</f>
        <v/>
      </c>
      <c r="B770" s="61">
        <f>IF('Calendario E'!B90="","",'Calendario E'!B90)</f>
        <v/>
      </c>
      <c r="C770" s="62">
        <f>IF('Calendario E'!C90="","",'Calendario E'!C90)</f>
        <v/>
      </c>
      <c r="D770" s="61">
        <f>IF('Calendario E'!D90="","",'Calendario E'!D90)</f>
        <v/>
      </c>
      <c r="E770" s="62">
        <f>IF('Calendario E'!E90="","",'Calendario E'!E90)</f>
        <v/>
      </c>
      <c r="F770" s="63">
        <f>IF('Calendario E'!F90="","",'Calendario E'!F90)</f>
        <v/>
      </c>
      <c r="G770" s="9" t="n"/>
      <c r="H770" s="9" t="n"/>
      <c r="I770" s="10" t="n"/>
      <c r="J770" s="195">
        <f>IF('Calendario E'!J90="","",'Calendario E'!J90)</f>
        <v/>
      </c>
      <c r="K770" s="64" t="inlineStr">
        <is>
          <t>-</t>
        </is>
      </c>
      <c r="L770" s="195">
        <f>IF('Calendario E'!L90="","",'Calendario E'!L90)</f>
        <v/>
      </c>
      <c r="M770" s="196" t="n"/>
      <c r="N770" s="196" t="n"/>
      <c r="O770" s="196" t="n"/>
      <c r="P770" s="196" t="n"/>
      <c r="Q770" s="196" t="n"/>
      <c r="R770" s="196" t="n"/>
    </row>
    <row r="771" ht="15" customHeight="1">
      <c r="A771" s="141" t="n"/>
      <c r="B771" s="69">
        <f>IF('Calendario E'!B91="","",'Calendario E'!B91)</f>
        <v/>
      </c>
      <c r="C771" s="9" t="n"/>
      <c r="D771" s="9" t="n"/>
      <c r="E771" s="9" t="n"/>
      <c r="F771" s="9" t="n"/>
      <c r="G771" s="9" t="n"/>
      <c r="H771" s="10" t="n"/>
      <c r="I771" s="62">
        <f>IF('Calendario E'!I91="","",'Calendario E'!I91)</f>
        <v/>
      </c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</row>
    <row r="773" ht="20" customHeight="1">
      <c r="A773" s="92">
        <f>IF('Calendario E'!A93="","",'Calendario E'!A93)</f>
        <v/>
      </c>
      <c r="B773" s="93">
        <f>IF('Calendario E'!B93="","",'Calendario E'!B93)</f>
        <v/>
      </c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10" t="n"/>
      <c r="M773" s="204" t="inlineStr">
        <is>
          <t>ARBITRI</t>
        </is>
      </c>
      <c r="N773" s="9" t="n"/>
      <c r="O773" s="10" t="n"/>
      <c r="P773" s="204" t="inlineStr">
        <is>
          <t>UFFICIALI DI CAMPO</t>
        </is>
      </c>
      <c r="Q773" s="9" t="n"/>
      <c r="R773" s="10" t="n"/>
    </row>
    <row r="774" ht="14" customHeight="1">
      <c r="A774" s="95" t="inlineStr">
        <is>
          <t>Gara N.</t>
        </is>
      </c>
      <c r="B774" s="95" t="inlineStr">
        <is>
          <t>Squadra A</t>
        </is>
      </c>
      <c r="C774" s="10" t="n"/>
      <c r="D774" s="95" t="inlineStr">
        <is>
          <t>Squadra B</t>
        </is>
      </c>
      <c r="E774" s="10" t="n"/>
      <c r="F774" s="95" t="inlineStr">
        <is>
          <t>Giorno</t>
        </is>
      </c>
      <c r="G774" s="95" t="inlineStr">
        <is>
          <t>Data</t>
        </is>
      </c>
      <c r="H774" s="95" t="inlineStr">
        <is>
          <t>Ora</t>
        </is>
      </c>
      <c r="I774" s="10" t="n"/>
      <c r="J774" s="95" t="inlineStr">
        <is>
          <t>Risultato</t>
        </is>
      </c>
      <c r="K774" s="9" t="n"/>
      <c r="L774" s="10" t="n"/>
      <c r="M774" s="205" t="inlineStr">
        <is>
          <t>1o Arbitro</t>
        </is>
      </c>
      <c r="N774" s="205" t="inlineStr">
        <is>
          <t>2o Arbitro</t>
        </is>
      </c>
      <c r="O774" s="205" t="inlineStr">
        <is>
          <t>3o Arbitro/Tirocinante</t>
        </is>
      </c>
      <c r="P774" s="205" t="inlineStr">
        <is>
          <t>Referto</t>
        </is>
      </c>
      <c r="Q774" s="205" t="inlineStr">
        <is>
          <t>Cronometro</t>
        </is>
      </c>
      <c r="R774" s="205" t="inlineStr">
        <is>
          <t>Foglio Tiri</t>
        </is>
      </c>
    </row>
    <row r="775" ht="22" customHeight="1">
      <c r="A775" s="97">
        <f>IF('Calendario E'!A95="","",'Calendario E'!A95)</f>
        <v/>
      </c>
      <c r="B775" s="61">
        <f>IF('Calendario E'!B95="","",'Calendario E'!B95)</f>
        <v/>
      </c>
      <c r="C775" s="62">
        <f>IF('Calendario E'!C95="","",'Calendario E'!C95)</f>
        <v/>
      </c>
      <c r="D775" s="61">
        <f>IF('Calendario E'!D95="","",'Calendario E'!D95)</f>
        <v/>
      </c>
      <c r="E775" s="62">
        <f>IF('Calendario E'!E95="","",'Calendario E'!E95)</f>
        <v/>
      </c>
      <c r="F775" s="63">
        <f>IF('Calendario E'!F95="","",'Calendario E'!F95)</f>
        <v/>
      </c>
      <c r="G775" s="9" t="n"/>
      <c r="H775" s="9" t="n"/>
      <c r="I775" s="10" t="n"/>
      <c r="J775" s="195">
        <f>IF('Calendario E'!J95="","",'Calendario E'!J95)</f>
        <v/>
      </c>
      <c r="K775" s="64" t="inlineStr">
        <is>
          <t>-</t>
        </is>
      </c>
      <c r="L775" s="195">
        <f>IF('Calendario E'!L95="","",'Calendario E'!L95)</f>
        <v/>
      </c>
      <c r="M775" s="196" t="n"/>
      <c r="N775" s="196" t="n"/>
      <c r="O775" s="196" t="n"/>
      <c r="P775" s="196" t="n"/>
      <c r="Q775" s="196" t="n"/>
      <c r="R775" s="196" t="n"/>
    </row>
    <row r="776" ht="15" customHeight="1">
      <c r="A776" s="141" t="n"/>
      <c r="B776" s="69">
        <f>IF('Calendario E'!B96="","",'Calendario E'!B96)</f>
        <v/>
      </c>
      <c r="C776" s="9" t="n"/>
      <c r="D776" s="9" t="n"/>
      <c r="E776" s="9" t="n"/>
      <c r="F776" s="9" t="n"/>
      <c r="G776" s="9" t="n"/>
      <c r="H776" s="10" t="n"/>
      <c r="I776" s="62">
        <f>IF('Calendario E'!I96="","",'Calendario E'!I96)</f>
        <v/>
      </c>
      <c r="J776" s="141" t="n"/>
      <c r="K776" s="141" t="n"/>
      <c r="L776" s="141" t="n"/>
      <c r="M776" s="141" t="n"/>
      <c r="N776" s="141" t="n"/>
      <c r="O776" s="141" t="n"/>
      <c r="P776" s="141" t="n"/>
      <c r="Q776" s="141" t="n"/>
      <c r="R776" s="141" t="n"/>
    </row>
    <row r="777" ht="14" customHeight="1">
      <c r="A777" s="95" t="inlineStr">
        <is>
          <t>Gara N.</t>
        </is>
      </c>
      <c r="B777" s="95" t="inlineStr">
        <is>
          <t>Squadra A</t>
        </is>
      </c>
      <c r="C777" s="10" t="n"/>
      <c r="D777" s="95" t="inlineStr">
        <is>
          <t>Squadra B</t>
        </is>
      </c>
      <c r="E777" s="10" t="n"/>
      <c r="F777" s="95" t="inlineStr">
        <is>
          <t>Giorno</t>
        </is>
      </c>
      <c r="G777" s="95" t="inlineStr">
        <is>
          <t>Data</t>
        </is>
      </c>
      <c r="H777" s="95" t="inlineStr">
        <is>
          <t>Ora</t>
        </is>
      </c>
      <c r="I777" s="10" t="n"/>
      <c r="J777" s="95" t="inlineStr">
        <is>
          <t>Risultato</t>
        </is>
      </c>
      <c r="K777" s="9" t="n"/>
      <c r="L777" s="10" t="n"/>
      <c r="M777" s="205" t="inlineStr">
        <is>
          <t>1o Arbitro</t>
        </is>
      </c>
      <c r="N777" s="205" t="inlineStr">
        <is>
          <t>2o Arbitro</t>
        </is>
      </c>
      <c r="O777" s="205" t="inlineStr">
        <is>
          <t>3o Arbitro/Tirocinante</t>
        </is>
      </c>
      <c r="P777" s="205" t="inlineStr">
        <is>
          <t>Referto</t>
        </is>
      </c>
      <c r="Q777" s="205" t="inlineStr">
        <is>
          <t>Cronometro</t>
        </is>
      </c>
      <c r="R777" s="205" t="inlineStr">
        <is>
          <t>Foglio Tiri</t>
        </is>
      </c>
    </row>
    <row r="778" ht="22" customHeight="1">
      <c r="A778" s="97">
        <f>IF('Calendario E'!A98="","",'Calendario E'!A98)</f>
        <v/>
      </c>
      <c r="B778" s="61">
        <f>IF('Calendario E'!B98="","",'Calendario E'!B98)</f>
        <v/>
      </c>
      <c r="C778" s="62">
        <f>IF('Calendario E'!C98="","",'Calendario E'!C98)</f>
        <v/>
      </c>
      <c r="D778" s="61">
        <f>IF('Calendario E'!D98="","",'Calendario E'!D98)</f>
        <v/>
      </c>
      <c r="E778" s="62">
        <f>IF('Calendario E'!E98="","",'Calendario E'!E98)</f>
        <v/>
      </c>
      <c r="F778" s="63">
        <f>IF('Calendario E'!F98="","",'Calendario E'!F98)</f>
        <v/>
      </c>
      <c r="G778" s="9" t="n"/>
      <c r="H778" s="9" t="n"/>
      <c r="I778" s="10" t="n"/>
      <c r="J778" s="195">
        <f>IF('Calendario E'!J98="","",'Calendario E'!J98)</f>
        <v/>
      </c>
      <c r="K778" s="64" t="inlineStr">
        <is>
          <t>-</t>
        </is>
      </c>
      <c r="L778" s="195">
        <f>IF('Calendario E'!L98="","",'Calendario E'!L98)</f>
        <v/>
      </c>
      <c r="M778" s="196" t="n"/>
      <c r="N778" s="196" t="n"/>
      <c r="O778" s="196" t="n"/>
      <c r="P778" s="196" t="n"/>
      <c r="Q778" s="196" t="n"/>
      <c r="R778" s="196" t="n"/>
    </row>
    <row r="779" ht="15" customHeight="1">
      <c r="A779" s="141" t="n"/>
      <c r="B779" s="69">
        <f>IF('Calendario E'!B99="","",'Calendario E'!B99)</f>
        <v/>
      </c>
      <c r="C779" s="9" t="n"/>
      <c r="D779" s="9" t="n"/>
      <c r="E779" s="9" t="n"/>
      <c r="F779" s="9" t="n"/>
      <c r="G779" s="9" t="n"/>
      <c r="H779" s="10" t="n"/>
      <c r="I779" s="62">
        <f>IF('Calendario E'!I99="","",'Calendario E'!I99)</f>
        <v/>
      </c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</row>
    <row r="780" ht="14" customHeight="1">
      <c r="A780" s="95" t="inlineStr">
        <is>
          <t>Gara N.</t>
        </is>
      </c>
      <c r="B780" s="95" t="inlineStr">
        <is>
          <t>Squadra A</t>
        </is>
      </c>
      <c r="C780" s="10" t="n"/>
      <c r="D780" s="95" t="inlineStr">
        <is>
          <t>Squadra B</t>
        </is>
      </c>
      <c r="E780" s="10" t="n"/>
      <c r="F780" s="95" t="inlineStr">
        <is>
          <t>Giorno</t>
        </is>
      </c>
      <c r="G780" s="95" t="inlineStr">
        <is>
          <t>Data</t>
        </is>
      </c>
      <c r="H780" s="95" t="inlineStr">
        <is>
          <t>Ora</t>
        </is>
      </c>
      <c r="I780" s="10" t="n"/>
      <c r="J780" s="95" t="inlineStr">
        <is>
          <t>Risultato</t>
        </is>
      </c>
      <c r="K780" s="9" t="n"/>
      <c r="L780" s="10" t="n"/>
      <c r="M780" s="205" t="inlineStr">
        <is>
          <t>1o Arbitro</t>
        </is>
      </c>
      <c r="N780" s="205" t="inlineStr">
        <is>
          <t>2o Arbitro</t>
        </is>
      </c>
      <c r="O780" s="205" t="inlineStr">
        <is>
          <t>3o Arbitro/Tirocinante</t>
        </is>
      </c>
      <c r="P780" s="205" t="inlineStr">
        <is>
          <t>Referto</t>
        </is>
      </c>
      <c r="Q780" s="205" t="inlineStr">
        <is>
          <t>Cronometro</t>
        </is>
      </c>
      <c r="R780" s="205" t="inlineStr">
        <is>
          <t>Foglio Tiri</t>
        </is>
      </c>
    </row>
    <row r="781" ht="22" customHeight="1">
      <c r="A781" s="97">
        <f>IF('Calendario E'!A101="","",'Calendario E'!A101)</f>
        <v/>
      </c>
      <c r="B781" s="61">
        <f>IF('Calendario E'!B101="","",'Calendario E'!B101)</f>
        <v/>
      </c>
      <c r="C781" s="62">
        <f>IF('Calendario E'!C101="","",'Calendario E'!C101)</f>
        <v/>
      </c>
      <c r="D781" s="61">
        <f>IF('Calendario E'!D101="","",'Calendario E'!D101)</f>
        <v/>
      </c>
      <c r="E781" s="62">
        <f>IF('Calendario E'!E101="","",'Calendario E'!E101)</f>
        <v/>
      </c>
      <c r="F781" s="63">
        <f>IF('Calendario E'!F101="","",'Calendario E'!F101)</f>
        <v/>
      </c>
      <c r="G781" s="9" t="n"/>
      <c r="H781" s="9" t="n"/>
      <c r="I781" s="10" t="n"/>
      <c r="J781" s="195">
        <f>IF('Calendario E'!J101="","",'Calendario E'!J101)</f>
        <v/>
      </c>
      <c r="K781" s="64" t="inlineStr">
        <is>
          <t>-</t>
        </is>
      </c>
      <c r="L781" s="195">
        <f>IF('Calendario E'!L101="","",'Calendario E'!L101)</f>
        <v/>
      </c>
      <c r="M781" s="196" t="n"/>
      <c r="N781" s="196" t="n"/>
      <c r="O781" s="196" t="n"/>
      <c r="P781" s="196" t="n"/>
      <c r="Q781" s="196" t="n"/>
      <c r="R781" s="196" t="n"/>
    </row>
    <row r="782" ht="15" customHeight="1">
      <c r="A782" s="141" t="n"/>
      <c r="B782" s="69">
        <f>IF('Calendario E'!B102="","",'Calendario E'!B102)</f>
        <v/>
      </c>
      <c r="C782" s="9" t="n"/>
      <c r="D782" s="9" t="n"/>
      <c r="E782" s="9" t="n"/>
      <c r="F782" s="9" t="n"/>
      <c r="G782" s="9" t="n"/>
      <c r="H782" s="10" t="n"/>
      <c r="I782" s="62">
        <f>IF('Calendario E'!I102="","",'Calendario E'!I102)</f>
        <v/>
      </c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</row>
    <row r="783" ht="14" customHeight="1">
      <c r="A783" s="95" t="inlineStr">
        <is>
          <t>Gara N.</t>
        </is>
      </c>
      <c r="B783" s="95" t="inlineStr">
        <is>
          <t>Squadra A</t>
        </is>
      </c>
      <c r="C783" s="10" t="n"/>
      <c r="D783" s="95" t="inlineStr">
        <is>
          <t>Squadra B</t>
        </is>
      </c>
      <c r="E783" s="10" t="n"/>
      <c r="F783" s="95" t="inlineStr">
        <is>
          <t>Giorno</t>
        </is>
      </c>
      <c r="G783" s="95" t="inlineStr">
        <is>
          <t>Data</t>
        </is>
      </c>
      <c r="H783" s="95" t="inlineStr">
        <is>
          <t>Ora</t>
        </is>
      </c>
      <c r="I783" s="10" t="n"/>
      <c r="J783" s="95" t="inlineStr">
        <is>
          <t>Risultato</t>
        </is>
      </c>
      <c r="K783" s="9" t="n"/>
      <c r="L783" s="10" t="n"/>
      <c r="M783" s="205" t="inlineStr">
        <is>
          <t>1o Arbitro</t>
        </is>
      </c>
      <c r="N783" s="205" t="inlineStr">
        <is>
          <t>2o Arbitro</t>
        </is>
      </c>
      <c r="O783" s="205" t="inlineStr">
        <is>
          <t>3o Arbitro/Tirocinante</t>
        </is>
      </c>
      <c r="P783" s="205" t="inlineStr">
        <is>
          <t>Referto</t>
        </is>
      </c>
      <c r="Q783" s="205" t="inlineStr">
        <is>
          <t>Cronometro</t>
        </is>
      </c>
      <c r="R783" s="205" t="inlineStr">
        <is>
          <t>Foglio Tiri</t>
        </is>
      </c>
    </row>
    <row r="784" ht="22" customHeight="1">
      <c r="A784" s="97">
        <f>IF('Calendario E'!A104="","",'Calendario E'!A104)</f>
        <v/>
      </c>
      <c r="B784" s="61">
        <f>IF('Calendario E'!B104="","",'Calendario E'!B104)</f>
        <v/>
      </c>
      <c r="C784" s="62">
        <f>IF('Calendario E'!C104="","",'Calendario E'!C104)</f>
        <v/>
      </c>
      <c r="D784" s="61">
        <f>IF('Calendario E'!D104="","",'Calendario E'!D104)</f>
        <v/>
      </c>
      <c r="E784" s="62">
        <f>IF('Calendario E'!E104="","",'Calendario E'!E104)</f>
        <v/>
      </c>
      <c r="F784" s="63">
        <f>IF('Calendario E'!F104="","",'Calendario E'!F104)</f>
        <v/>
      </c>
      <c r="G784" s="9" t="n"/>
      <c r="H784" s="9" t="n"/>
      <c r="I784" s="10" t="n"/>
      <c r="J784" s="195">
        <f>IF('Calendario E'!J104="","",'Calendario E'!J104)</f>
        <v/>
      </c>
      <c r="K784" s="64" t="inlineStr">
        <is>
          <t>-</t>
        </is>
      </c>
      <c r="L784" s="195">
        <f>IF('Calendario E'!L104="","",'Calendario E'!L104)</f>
        <v/>
      </c>
      <c r="M784" s="196" t="n"/>
      <c r="N784" s="196" t="n"/>
      <c r="O784" s="196" t="n"/>
      <c r="P784" s="196" t="n"/>
      <c r="Q784" s="196" t="n"/>
      <c r="R784" s="196" t="n"/>
    </row>
    <row r="785" ht="15" customHeight="1">
      <c r="A785" s="141" t="n"/>
      <c r="B785" s="69">
        <f>IF('Calendario E'!B105="","",'Calendario E'!B105)</f>
        <v/>
      </c>
      <c r="C785" s="9" t="n"/>
      <c r="D785" s="9" t="n"/>
      <c r="E785" s="9" t="n"/>
      <c r="F785" s="9" t="n"/>
      <c r="G785" s="9" t="n"/>
      <c r="H785" s="10" t="n"/>
      <c r="I785" s="62">
        <f>IF('Calendario E'!I105="","",'Calendario E'!I105)</f>
        <v/>
      </c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</row>
    <row r="786" ht="14" customHeight="1">
      <c r="A786" s="95" t="inlineStr">
        <is>
          <t>Gara N.</t>
        </is>
      </c>
      <c r="B786" s="95" t="inlineStr">
        <is>
          <t>Squadra A</t>
        </is>
      </c>
      <c r="C786" s="10" t="n"/>
      <c r="D786" s="95" t="inlineStr">
        <is>
          <t>Squadra B</t>
        </is>
      </c>
      <c r="E786" s="10" t="n"/>
      <c r="F786" s="95" t="inlineStr">
        <is>
          <t>Giorno</t>
        </is>
      </c>
      <c r="G786" s="95" t="inlineStr">
        <is>
          <t>Data</t>
        </is>
      </c>
      <c r="H786" s="95" t="inlineStr">
        <is>
          <t>Ora</t>
        </is>
      </c>
      <c r="I786" s="10" t="n"/>
      <c r="J786" s="95" t="inlineStr">
        <is>
          <t>Risultato</t>
        </is>
      </c>
      <c r="K786" s="9" t="n"/>
      <c r="L786" s="10" t="n"/>
      <c r="M786" s="205" t="inlineStr">
        <is>
          <t>1o Arbitro</t>
        </is>
      </c>
      <c r="N786" s="205" t="inlineStr">
        <is>
          <t>2o Arbitro</t>
        </is>
      </c>
      <c r="O786" s="205" t="inlineStr">
        <is>
          <t>3o Arbitro/Tirocinante</t>
        </is>
      </c>
      <c r="P786" s="205" t="inlineStr">
        <is>
          <t>Referto</t>
        </is>
      </c>
      <c r="Q786" s="205" t="inlineStr">
        <is>
          <t>Cronometro</t>
        </is>
      </c>
      <c r="R786" s="205" t="inlineStr">
        <is>
          <t>Foglio Tiri</t>
        </is>
      </c>
    </row>
    <row r="787" ht="22" customHeight="1">
      <c r="A787" s="97">
        <f>IF('Calendario E'!A107="","",'Calendario E'!A107)</f>
        <v/>
      </c>
      <c r="B787" s="61">
        <f>IF('Calendario E'!B107="","",'Calendario E'!B107)</f>
        <v/>
      </c>
      <c r="C787" s="62">
        <f>IF('Calendario E'!C107="","",'Calendario E'!C107)</f>
        <v/>
      </c>
      <c r="D787" s="61">
        <f>IF('Calendario E'!D107="","",'Calendario E'!D107)</f>
        <v/>
      </c>
      <c r="E787" s="62">
        <f>IF('Calendario E'!E107="","",'Calendario E'!E107)</f>
        <v/>
      </c>
      <c r="F787" s="63">
        <f>IF('Calendario E'!F107="","",'Calendario E'!F107)</f>
        <v/>
      </c>
      <c r="G787" s="9" t="n"/>
      <c r="H787" s="9" t="n"/>
      <c r="I787" s="10" t="n"/>
      <c r="J787" s="195">
        <f>IF('Calendario E'!J107="","",'Calendario E'!J107)</f>
        <v/>
      </c>
      <c r="K787" s="64" t="inlineStr">
        <is>
          <t>-</t>
        </is>
      </c>
      <c r="L787" s="195">
        <f>IF('Calendario E'!L107="","",'Calendario E'!L107)</f>
        <v/>
      </c>
      <c r="M787" s="196" t="n"/>
      <c r="N787" s="196" t="n"/>
      <c r="O787" s="196" t="n"/>
      <c r="P787" s="196" t="n"/>
      <c r="Q787" s="196" t="n"/>
      <c r="R787" s="196" t="n"/>
    </row>
    <row r="788" ht="15" customHeight="1">
      <c r="A788" s="141" t="n"/>
      <c r="B788" s="69">
        <f>IF('Calendario E'!B108="","",'Calendario E'!B108)</f>
        <v/>
      </c>
      <c r="C788" s="9" t="n"/>
      <c r="D788" s="9" t="n"/>
      <c r="E788" s="9" t="n"/>
      <c r="F788" s="9" t="n"/>
      <c r="G788" s="9" t="n"/>
      <c r="H788" s="10" t="n"/>
      <c r="I788" s="62">
        <f>IF('Calendario E'!I108="","",'Calendario E'!I108)</f>
        <v/>
      </c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</row>
    <row r="790" ht="20" customHeight="1">
      <c r="A790" s="92">
        <f>IF('Calendario E'!A110="","",'Calendario E'!A110)</f>
        <v/>
      </c>
      <c r="B790" s="93">
        <f>IF('Calendario E'!B110="","",'Calendario E'!B110)</f>
        <v/>
      </c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10" t="n"/>
      <c r="M790" s="204" t="inlineStr">
        <is>
          <t>ARBITRI</t>
        </is>
      </c>
      <c r="N790" s="9" t="n"/>
      <c r="O790" s="10" t="n"/>
      <c r="P790" s="204" t="inlineStr">
        <is>
          <t>UFFICIALI DI CAMPO</t>
        </is>
      </c>
      <c r="Q790" s="9" t="n"/>
      <c r="R790" s="10" t="n"/>
    </row>
    <row r="791" ht="14" customHeight="1">
      <c r="A791" s="95" t="inlineStr">
        <is>
          <t>Gara N.</t>
        </is>
      </c>
      <c r="B791" s="95" t="inlineStr">
        <is>
          <t>Squadra A</t>
        </is>
      </c>
      <c r="C791" s="10" t="n"/>
      <c r="D791" s="95" t="inlineStr">
        <is>
          <t>Squadra B</t>
        </is>
      </c>
      <c r="E791" s="10" t="n"/>
      <c r="F791" s="95" t="inlineStr">
        <is>
          <t>Giorno</t>
        </is>
      </c>
      <c r="G791" s="95" t="inlineStr">
        <is>
          <t>Data</t>
        </is>
      </c>
      <c r="H791" s="95" t="inlineStr">
        <is>
          <t>Ora</t>
        </is>
      </c>
      <c r="I791" s="10" t="n"/>
      <c r="J791" s="95" t="inlineStr">
        <is>
          <t>Risultato</t>
        </is>
      </c>
      <c r="K791" s="9" t="n"/>
      <c r="L791" s="10" t="n"/>
      <c r="M791" s="205" t="inlineStr">
        <is>
          <t>1o Arbitro</t>
        </is>
      </c>
      <c r="N791" s="205" t="inlineStr">
        <is>
          <t>2o Arbitro</t>
        </is>
      </c>
      <c r="O791" s="205" t="inlineStr">
        <is>
          <t>3o Arbitro/Tirocinante</t>
        </is>
      </c>
      <c r="P791" s="205" t="inlineStr">
        <is>
          <t>Referto</t>
        </is>
      </c>
      <c r="Q791" s="205" t="inlineStr">
        <is>
          <t>Cronometro</t>
        </is>
      </c>
      <c r="R791" s="205" t="inlineStr">
        <is>
          <t>Foglio Tiri</t>
        </is>
      </c>
    </row>
    <row r="792" ht="22" customHeight="1">
      <c r="A792" s="97">
        <f>IF('Calendario E'!A112="","",'Calendario E'!A112)</f>
        <v/>
      </c>
      <c r="B792" s="61">
        <f>IF('Calendario E'!B112="","",'Calendario E'!B112)</f>
        <v/>
      </c>
      <c r="C792" s="62">
        <f>IF('Calendario E'!C112="","",'Calendario E'!C112)</f>
        <v/>
      </c>
      <c r="D792" s="61">
        <f>IF('Calendario E'!D112="","",'Calendario E'!D112)</f>
        <v/>
      </c>
      <c r="E792" s="62">
        <f>IF('Calendario E'!E112="","",'Calendario E'!E112)</f>
        <v/>
      </c>
      <c r="F792" s="63">
        <f>IF('Calendario E'!F112="","",'Calendario E'!F112)</f>
        <v/>
      </c>
      <c r="G792" s="9" t="n"/>
      <c r="H792" s="9" t="n"/>
      <c r="I792" s="10" t="n"/>
      <c r="J792" s="195">
        <f>IF('Calendario E'!J112="","",'Calendario E'!J112)</f>
        <v/>
      </c>
      <c r="K792" s="64" t="inlineStr">
        <is>
          <t>-</t>
        </is>
      </c>
      <c r="L792" s="195">
        <f>IF('Calendario E'!L112="","",'Calendario E'!L112)</f>
        <v/>
      </c>
      <c r="M792" s="196" t="n"/>
      <c r="N792" s="196" t="n"/>
      <c r="O792" s="196" t="n"/>
      <c r="P792" s="196" t="n"/>
      <c r="Q792" s="196" t="n"/>
      <c r="R792" s="196" t="n"/>
    </row>
    <row r="793" ht="15" customHeight="1">
      <c r="A793" s="141" t="n"/>
      <c r="B793" s="69">
        <f>IF('Calendario E'!B113="","",'Calendario E'!B113)</f>
        <v/>
      </c>
      <c r="C793" s="9" t="n"/>
      <c r="D793" s="9" t="n"/>
      <c r="E793" s="9" t="n"/>
      <c r="F793" s="9" t="n"/>
      <c r="G793" s="9" t="n"/>
      <c r="H793" s="10" t="n"/>
      <c r="I793" s="62">
        <f>IF('Calendario E'!I113="","",'Calendario E'!I113)</f>
        <v/>
      </c>
      <c r="J793" s="141" t="n"/>
      <c r="K793" s="141" t="n"/>
      <c r="L793" s="141" t="n"/>
      <c r="M793" s="141" t="n"/>
      <c r="N793" s="141" t="n"/>
      <c r="O793" s="141" t="n"/>
      <c r="P793" s="141" t="n"/>
      <c r="Q793" s="141" t="n"/>
      <c r="R793" s="141" t="n"/>
    </row>
    <row r="794" ht="14" customHeight="1">
      <c r="A794" s="95" t="inlineStr">
        <is>
          <t>Gara N.</t>
        </is>
      </c>
      <c r="B794" s="95" t="inlineStr">
        <is>
          <t>Squadra A</t>
        </is>
      </c>
      <c r="C794" s="10" t="n"/>
      <c r="D794" s="95" t="inlineStr">
        <is>
          <t>Squadra B</t>
        </is>
      </c>
      <c r="E794" s="10" t="n"/>
      <c r="F794" s="95" t="inlineStr">
        <is>
          <t>Giorno</t>
        </is>
      </c>
      <c r="G794" s="95" t="inlineStr">
        <is>
          <t>Data</t>
        </is>
      </c>
      <c r="H794" s="95" t="inlineStr">
        <is>
          <t>Ora</t>
        </is>
      </c>
      <c r="I794" s="10" t="n"/>
      <c r="J794" s="95" t="inlineStr">
        <is>
          <t>Risultato</t>
        </is>
      </c>
      <c r="K794" s="9" t="n"/>
      <c r="L794" s="10" t="n"/>
      <c r="M794" s="205" t="inlineStr">
        <is>
          <t>1o Arbitro</t>
        </is>
      </c>
      <c r="N794" s="205" t="inlineStr">
        <is>
          <t>2o Arbitro</t>
        </is>
      </c>
      <c r="O794" s="205" t="inlineStr">
        <is>
          <t>3o Arbitro/Tirocinante</t>
        </is>
      </c>
      <c r="P794" s="205" t="inlineStr">
        <is>
          <t>Referto</t>
        </is>
      </c>
      <c r="Q794" s="205" t="inlineStr">
        <is>
          <t>Cronometro</t>
        </is>
      </c>
      <c r="R794" s="205" t="inlineStr">
        <is>
          <t>Foglio Tiri</t>
        </is>
      </c>
    </row>
    <row r="795" ht="22" customHeight="1">
      <c r="A795" s="97">
        <f>IF('Calendario E'!A115="","",'Calendario E'!A115)</f>
        <v/>
      </c>
      <c r="B795" s="61">
        <f>IF('Calendario E'!B115="","",'Calendario E'!B115)</f>
        <v/>
      </c>
      <c r="C795" s="62">
        <f>IF('Calendario E'!C115="","",'Calendario E'!C115)</f>
        <v/>
      </c>
      <c r="D795" s="61">
        <f>IF('Calendario E'!D115="","",'Calendario E'!D115)</f>
        <v/>
      </c>
      <c r="E795" s="62">
        <f>IF('Calendario E'!E115="","",'Calendario E'!E115)</f>
        <v/>
      </c>
      <c r="F795" s="63">
        <f>IF('Calendario E'!F115="","",'Calendario E'!F115)</f>
        <v/>
      </c>
      <c r="G795" s="9" t="n"/>
      <c r="H795" s="9" t="n"/>
      <c r="I795" s="10" t="n"/>
      <c r="J795" s="195">
        <f>IF('Calendario E'!J115="","",'Calendario E'!J115)</f>
        <v/>
      </c>
      <c r="K795" s="64" t="inlineStr">
        <is>
          <t>-</t>
        </is>
      </c>
      <c r="L795" s="195">
        <f>IF('Calendario E'!L115="","",'Calendario E'!L115)</f>
        <v/>
      </c>
      <c r="M795" s="196" t="n"/>
      <c r="N795" s="196" t="n"/>
      <c r="O795" s="196" t="n"/>
      <c r="P795" s="196" t="n"/>
      <c r="Q795" s="196" t="n"/>
      <c r="R795" s="196" t="n"/>
    </row>
    <row r="796" ht="15" customHeight="1">
      <c r="A796" s="141" t="n"/>
      <c r="B796" s="69">
        <f>IF('Calendario E'!B116="","",'Calendario E'!B116)</f>
        <v/>
      </c>
      <c r="C796" s="9" t="n"/>
      <c r="D796" s="9" t="n"/>
      <c r="E796" s="9" t="n"/>
      <c r="F796" s="9" t="n"/>
      <c r="G796" s="9" t="n"/>
      <c r="H796" s="10" t="n"/>
      <c r="I796" s="62">
        <f>IF('Calendario E'!I116="","",'Calendario E'!I116)</f>
        <v/>
      </c>
      <c r="J796" s="141" t="n"/>
      <c r="K796" s="141" t="n"/>
      <c r="L796" s="141" t="n"/>
      <c r="M796" s="141" t="n"/>
      <c r="N796" s="141" t="n"/>
      <c r="O796" s="141" t="n"/>
      <c r="P796" s="141" t="n"/>
      <c r="Q796" s="141" t="n"/>
      <c r="R796" s="141" t="n"/>
    </row>
    <row r="797" ht="14" customHeight="1">
      <c r="A797" s="95" t="inlineStr">
        <is>
          <t>Gara N.</t>
        </is>
      </c>
      <c r="B797" s="95" t="inlineStr">
        <is>
          <t>Squadra A</t>
        </is>
      </c>
      <c r="C797" s="10" t="n"/>
      <c r="D797" s="95" t="inlineStr">
        <is>
          <t>Squadra B</t>
        </is>
      </c>
      <c r="E797" s="10" t="n"/>
      <c r="F797" s="95" t="inlineStr">
        <is>
          <t>Giorno</t>
        </is>
      </c>
      <c r="G797" s="95" t="inlineStr">
        <is>
          <t>Data</t>
        </is>
      </c>
      <c r="H797" s="95" t="inlineStr">
        <is>
          <t>Ora</t>
        </is>
      </c>
      <c r="I797" s="10" t="n"/>
      <c r="J797" s="95" t="inlineStr">
        <is>
          <t>Risultato</t>
        </is>
      </c>
      <c r="K797" s="9" t="n"/>
      <c r="L797" s="10" t="n"/>
      <c r="M797" s="205" t="inlineStr">
        <is>
          <t>1o Arbitro</t>
        </is>
      </c>
      <c r="N797" s="205" t="inlineStr">
        <is>
          <t>2o Arbitro</t>
        </is>
      </c>
      <c r="O797" s="205" t="inlineStr">
        <is>
          <t>3o Arbitro/Tirocinante</t>
        </is>
      </c>
      <c r="P797" s="205" t="inlineStr">
        <is>
          <t>Referto</t>
        </is>
      </c>
      <c r="Q797" s="205" t="inlineStr">
        <is>
          <t>Cronometro</t>
        </is>
      </c>
      <c r="R797" s="205" t="inlineStr">
        <is>
          <t>Foglio Tiri</t>
        </is>
      </c>
    </row>
    <row r="798" ht="22" customHeight="1">
      <c r="A798" s="97">
        <f>IF('Calendario E'!A118="","",'Calendario E'!A118)</f>
        <v/>
      </c>
      <c r="B798" s="61">
        <f>IF('Calendario E'!B118="","",'Calendario E'!B118)</f>
        <v/>
      </c>
      <c r="C798" s="62">
        <f>IF('Calendario E'!C118="","",'Calendario E'!C118)</f>
        <v/>
      </c>
      <c r="D798" s="61">
        <f>IF('Calendario E'!D118="","",'Calendario E'!D118)</f>
        <v/>
      </c>
      <c r="E798" s="62">
        <f>IF('Calendario E'!E118="","",'Calendario E'!E118)</f>
        <v/>
      </c>
      <c r="F798" s="63">
        <f>IF('Calendario E'!F118="","",'Calendario E'!F118)</f>
        <v/>
      </c>
      <c r="G798" s="9" t="n"/>
      <c r="H798" s="9" t="n"/>
      <c r="I798" s="10" t="n"/>
      <c r="J798" s="195">
        <f>IF('Calendario E'!J118="","",'Calendario E'!J118)</f>
        <v/>
      </c>
      <c r="K798" s="64" t="inlineStr">
        <is>
          <t>-</t>
        </is>
      </c>
      <c r="L798" s="195">
        <f>IF('Calendario E'!L118="","",'Calendario E'!L118)</f>
        <v/>
      </c>
      <c r="M798" s="196" t="n"/>
      <c r="N798" s="196" t="n"/>
      <c r="O798" s="196" t="n"/>
      <c r="P798" s="196" t="n"/>
      <c r="Q798" s="196" t="n"/>
      <c r="R798" s="196" t="n"/>
    </row>
    <row r="799" ht="15" customHeight="1">
      <c r="A799" s="141" t="n"/>
      <c r="B799" s="69">
        <f>IF('Calendario E'!B119="","",'Calendario E'!B119)</f>
        <v/>
      </c>
      <c r="C799" s="9" t="n"/>
      <c r="D799" s="9" t="n"/>
      <c r="E799" s="9" t="n"/>
      <c r="F799" s="9" t="n"/>
      <c r="G799" s="9" t="n"/>
      <c r="H799" s="10" t="n"/>
      <c r="I799" s="62">
        <f>IF('Calendario E'!I119="","",'Calendario E'!I119)</f>
        <v/>
      </c>
      <c r="J799" s="141" t="n"/>
      <c r="K799" s="141" t="n"/>
      <c r="L799" s="141" t="n"/>
      <c r="M799" s="141" t="n"/>
      <c r="N799" s="141" t="n"/>
      <c r="O799" s="141" t="n"/>
      <c r="P799" s="141" t="n"/>
      <c r="Q799" s="141" t="n"/>
      <c r="R799" s="141" t="n"/>
    </row>
    <row r="800" ht="14" customHeight="1">
      <c r="A800" s="95" t="inlineStr">
        <is>
          <t>Gara N.</t>
        </is>
      </c>
      <c r="B800" s="95" t="inlineStr">
        <is>
          <t>Squadra A</t>
        </is>
      </c>
      <c r="C800" s="10" t="n"/>
      <c r="D800" s="95" t="inlineStr">
        <is>
          <t>Squadra B</t>
        </is>
      </c>
      <c r="E800" s="10" t="n"/>
      <c r="F800" s="95" t="inlineStr">
        <is>
          <t>Giorno</t>
        </is>
      </c>
      <c r="G800" s="95" t="inlineStr">
        <is>
          <t>Data</t>
        </is>
      </c>
      <c r="H800" s="95" t="inlineStr">
        <is>
          <t>Ora</t>
        </is>
      </c>
      <c r="I800" s="10" t="n"/>
      <c r="J800" s="95" t="inlineStr">
        <is>
          <t>Risultato</t>
        </is>
      </c>
      <c r="K800" s="9" t="n"/>
      <c r="L800" s="10" t="n"/>
      <c r="M800" s="205" t="inlineStr">
        <is>
          <t>1o Arbitro</t>
        </is>
      </c>
      <c r="N800" s="205" t="inlineStr">
        <is>
          <t>2o Arbitro</t>
        </is>
      </c>
      <c r="O800" s="205" t="inlineStr">
        <is>
          <t>3o Arbitro/Tirocinante</t>
        </is>
      </c>
      <c r="P800" s="205" t="inlineStr">
        <is>
          <t>Referto</t>
        </is>
      </c>
      <c r="Q800" s="205" t="inlineStr">
        <is>
          <t>Cronometro</t>
        </is>
      </c>
      <c r="R800" s="205" t="inlineStr">
        <is>
          <t>Foglio Tiri</t>
        </is>
      </c>
    </row>
    <row r="801" ht="22" customHeight="1">
      <c r="A801" s="97">
        <f>IF('Calendario E'!A121="","",'Calendario E'!A121)</f>
        <v/>
      </c>
      <c r="B801" s="61">
        <f>IF('Calendario E'!B121="","",'Calendario E'!B121)</f>
        <v/>
      </c>
      <c r="C801" s="62">
        <f>IF('Calendario E'!C121="","",'Calendario E'!C121)</f>
        <v/>
      </c>
      <c r="D801" s="61">
        <f>IF('Calendario E'!D121="","",'Calendario E'!D121)</f>
        <v/>
      </c>
      <c r="E801" s="62">
        <f>IF('Calendario E'!E121="","",'Calendario E'!E121)</f>
        <v/>
      </c>
      <c r="F801" s="63">
        <f>IF('Calendario E'!F121="","",'Calendario E'!F121)</f>
        <v/>
      </c>
      <c r="G801" s="9" t="n"/>
      <c r="H801" s="9" t="n"/>
      <c r="I801" s="10" t="n"/>
      <c r="J801" s="195">
        <f>IF('Calendario E'!J121="","",'Calendario E'!J121)</f>
        <v/>
      </c>
      <c r="K801" s="64" t="inlineStr">
        <is>
          <t>-</t>
        </is>
      </c>
      <c r="L801" s="195">
        <f>IF('Calendario E'!L121="","",'Calendario E'!L121)</f>
        <v/>
      </c>
      <c r="M801" s="196" t="n"/>
      <c r="N801" s="196" t="n"/>
      <c r="O801" s="196" t="n"/>
      <c r="P801" s="196" t="n"/>
      <c r="Q801" s="196" t="n"/>
      <c r="R801" s="196" t="n"/>
    </row>
    <row r="802" ht="15" customHeight="1">
      <c r="A802" s="141" t="n"/>
      <c r="B802" s="69">
        <f>IF('Calendario E'!B122="","",'Calendario E'!B122)</f>
        <v/>
      </c>
      <c r="C802" s="9" t="n"/>
      <c r="D802" s="9" t="n"/>
      <c r="E802" s="9" t="n"/>
      <c r="F802" s="9" t="n"/>
      <c r="G802" s="9" t="n"/>
      <c r="H802" s="10" t="n"/>
      <c r="I802" s="62">
        <f>IF('Calendario E'!I122="","",'Calendario E'!I122)</f>
        <v/>
      </c>
      <c r="J802" s="141" t="n"/>
      <c r="K802" s="141" t="n"/>
      <c r="L802" s="141" t="n"/>
      <c r="M802" s="141" t="n"/>
      <c r="N802" s="141" t="n"/>
      <c r="O802" s="141" t="n"/>
      <c r="P802" s="141" t="n"/>
      <c r="Q802" s="141" t="n"/>
      <c r="R802" s="141" t="n"/>
    </row>
    <row r="803" ht="14" customHeight="1">
      <c r="A803" s="95" t="inlineStr">
        <is>
          <t>Gara N.</t>
        </is>
      </c>
      <c r="B803" s="95" t="inlineStr">
        <is>
          <t>Squadra A</t>
        </is>
      </c>
      <c r="C803" s="10" t="n"/>
      <c r="D803" s="95" t="inlineStr">
        <is>
          <t>Squadra B</t>
        </is>
      </c>
      <c r="E803" s="10" t="n"/>
      <c r="F803" s="95" t="inlineStr">
        <is>
          <t>Giorno</t>
        </is>
      </c>
      <c r="G803" s="95" t="inlineStr">
        <is>
          <t>Data</t>
        </is>
      </c>
      <c r="H803" s="95" t="inlineStr">
        <is>
          <t>Ora</t>
        </is>
      </c>
      <c r="I803" s="10" t="n"/>
      <c r="J803" s="95" t="inlineStr">
        <is>
          <t>Risultato</t>
        </is>
      </c>
      <c r="K803" s="9" t="n"/>
      <c r="L803" s="10" t="n"/>
      <c r="M803" s="205" t="inlineStr">
        <is>
          <t>1o Arbitro</t>
        </is>
      </c>
      <c r="N803" s="205" t="inlineStr">
        <is>
          <t>2o Arbitro</t>
        </is>
      </c>
      <c r="O803" s="205" t="inlineStr">
        <is>
          <t>3o Arbitro/Tirocinante</t>
        </is>
      </c>
      <c r="P803" s="205" t="inlineStr">
        <is>
          <t>Referto</t>
        </is>
      </c>
      <c r="Q803" s="205" t="inlineStr">
        <is>
          <t>Cronometro</t>
        </is>
      </c>
      <c r="R803" s="205" t="inlineStr">
        <is>
          <t>Foglio Tiri</t>
        </is>
      </c>
    </row>
    <row r="804" ht="22" customHeight="1">
      <c r="A804" s="97">
        <f>IF('Calendario E'!A124="","",'Calendario E'!A124)</f>
        <v/>
      </c>
      <c r="B804" s="61">
        <f>IF('Calendario E'!B124="","",'Calendario E'!B124)</f>
        <v/>
      </c>
      <c r="C804" s="62">
        <f>IF('Calendario E'!C124="","",'Calendario E'!C124)</f>
        <v/>
      </c>
      <c r="D804" s="61">
        <f>IF('Calendario E'!D124="","",'Calendario E'!D124)</f>
        <v/>
      </c>
      <c r="E804" s="62">
        <f>IF('Calendario E'!E124="","",'Calendario E'!E124)</f>
        <v/>
      </c>
      <c r="F804" s="63">
        <f>IF('Calendario E'!F124="","",'Calendario E'!F124)</f>
        <v/>
      </c>
      <c r="G804" s="9" t="n"/>
      <c r="H804" s="9" t="n"/>
      <c r="I804" s="10" t="n"/>
      <c r="J804" s="195">
        <f>IF('Calendario E'!J124="","",'Calendario E'!J124)</f>
        <v/>
      </c>
      <c r="K804" s="64" t="inlineStr">
        <is>
          <t>-</t>
        </is>
      </c>
      <c r="L804" s="195">
        <f>IF('Calendario E'!L124="","",'Calendario E'!L124)</f>
        <v/>
      </c>
      <c r="M804" s="196" t="n"/>
      <c r="N804" s="196" t="n"/>
      <c r="O804" s="196" t="n"/>
      <c r="P804" s="196" t="n"/>
      <c r="Q804" s="196" t="n"/>
      <c r="R804" s="196" t="n"/>
    </row>
    <row r="805" ht="15" customHeight="1">
      <c r="A805" s="141" t="n"/>
      <c r="B805" s="69">
        <f>IF('Calendario E'!B125="","",'Calendario E'!B125)</f>
        <v/>
      </c>
      <c r="C805" s="9" t="n"/>
      <c r="D805" s="9" t="n"/>
      <c r="E805" s="9" t="n"/>
      <c r="F805" s="9" t="n"/>
      <c r="G805" s="9" t="n"/>
      <c r="H805" s="10" t="n"/>
      <c r="I805" s="62">
        <f>IF('Calendario E'!I125="","",'Calendario E'!I125)</f>
        <v/>
      </c>
      <c r="J805" s="141" t="n"/>
      <c r="K805" s="141" t="n"/>
      <c r="L805" s="141" t="n"/>
      <c r="M805" s="141" t="n"/>
      <c r="N805" s="141" t="n"/>
      <c r="O805" s="141" t="n"/>
      <c r="P805" s="141" t="n"/>
      <c r="Q805" s="141" t="n"/>
      <c r="R805" s="141" t="n"/>
    </row>
    <row r="807" ht="20" customHeight="1">
      <c r="A807" s="92">
        <f>IF('Calendario E'!A127="","",'Calendario E'!A127)</f>
        <v/>
      </c>
      <c r="B807" s="93">
        <f>IF('Calendario E'!B127="","",'Calendario E'!B127)</f>
        <v/>
      </c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10" t="n"/>
      <c r="M807" s="204" t="inlineStr">
        <is>
          <t>ARBITRI</t>
        </is>
      </c>
      <c r="N807" s="9" t="n"/>
      <c r="O807" s="10" t="n"/>
      <c r="P807" s="204" t="inlineStr">
        <is>
          <t>UFFICIALI DI CAMPO</t>
        </is>
      </c>
      <c r="Q807" s="9" t="n"/>
      <c r="R807" s="10" t="n"/>
    </row>
    <row r="808" ht="14" customHeight="1">
      <c r="A808" s="95" t="inlineStr">
        <is>
          <t>Gara N.</t>
        </is>
      </c>
      <c r="B808" s="95" t="inlineStr">
        <is>
          <t>Squadra A</t>
        </is>
      </c>
      <c r="C808" s="10" t="n"/>
      <c r="D808" s="95" t="inlineStr">
        <is>
          <t>Squadra B</t>
        </is>
      </c>
      <c r="E808" s="10" t="n"/>
      <c r="F808" s="95" t="inlineStr">
        <is>
          <t>Giorno</t>
        </is>
      </c>
      <c r="G808" s="95" t="inlineStr">
        <is>
          <t>Data</t>
        </is>
      </c>
      <c r="H808" s="95" t="inlineStr">
        <is>
          <t>Ora</t>
        </is>
      </c>
      <c r="I808" s="10" t="n"/>
      <c r="J808" s="95" t="inlineStr">
        <is>
          <t>Risultato</t>
        </is>
      </c>
      <c r="K808" s="9" t="n"/>
      <c r="L808" s="10" t="n"/>
      <c r="M808" s="205" t="inlineStr">
        <is>
          <t>1o Arbitro</t>
        </is>
      </c>
      <c r="N808" s="205" t="inlineStr">
        <is>
          <t>2o Arbitro</t>
        </is>
      </c>
      <c r="O808" s="205" t="inlineStr">
        <is>
          <t>3o Arbitro/Tirocinante</t>
        </is>
      </c>
      <c r="P808" s="205" t="inlineStr">
        <is>
          <t>Referto</t>
        </is>
      </c>
      <c r="Q808" s="205" t="inlineStr">
        <is>
          <t>Cronometro</t>
        </is>
      </c>
      <c r="R808" s="205" t="inlineStr">
        <is>
          <t>Foglio Tiri</t>
        </is>
      </c>
    </row>
    <row r="809" ht="22" customHeight="1">
      <c r="A809" s="97">
        <f>IF('Calendario E'!A129="","",'Calendario E'!A129)</f>
        <v/>
      </c>
      <c r="B809" s="61">
        <f>IF('Calendario E'!B129="","",'Calendario E'!B129)</f>
        <v/>
      </c>
      <c r="C809" s="62">
        <f>IF('Calendario E'!C129="","",'Calendario E'!C129)</f>
        <v/>
      </c>
      <c r="D809" s="61">
        <f>IF('Calendario E'!D129="","",'Calendario E'!D129)</f>
        <v/>
      </c>
      <c r="E809" s="62">
        <f>IF('Calendario E'!E129="","",'Calendario E'!E129)</f>
        <v/>
      </c>
      <c r="F809" s="63">
        <f>IF('Calendario E'!F129="","",'Calendario E'!F129)</f>
        <v/>
      </c>
      <c r="G809" s="9" t="n"/>
      <c r="H809" s="9" t="n"/>
      <c r="I809" s="10" t="n"/>
      <c r="J809" s="195">
        <f>IF('Calendario E'!J129="","",'Calendario E'!J129)</f>
        <v/>
      </c>
      <c r="K809" s="64" t="inlineStr">
        <is>
          <t>-</t>
        </is>
      </c>
      <c r="L809" s="195">
        <f>IF('Calendario E'!L129="","",'Calendario E'!L129)</f>
        <v/>
      </c>
      <c r="M809" s="196" t="n"/>
      <c r="N809" s="196" t="n"/>
      <c r="O809" s="196" t="n"/>
      <c r="P809" s="196" t="n"/>
      <c r="Q809" s="196" t="n"/>
      <c r="R809" s="196" t="n"/>
    </row>
    <row r="810" ht="15" customHeight="1">
      <c r="A810" s="141" t="n"/>
      <c r="B810" s="69">
        <f>IF('Calendario E'!B130="","",'Calendario E'!B130)</f>
        <v/>
      </c>
      <c r="C810" s="9" t="n"/>
      <c r="D810" s="9" t="n"/>
      <c r="E810" s="9" t="n"/>
      <c r="F810" s="9" t="n"/>
      <c r="G810" s="9" t="n"/>
      <c r="H810" s="10" t="n"/>
      <c r="I810" s="62">
        <f>IF('Calendario E'!I130="","",'Calendario E'!I130)</f>
        <v/>
      </c>
      <c r="J810" s="141" t="n"/>
      <c r="K810" s="141" t="n"/>
      <c r="L810" s="141" t="n"/>
      <c r="M810" s="141" t="n"/>
      <c r="N810" s="141" t="n"/>
      <c r="O810" s="141" t="n"/>
      <c r="P810" s="141" t="n"/>
      <c r="Q810" s="141" t="n"/>
      <c r="R810" s="141" t="n"/>
    </row>
    <row r="811" ht="14" customHeight="1">
      <c r="A811" s="95" t="inlineStr">
        <is>
          <t>Gara N.</t>
        </is>
      </c>
      <c r="B811" s="95" t="inlineStr">
        <is>
          <t>Squadra A</t>
        </is>
      </c>
      <c r="C811" s="10" t="n"/>
      <c r="D811" s="95" t="inlineStr">
        <is>
          <t>Squadra B</t>
        </is>
      </c>
      <c r="E811" s="10" t="n"/>
      <c r="F811" s="95" t="inlineStr">
        <is>
          <t>Giorno</t>
        </is>
      </c>
      <c r="G811" s="95" t="inlineStr">
        <is>
          <t>Data</t>
        </is>
      </c>
      <c r="H811" s="95" t="inlineStr">
        <is>
          <t>Ora</t>
        </is>
      </c>
      <c r="I811" s="10" t="n"/>
      <c r="J811" s="95" t="inlineStr">
        <is>
          <t>Risultato</t>
        </is>
      </c>
      <c r="K811" s="9" t="n"/>
      <c r="L811" s="10" t="n"/>
      <c r="M811" s="205" t="inlineStr">
        <is>
          <t>1o Arbitro</t>
        </is>
      </c>
      <c r="N811" s="205" t="inlineStr">
        <is>
          <t>2o Arbitro</t>
        </is>
      </c>
      <c r="O811" s="205" t="inlineStr">
        <is>
          <t>3o Arbitro/Tirocinante</t>
        </is>
      </c>
      <c r="P811" s="205" t="inlineStr">
        <is>
          <t>Referto</t>
        </is>
      </c>
      <c r="Q811" s="205" t="inlineStr">
        <is>
          <t>Cronometro</t>
        </is>
      </c>
      <c r="R811" s="205" t="inlineStr">
        <is>
          <t>Foglio Tiri</t>
        </is>
      </c>
    </row>
    <row r="812" ht="22" customHeight="1">
      <c r="A812" s="97">
        <f>IF('Calendario E'!A132="","",'Calendario E'!A132)</f>
        <v/>
      </c>
      <c r="B812" s="61">
        <f>IF('Calendario E'!B132="","",'Calendario E'!B132)</f>
        <v/>
      </c>
      <c r="C812" s="62">
        <f>IF('Calendario E'!C132="","",'Calendario E'!C132)</f>
        <v/>
      </c>
      <c r="D812" s="61">
        <f>IF('Calendario E'!D132="","",'Calendario E'!D132)</f>
        <v/>
      </c>
      <c r="E812" s="62">
        <f>IF('Calendario E'!E132="","",'Calendario E'!E132)</f>
        <v/>
      </c>
      <c r="F812" s="63">
        <f>IF('Calendario E'!F132="","",'Calendario E'!F132)</f>
        <v/>
      </c>
      <c r="G812" s="9" t="n"/>
      <c r="H812" s="9" t="n"/>
      <c r="I812" s="10" t="n"/>
      <c r="J812" s="195">
        <f>IF('Calendario E'!J132="","",'Calendario E'!J132)</f>
        <v/>
      </c>
      <c r="K812" s="64" t="inlineStr">
        <is>
          <t>-</t>
        </is>
      </c>
      <c r="L812" s="195">
        <f>IF('Calendario E'!L132="","",'Calendario E'!L132)</f>
        <v/>
      </c>
      <c r="M812" s="196" t="n"/>
      <c r="N812" s="196" t="n"/>
      <c r="O812" s="196" t="n"/>
      <c r="P812" s="196" t="n"/>
      <c r="Q812" s="196" t="n"/>
      <c r="R812" s="196" t="n"/>
    </row>
    <row r="813" ht="15" customHeight="1">
      <c r="A813" s="141" t="n"/>
      <c r="B813" s="69">
        <f>IF('Calendario E'!B133="","",'Calendario E'!B133)</f>
        <v/>
      </c>
      <c r="C813" s="9" t="n"/>
      <c r="D813" s="9" t="n"/>
      <c r="E813" s="9" t="n"/>
      <c r="F813" s="9" t="n"/>
      <c r="G813" s="9" t="n"/>
      <c r="H813" s="10" t="n"/>
      <c r="I813" s="62">
        <f>IF('Calendario E'!I133="","",'Calendario E'!I133)</f>
        <v/>
      </c>
      <c r="J813" s="141" t="n"/>
      <c r="K813" s="141" t="n"/>
      <c r="L813" s="141" t="n"/>
      <c r="M813" s="141" t="n"/>
      <c r="N813" s="141" t="n"/>
      <c r="O813" s="141" t="n"/>
      <c r="P813" s="141" t="n"/>
      <c r="Q813" s="141" t="n"/>
      <c r="R813" s="141" t="n"/>
    </row>
    <row r="814" ht="14" customHeight="1">
      <c r="A814" s="95" t="inlineStr">
        <is>
          <t>Gara N.</t>
        </is>
      </c>
      <c r="B814" s="95" t="inlineStr">
        <is>
          <t>Squadra A</t>
        </is>
      </c>
      <c r="C814" s="10" t="n"/>
      <c r="D814" s="95" t="inlineStr">
        <is>
          <t>Squadra B</t>
        </is>
      </c>
      <c r="E814" s="10" t="n"/>
      <c r="F814" s="95" t="inlineStr">
        <is>
          <t>Giorno</t>
        </is>
      </c>
      <c r="G814" s="95" t="inlineStr">
        <is>
          <t>Data</t>
        </is>
      </c>
      <c r="H814" s="95" t="inlineStr">
        <is>
          <t>Ora</t>
        </is>
      </c>
      <c r="I814" s="10" t="n"/>
      <c r="J814" s="95" t="inlineStr">
        <is>
          <t>Risultato</t>
        </is>
      </c>
      <c r="K814" s="9" t="n"/>
      <c r="L814" s="10" t="n"/>
      <c r="M814" s="205" t="inlineStr">
        <is>
          <t>1o Arbitro</t>
        </is>
      </c>
      <c r="N814" s="205" t="inlineStr">
        <is>
          <t>2o Arbitro</t>
        </is>
      </c>
      <c r="O814" s="205" t="inlineStr">
        <is>
          <t>3o Arbitro/Tirocinante</t>
        </is>
      </c>
      <c r="P814" s="205" t="inlineStr">
        <is>
          <t>Referto</t>
        </is>
      </c>
      <c r="Q814" s="205" t="inlineStr">
        <is>
          <t>Cronometro</t>
        </is>
      </c>
      <c r="R814" s="205" t="inlineStr">
        <is>
          <t>Foglio Tiri</t>
        </is>
      </c>
    </row>
    <row r="815" ht="22" customHeight="1">
      <c r="A815" s="97">
        <f>IF('Calendario E'!A135="","",'Calendario E'!A135)</f>
        <v/>
      </c>
      <c r="B815" s="61">
        <f>IF('Calendario E'!B135="","",'Calendario E'!B135)</f>
        <v/>
      </c>
      <c r="C815" s="62">
        <f>IF('Calendario E'!C135="","",'Calendario E'!C135)</f>
        <v/>
      </c>
      <c r="D815" s="61">
        <f>IF('Calendario E'!D135="","",'Calendario E'!D135)</f>
        <v/>
      </c>
      <c r="E815" s="62">
        <f>IF('Calendario E'!E135="","",'Calendario E'!E135)</f>
        <v/>
      </c>
      <c r="F815" s="63">
        <f>IF('Calendario E'!F135="","",'Calendario E'!F135)</f>
        <v/>
      </c>
      <c r="G815" s="9" t="n"/>
      <c r="H815" s="9" t="n"/>
      <c r="I815" s="10" t="n"/>
      <c r="J815" s="195">
        <f>IF('Calendario E'!J135="","",'Calendario E'!J135)</f>
        <v/>
      </c>
      <c r="K815" s="64" t="inlineStr">
        <is>
          <t>-</t>
        </is>
      </c>
      <c r="L815" s="195">
        <f>IF('Calendario E'!L135="","",'Calendario E'!L135)</f>
        <v/>
      </c>
      <c r="M815" s="196" t="n"/>
      <c r="N815" s="196" t="n"/>
      <c r="O815" s="196" t="n"/>
      <c r="P815" s="196" t="n"/>
      <c r="Q815" s="196" t="n"/>
      <c r="R815" s="196" t="n"/>
    </row>
    <row r="816" ht="15" customHeight="1">
      <c r="A816" s="141" t="n"/>
      <c r="B816" s="69">
        <f>IF('Calendario E'!B136="","",'Calendario E'!B136)</f>
        <v/>
      </c>
      <c r="C816" s="9" t="n"/>
      <c r="D816" s="9" t="n"/>
      <c r="E816" s="9" t="n"/>
      <c r="F816" s="9" t="n"/>
      <c r="G816" s="9" t="n"/>
      <c r="H816" s="10" t="n"/>
      <c r="I816" s="62">
        <f>IF('Calendario E'!I136="","",'Calendario E'!I136)</f>
        <v/>
      </c>
      <c r="J816" s="141" t="n"/>
      <c r="K816" s="141" t="n"/>
      <c r="L816" s="141" t="n"/>
      <c r="M816" s="141" t="n"/>
      <c r="N816" s="141" t="n"/>
      <c r="O816" s="141" t="n"/>
      <c r="P816" s="141" t="n"/>
      <c r="Q816" s="141" t="n"/>
      <c r="R816" s="141" t="n"/>
    </row>
    <row r="817" ht="14" customHeight="1">
      <c r="A817" s="95" t="inlineStr">
        <is>
          <t>Gara N.</t>
        </is>
      </c>
      <c r="B817" s="95" t="inlineStr">
        <is>
          <t>Squadra A</t>
        </is>
      </c>
      <c r="C817" s="10" t="n"/>
      <c r="D817" s="95" t="inlineStr">
        <is>
          <t>Squadra B</t>
        </is>
      </c>
      <c r="E817" s="10" t="n"/>
      <c r="F817" s="95" t="inlineStr">
        <is>
          <t>Giorno</t>
        </is>
      </c>
      <c r="G817" s="95" t="inlineStr">
        <is>
          <t>Data</t>
        </is>
      </c>
      <c r="H817" s="95" t="inlineStr">
        <is>
          <t>Ora</t>
        </is>
      </c>
      <c r="I817" s="10" t="n"/>
      <c r="J817" s="95" t="inlineStr">
        <is>
          <t>Risultato</t>
        </is>
      </c>
      <c r="K817" s="9" t="n"/>
      <c r="L817" s="10" t="n"/>
      <c r="M817" s="205" t="inlineStr">
        <is>
          <t>1o Arbitro</t>
        </is>
      </c>
      <c r="N817" s="205" t="inlineStr">
        <is>
          <t>2o Arbitro</t>
        </is>
      </c>
      <c r="O817" s="205" t="inlineStr">
        <is>
          <t>3o Arbitro/Tirocinante</t>
        </is>
      </c>
      <c r="P817" s="205" t="inlineStr">
        <is>
          <t>Referto</t>
        </is>
      </c>
      <c r="Q817" s="205" t="inlineStr">
        <is>
          <t>Cronometro</t>
        </is>
      </c>
      <c r="R817" s="205" t="inlineStr">
        <is>
          <t>Foglio Tiri</t>
        </is>
      </c>
    </row>
    <row r="818" ht="22" customHeight="1">
      <c r="A818" s="97">
        <f>IF('Calendario E'!A138="","",'Calendario E'!A138)</f>
        <v/>
      </c>
      <c r="B818" s="61">
        <f>IF('Calendario E'!B138="","",'Calendario E'!B138)</f>
        <v/>
      </c>
      <c r="C818" s="62">
        <f>IF('Calendario E'!C138="","",'Calendario E'!C138)</f>
        <v/>
      </c>
      <c r="D818" s="61">
        <f>IF('Calendario E'!D138="","",'Calendario E'!D138)</f>
        <v/>
      </c>
      <c r="E818" s="62">
        <f>IF('Calendario E'!E138="","",'Calendario E'!E138)</f>
        <v/>
      </c>
      <c r="F818" s="63">
        <f>IF('Calendario E'!F138="","",'Calendario E'!F138)</f>
        <v/>
      </c>
      <c r="G818" s="9" t="n"/>
      <c r="H818" s="9" t="n"/>
      <c r="I818" s="10" t="n"/>
      <c r="J818" s="195">
        <f>IF('Calendario E'!J138="","",'Calendario E'!J138)</f>
        <v/>
      </c>
      <c r="K818" s="64" t="inlineStr">
        <is>
          <t>-</t>
        </is>
      </c>
      <c r="L818" s="195">
        <f>IF('Calendario E'!L138="","",'Calendario E'!L138)</f>
        <v/>
      </c>
      <c r="M818" s="196" t="n"/>
      <c r="N818" s="196" t="n"/>
      <c r="O818" s="196" t="n"/>
      <c r="P818" s="196" t="n"/>
      <c r="Q818" s="196" t="n"/>
      <c r="R818" s="196" t="n"/>
    </row>
    <row r="819" ht="15" customHeight="1">
      <c r="A819" s="141" t="n"/>
      <c r="B819" s="69">
        <f>IF('Calendario E'!B139="","",'Calendario E'!B139)</f>
        <v/>
      </c>
      <c r="C819" s="9" t="n"/>
      <c r="D819" s="9" t="n"/>
      <c r="E819" s="9" t="n"/>
      <c r="F819" s="9" t="n"/>
      <c r="G819" s="9" t="n"/>
      <c r="H819" s="10" t="n"/>
      <c r="I819" s="62">
        <f>IF('Calendario E'!I139="","",'Calendario E'!I139)</f>
        <v/>
      </c>
      <c r="J819" s="141" t="n"/>
      <c r="K819" s="141" t="n"/>
      <c r="L819" s="141" t="n"/>
      <c r="M819" s="141" t="n"/>
      <c r="N819" s="141" t="n"/>
      <c r="O819" s="141" t="n"/>
      <c r="P819" s="141" t="n"/>
      <c r="Q819" s="141" t="n"/>
      <c r="R819" s="141" t="n"/>
    </row>
    <row r="820" ht="14" customHeight="1">
      <c r="A820" s="95" t="inlineStr">
        <is>
          <t>Gara N.</t>
        </is>
      </c>
      <c r="B820" s="95" t="inlineStr">
        <is>
          <t>Squadra A</t>
        </is>
      </c>
      <c r="C820" s="10" t="n"/>
      <c r="D820" s="95" t="inlineStr">
        <is>
          <t>Squadra B</t>
        </is>
      </c>
      <c r="E820" s="10" t="n"/>
      <c r="F820" s="95" t="inlineStr">
        <is>
          <t>Giorno</t>
        </is>
      </c>
      <c r="G820" s="95" t="inlineStr">
        <is>
          <t>Data</t>
        </is>
      </c>
      <c r="H820" s="95" t="inlineStr">
        <is>
          <t>Ora</t>
        </is>
      </c>
      <c r="I820" s="10" t="n"/>
      <c r="J820" s="95" t="inlineStr">
        <is>
          <t>Risultato</t>
        </is>
      </c>
      <c r="K820" s="9" t="n"/>
      <c r="L820" s="10" t="n"/>
      <c r="M820" s="205" t="inlineStr">
        <is>
          <t>1o Arbitro</t>
        </is>
      </c>
      <c r="N820" s="205" t="inlineStr">
        <is>
          <t>2o Arbitro</t>
        </is>
      </c>
      <c r="O820" s="205" t="inlineStr">
        <is>
          <t>3o Arbitro/Tirocinante</t>
        </is>
      </c>
      <c r="P820" s="205" t="inlineStr">
        <is>
          <t>Referto</t>
        </is>
      </c>
      <c r="Q820" s="205" t="inlineStr">
        <is>
          <t>Cronometro</t>
        </is>
      </c>
      <c r="R820" s="205" t="inlineStr">
        <is>
          <t>Foglio Tiri</t>
        </is>
      </c>
    </row>
    <row r="821" ht="22" customHeight="1">
      <c r="A821" s="97">
        <f>IF('Calendario E'!A141="","",'Calendario E'!A141)</f>
        <v/>
      </c>
      <c r="B821" s="61">
        <f>IF('Calendario E'!B141="","",'Calendario E'!B141)</f>
        <v/>
      </c>
      <c r="C821" s="62">
        <f>IF('Calendario E'!C141="","",'Calendario E'!C141)</f>
        <v/>
      </c>
      <c r="D821" s="61">
        <f>IF('Calendario E'!D141="","",'Calendario E'!D141)</f>
        <v/>
      </c>
      <c r="E821" s="62">
        <f>IF('Calendario E'!E141="","",'Calendario E'!E141)</f>
        <v/>
      </c>
      <c r="F821" s="63">
        <f>IF('Calendario E'!F141="","",'Calendario E'!F141)</f>
        <v/>
      </c>
      <c r="G821" s="9" t="n"/>
      <c r="H821" s="9" t="n"/>
      <c r="I821" s="10" t="n"/>
      <c r="J821" s="195">
        <f>IF('Calendario E'!J141="","",'Calendario E'!J141)</f>
        <v/>
      </c>
      <c r="K821" s="64" t="inlineStr">
        <is>
          <t>-</t>
        </is>
      </c>
      <c r="L821" s="195">
        <f>IF('Calendario E'!L141="","",'Calendario E'!L141)</f>
        <v/>
      </c>
      <c r="M821" s="196" t="n"/>
      <c r="N821" s="196" t="n"/>
      <c r="O821" s="196" t="n"/>
      <c r="P821" s="196" t="n"/>
      <c r="Q821" s="196" t="n"/>
      <c r="R821" s="196" t="n"/>
    </row>
    <row r="822" ht="15" customHeight="1">
      <c r="A822" s="141" t="n"/>
      <c r="B822" s="69">
        <f>IF('Calendario E'!B142="","",'Calendario E'!B142)</f>
        <v/>
      </c>
      <c r="C822" s="9" t="n"/>
      <c r="D822" s="9" t="n"/>
      <c r="E822" s="9" t="n"/>
      <c r="F822" s="9" t="n"/>
      <c r="G822" s="9" t="n"/>
      <c r="H822" s="10" t="n"/>
      <c r="I822" s="62">
        <f>IF('Calendario E'!I142="","",'Calendario E'!I142)</f>
        <v/>
      </c>
      <c r="J822" s="141" t="n"/>
      <c r="K822" s="141" t="n"/>
      <c r="L822" s="141" t="n"/>
      <c r="M822" s="141" t="n"/>
      <c r="N822" s="141" t="n"/>
      <c r="O822" s="141" t="n"/>
      <c r="P822" s="141" t="n"/>
      <c r="Q822" s="141" t="n"/>
      <c r="R822" s="141" t="n"/>
    </row>
    <row r="824" ht="20" customHeight="1">
      <c r="A824" s="92">
        <f>IF('Calendario E'!A144="","",'Calendario E'!A144)</f>
        <v/>
      </c>
      <c r="B824" s="93">
        <f>IF('Calendario E'!B144="","",'Calendario E'!B144)</f>
        <v/>
      </c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10" t="n"/>
      <c r="M824" s="204" t="inlineStr">
        <is>
          <t>ARBITRI</t>
        </is>
      </c>
      <c r="N824" s="9" t="n"/>
      <c r="O824" s="10" t="n"/>
      <c r="P824" s="204" t="inlineStr">
        <is>
          <t>UFFICIALI DI CAMPO</t>
        </is>
      </c>
      <c r="Q824" s="9" t="n"/>
      <c r="R824" s="10" t="n"/>
    </row>
    <row r="825" ht="14" customHeight="1">
      <c r="A825" s="95" t="inlineStr">
        <is>
          <t>Gara N.</t>
        </is>
      </c>
      <c r="B825" s="95" t="inlineStr">
        <is>
          <t>Squadra A</t>
        </is>
      </c>
      <c r="C825" s="10" t="n"/>
      <c r="D825" s="95" t="inlineStr">
        <is>
          <t>Squadra B</t>
        </is>
      </c>
      <c r="E825" s="10" t="n"/>
      <c r="F825" s="95" t="inlineStr">
        <is>
          <t>Giorno</t>
        </is>
      </c>
      <c r="G825" s="95" t="inlineStr">
        <is>
          <t>Data</t>
        </is>
      </c>
      <c r="H825" s="95" t="inlineStr">
        <is>
          <t>Ora</t>
        </is>
      </c>
      <c r="I825" s="10" t="n"/>
      <c r="J825" s="95" t="inlineStr">
        <is>
          <t>Risultato</t>
        </is>
      </c>
      <c r="K825" s="9" t="n"/>
      <c r="L825" s="10" t="n"/>
      <c r="M825" s="205" t="inlineStr">
        <is>
          <t>1o Arbitro</t>
        </is>
      </c>
      <c r="N825" s="205" t="inlineStr">
        <is>
          <t>2o Arbitro</t>
        </is>
      </c>
      <c r="O825" s="205" t="inlineStr">
        <is>
          <t>3o Arbitro/Tirocinante</t>
        </is>
      </c>
      <c r="P825" s="205" t="inlineStr">
        <is>
          <t>Referto</t>
        </is>
      </c>
      <c r="Q825" s="205" t="inlineStr">
        <is>
          <t>Cronometro</t>
        </is>
      </c>
      <c r="R825" s="205" t="inlineStr">
        <is>
          <t>Foglio Tiri</t>
        </is>
      </c>
    </row>
    <row r="826" ht="22" customHeight="1">
      <c r="A826" s="97">
        <f>IF('Calendario E'!A146="","",'Calendario E'!A146)</f>
        <v/>
      </c>
      <c r="B826" s="61">
        <f>IF('Calendario E'!B146="","",'Calendario E'!B146)</f>
        <v/>
      </c>
      <c r="C826" s="62">
        <f>IF('Calendario E'!C146="","",'Calendario E'!C146)</f>
        <v/>
      </c>
      <c r="D826" s="61">
        <f>IF('Calendario E'!D146="","",'Calendario E'!D146)</f>
        <v/>
      </c>
      <c r="E826" s="62">
        <f>IF('Calendario E'!E146="","",'Calendario E'!E146)</f>
        <v/>
      </c>
      <c r="F826" s="63">
        <f>IF('Calendario E'!F146="","",'Calendario E'!F146)</f>
        <v/>
      </c>
      <c r="G826" s="9" t="n"/>
      <c r="H826" s="9" t="n"/>
      <c r="I826" s="10" t="n"/>
      <c r="J826" s="195">
        <f>IF('Calendario E'!J146="","",'Calendario E'!J146)</f>
        <v/>
      </c>
      <c r="K826" s="64" t="inlineStr">
        <is>
          <t>-</t>
        </is>
      </c>
      <c r="L826" s="195">
        <f>IF('Calendario E'!L146="","",'Calendario E'!L146)</f>
        <v/>
      </c>
      <c r="M826" s="196" t="n"/>
      <c r="N826" s="196" t="n"/>
      <c r="O826" s="196" t="n"/>
      <c r="P826" s="196" t="n"/>
      <c r="Q826" s="196" t="n"/>
      <c r="R826" s="196" t="n"/>
    </row>
    <row r="827" ht="15" customHeight="1">
      <c r="A827" s="141" t="n"/>
      <c r="B827" s="69">
        <f>IF('Calendario E'!B147="","",'Calendario E'!B147)</f>
        <v/>
      </c>
      <c r="C827" s="9" t="n"/>
      <c r="D827" s="9" t="n"/>
      <c r="E827" s="9" t="n"/>
      <c r="F827" s="9" t="n"/>
      <c r="G827" s="9" t="n"/>
      <c r="H827" s="10" t="n"/>
      <c r="I827" s="62">
        <f>IF('Calendario E'!I147="","",'Calendario E'!I147)</f>
        <v/>
      </c>
      <c r="J827" s="141" t="n"/>
      <c r="K827" s="141" t="n"/>
      <c r="L827" s="141" t="n"/>
      <c r="M827" s="141" t="n"/>
      <c r="N827" s="141" t="n"/>
      <c r="O827" s="141" t="n"/>
      <c r="P827" s="141" t="n"/>
      <c r="Q827" s="141" t="n"/>
      <c r="R827" s="141" t="n"/>
    </row>
    <row r="828" ht="14" customHeight="1">
      <c r="A828" s="95" t="inlineStr">
        <is>
          <t>Gara N.</t>
        </is>
      </c>
      <c r="B828" s="95" t="inlineStr">
        <is>
          <t>Squadra A</t>
        </is>
      </c>
      <c r="C828" s="10" t="n"/>
      <c r="D828" s="95" t="inlineStr">
        <is>
          <t>Squadra B</t>
        </is>
      </c>
      <c r="E828" s="10" t="n"/>
      <c r="F828" s="95" t="inlineStr">
        <is>
          <t>Giorno</t>
        </is>
      </c>
      <c r="G828" s="95" t="inlineStr">
        <is>
          <t>Data</t>
        </is>
      </c>
      <c r="H828" s="95" t="inlineStr">
        <is>
          <t>Ora</t>
        </is>
      </c>
      <c r="I828" s="10" t="n"/>
      <c r="J828" s="95" t="inlineStr">
        <is>
          <t>Risultato</t>
        </is>
      </c>
      <c r="K828" s="9" t="n"/>
      <c r="L828" s="10" t="n"/>
      <c r="M828" s="205" t="inlineStr">
        <is>
          <t>1o Arbitro</t>
        </is>
      </c>
      <c r="N828" s="205" t="inlineStr">
        <is>
          <t>2o Arbitro</t>
        </is>
      </c>
      <c r="O828" s="205" t="inlineStr">
        <is>
          <t>3o Arbitro/Tirocinante</t>
        </is>
      </c>
      <c r="P828" s="205" t="inlineStr">
        <is>
          <t>Referto</t>
        </is>
      </c>
      <c r="Q828" s="205" t="inlineStr">
        <is>
          <t>Cronometro</t>
        </is>
      </c>
      <c r="R828" s="205" t="inlineStr">
        <is>
          <t>Foglio Tiri</t>
        </is>
      </c>
    </row>
    <row r="829" ht="22" customHeight="1">
      <c r="A829" s="97">
        <f>IF('Calendario E'!A149="","",'Calendario E'!A149)</f>
        <v/>
      </c>
      <c r="B829" s="61">
        <f>IF('Calendario E'!B149="","",'Calendario E'!B149)</f>
        <v/>
      </c>
      <c r="C829" s="62">
        <f>IF('Calendario E'!C149="","",'Calendario E'!C149)</f>
        <v/>
      </c>
      <c r="D829" s="61">
        <f>IF('Calendario E'!D149="","",'Calendario E'!D149)</f>
        <v/>
      </c>
      <c r="E829" s="62">
        <f>IF('Calendario E'!E149="","",'Calendario E'!E149)</f>
        <v/>
      </c>
      <c r="F829" s="63">
        <f>IF('Calendario E'!F149="","",'Calendario E'!F149)</f>
        <v/>
      </c>
      <c r="G829" s="9" t="n"/>
      <c r="H829" s="9" t="n"/>
      <c r="I829" s="10" t="n"/>
      <c r="J829" s="195">
        <f>IF('Calendario E'!J149="","",'Calendario E'!J149)</f>
        <v/>
      </c>
      <c r="K829" s="64" t="inlineStr">
        <is>
          <t>-</t>
        </is>
      </c>
      <c r="L829" s="195">
        <f>IF('Calendario E'!L149="","",'Calendario E'!L149)</f>
        <v/>
      </c>
      <c r="M829" s="196" t="n"/>
      <c r="N829" s="196" t="n"/>
      <c r="O829" s="196" t="n"/>
      <c r="P829" s="196" t="n"/>
      <c r="Q829" s="196" t="n"/>
      <c r="R829" s="196" t="n"/>
    </row>
    <row r="830" ht="15" customHeight="1">
      <c r="A830" s="141" t="n"/>
      <c r="B830" s="69">
        <f>IF('Calendario E'!B150="","",'Calendario E'!B150)</f>
        <v/>
      </c>
      <c r="C830" s="9" t="n"/>
      <c r="D830" s="9" t="n"/>
      <c r="E830" s="9" t="n"/>
      <c r="F830" s="9" t="n"/>
      <c r="G830" s="9" t="n"/>
      <c r="H830" s="10" t="n"/>
      <c r="I830" s="62">
        <f>IF('Calendario E'!I150="","",'Calendario E'!I150)</f>
        <v/>
      </c>
      <c r="J830" s="141" t="n"/>
      <c r="K830" s="141" t="n"/>
      <c r="L830" s="141" t="n"/>
      <c r="M830" s="141" t="n"/>
      <c r="N830" s="141" t="n"/>
      <c r="O830" s="141" t="n"/>
      <c r="P830" s="141" t="n"/>
      <c r="Q830" s="141" t="n"/>
      <c r="R830" s="141" t="n"/>
    </row>
    <row r="831" ht="14" customHeight="1">
      <c r="A831" s="95" t="inlineStr">
        <is>
          <t>Gara N.</t>
        </is>
      </c>
      <c r="B831" s="95" t="inlineStr">
        <is>
          <t>Squadra A</t>
        </is>
      </c>
      <c r="C831" s="10" t="n"/>
      <c r="D831" s="95" t="inlineStr">
        <is>
          <t>Squadra B</t>
        </is>
      </c>
      <c r="E831" s="10" t="n"/>
      <c r="F831" s="95" t="inlineStr">
        <is>
          <t>Giorno</t>
        </is>
      </c>
      <c r="G831" s="95" t="inlineStr">
        <is>
          <t>Data</t>
        </is>
      </c>
      <c r="H831" s="95" t="inlineStr">
        <is>
          <t>Ora</t>
        </is>
      </c>
      <c r="I831" s="10" t="n"/>
      <c r="J831" s="95" t="inlineStr">
        <is>
          <t>Risultato</t>
        </is>
      </c>
      <c r="K831" s="9" t="n"/>
      <c r="L831" s="10" t="n"/>
      <c r="M831" s="205" t="inlineStr">
        <is>
          <t>1o Arbitro</t>
        </is>
      </c>
      <c r="N831" s="205" t="inlineStr">
        <is>
          <t>2o Arbitro</t>
        </is>
      </c>
      <c r="O831" s="205" t="inlineStr">
        <is>
          <t>3o Arbitro/Tirocinante</t>
        </is>
      </c>
      <c r="P831" s="205" t="inlineStr">
        <is>
          <t>Referto</t>
        </is>
      </c>
      <c r="Q831" s="205" t="inlineStr">
        <is>
          <t>Cronometro</t>
        </is>
      </c>
      <c r="R831" s="205" t="inlineStr">
        <is>
          <t>Foglio Tiri</t>
        </is>
      </c>
    </row>
    <row r="832" ht="22" customHeight="1">
      <c r="A832" s="97">
        <f>IF('Calendario E'!A152="","",'Calendario E'!A152)</f>
        <v/>
      </c>
      <c r="B832" s="61">
        <f>IF('Calendario E'!B152="","",'Calendario E'!B152)</f>
        <v/>
      </c>
      <c r="C832" s="62">
        <f>IF('Calendario E'!C152="","",'Calendario E'!C152)</f>
        <v/>
      </c>
      <c r="D832" s="61">
        <f>IF('Calendario E'!D152="","",'Calendario E'!D152)</f>
        <v/>
      </c>
      <c r="E832" s="62">
        <f>IF('Calendario E'!E152="","",'Calendario E'!E152)</f>
        <v/>
      </c>
      <c r="F832" s="63">
        <f>IF('Calendario E'!F152="","",'Calendario E'!F152)</f>
        <v/>
      </c>
      <c r="G832" s="9" t="n"/>
      <c r="H832" s="9" t="n"/>
      <c r="I832" s="10" t="n"/>
      <c r="J832" s="195">
        <f>IF('Calendario E'!J152="","",'Calendario E'!J152)</f>
        <v/>
      </c>
      <c r="K832" s="64" t="inlineStr">
        <is>
          <t>-</t>
        </is>
      </c>
      <c r="L832" s="195">
        <f>IF('Calendario E'!L152="","",'Calendario E'!L152)</f>
        <v/>
      </c>
      <c r="M832" s="196" t="n"/>
      <c r="N832" s="196" t="n"/>
      <c r="O832" s="196" t="n"/>
      <c r="P832" s="196" t="n"/>
      <c r="Q832" s="196" t="n"/>
      <c r="R832" s="196" t="n"/>
    </row>
    <row r="833" ht="15" customHeight="1">
      <c r="A833" s="141" t="n"/>
      <c r="B833" s="69">
        <f>IF('Calendario E'!B153="","",'Calendario E'!B153)</f>
        <v/>
      </c>
      <c r="C833" s="9" t="n"/>
      <c r="D833" s="9" t="n"/>
      <c r="E833" s="9" t="n"/>
      <c r="F833" s="9" t="n"/>
      <c r="G833" s="9" t="n"/>
      <c r="H833" s="10" t="n"/>
      <c r="I833" s="62">
        <f>IF('Calendario E'!I153="","",'Calendario E'!I153)</f>
        <v/>
      </c>
      <c r="J833" s="141" t="n"/>
      <c r="K833" s="141" t="n"/>
      <c r="L833" s="141" t="n"/>
      <c r="M833" s="141" t="n"/>
      <c r="N833" s="141" t="n"/>
      <c r="O833" s="141" t="n"/>
      <c r="P833" s="141" t="n"/>
      <c r="Q833" s="141" t="n"/>
      <c r="R833" s="141" t="n"/>
    </row>
    <row r="834" ht="14" customHeight="1">
      <c r="A834" s="95" t="inlineStr">
        <is>
          <t>Gara N.</t>
        </is>
      </c>
      <c r="B834" s="95" t="inlineStr">
        <is>
          <t>Squadra A</t>
        </is>
      </c>
      <c r="C834" s="10" t="n"/>
      <c r="D834" s="95" t="inlineStr">
        <is>
          <t>Squadra B</t>
        </is>
      </c>
      <c r="E834" s="10" t="n"/>
      <c r="F834" s="95" t="inlineStr">
        <is>
          <t>Giorno</t>
        </is>
      </c>
      <c r="G834" s="95" t="inlineStr">
        <is>
          <t>Data</t>
        </is>
      </c>
      <c r="H834" s="95" t="inlineStr">
        <is>
          <t>Ora</t>
        </is>
      </c>
      <c r="I834" s="10" t="n"/>
      <c r="J834" s="95" t="inlineStr">
        <is>
          <t>Risultato</t>
        </is>
      </c>
      <c r="K834" s="9" t="n"/>
      <c r="L834" s="10" t="n"/>
      <c r="M834" s="205" t="inlineStr">
        <is>
          <t>1o Arbitro</t>
        </is>
      </c>
      <c r="N834" s="205" t="inlineStr">
        <is>
          <t>2o Arbitro</t>
        </is>
      </c>
      <c r="O834" s="205" t="inlineStr">
        <is>
          <t>3o Arbitro/Tirocinante</t>
        </is>
      </c>
      <c r="P834" s="205" t="inlineStr">
        <is>
          <t>Referto</t>
        </is>
      </c>
      <c r="Q834" s="205" t="inlineStr">
        <is>
          <t>Cronometro</t>
        </is>
      </c>
      <c r="R834" s="205" t="inlineStr">
        <is>
          <t>Foglio Tiri</t>
        </is>
      </c>
    </row>
    <row r="835" ht="22" customHeight="1">
      <c r="A835" s="97">
        <f>IF('Calendario E'!A155="","",'Calendario E'!A155)</f>
        <v/>
      </c>
      <c r="B835" s="61">
        <f>IF('Calendario E'!B155="","",'Calendario E'!B155)</f>
        <v/>
      </c>
      <c r="C835" s="62">
        <f>IF('Calendario E'!C155="","",'Calendario E'!C155)</f>
        <v/>
      </c>
      <c r="D835" s="61">
        <f>IF('Calendario E'!D155="","",'Calendario E'!D155)</f>
        <v/>
      </c>
      <c r="E835" s="62">
        <f>IF('Calendario E'!E155="","",'Calendario E'!E155)</f>
        <v/>
      </c>
      <c r="F835" s="63">
        <f>IF('Calendario E'!F155="","",'Calendario E'!F155)</f>
        <v/>
      </c>
      <c r="G835" s="9" t="n"/>
      <c r="H835" s="9" t="n"/>
      <c r="I835" s="10" t="n"/>
      <c r="J835" s="195">
        <f>IF('Calendario E'!J155="","",'Calendario E'!J155)</f>
        <v/>
      </c>
      <c r="K835" s="64" t="inlineStr">
        <is>
          <t>-</t>
        </is>
      </c>
      <c r="L835" s="195">
        <f>IF('Calendario E'!L155="","",'Calendario E'!L155)</f>
        <v/>
      </c>
      <c r="M835" s="196" t="n"/>
      <c r="N835" s="196" t="n"/>
      <c r="O835" s="196" t="n"/>
      <c r="P835" s="196" t="n"/>
      <c r="Q835" s="196" t="n"/>
      <c r="R835" s="196" t="n"/>
    </row>
    <row r="836" ht="15" customHeight="1">
      <c r="A836" s="141" t="n"/>
      <c r="B836" s="69">
        <f>IF('Calendario E'!B156="","",'Calendario E'!B156)</f>
        <v/>
      </c>
      <c r="C836" s="9" t="n"/>
      <c r="D836" s="9" t="n"/>
      <c r="E836" s="9" t="n"/>
      <c r="F836" s="9" t="n"/>
      <c r="G836" s="9" t="n"/>
      <c r="H836" s="10" t="n"/>
      <c r="I836" s="62">
        <f>IF('Calendario E'!I156="","",'Calendario E'!I156)</f>
        <v/>
      </c>
      <c r="J836" s="141" t="n"/>
      <c r="K836" s="141" t="n"/>
      <c r="L836" s="141" t="n"/>
      <c r="M836" s="141" t="n"/>
      <c r="N836" s="141" t="n"/>
      <c r="O836" s="141" t="n"/>
      <c r="P836" s="141" t="n"/>
      <c r="Q836" s="141" t="n"/>
      <c r="R836" s="141" t="n"/>
    </row>
    <row r="837" ht="14" customHeight="1">
      <c r="A837" s="95" t="inlineStr">
        <is>
          <t>Gara N.</t>
        </is>
      </c>
      <c r="B837" s="95" t="inlineStr">
        <is>
          <t>Squadra A</t>
        </is>
      </c>
      <c r="C837" s="10" t="n"/>
      <c r="D837" s="95" t="inlineStr">
        <is>
          <t>Squadra B</t>
        </is>
      </c>
      <c r="E837" s="10" t="n"/>
      <c r="F837" s="95" t="inlineStr">
        <is>
          <t>Giorno</t>
        </is>
      </c>
      <c r="G837" s="95" t="inlineStr">
        <is>
          <t>Data</t>
        </is>
      </c>
      <c r="H837" s="95" t="inlineStr">
        <is>
          <t>Ora</t>
        </is>
      </c>
      <c r="I837" s="10" t="n"/>
      <c r="J837" s="95" t="inlineStr">
        <is>
          <t>Risultato</t>
        </is>
      </c>
      <c r="K837" s="9" t="n"/>
      <c r="L837" s="10" t="n"/>
      <c r="M837" s="205" t="inlineStr">
        <is>
          <t>1o Arbitro</t>
        </is>
      </c>
      <c r="N837" s="205" t="inlineStr">
        <is>
          <t>2o Arbitro</t>
        </is>
      </c>
      <c r="O837" s="205" t="inlineStr">
        <is>
          <t>3o Arbitro/Tirocinante</t>
        </is>
      </c>
      <c r="P837" s="205" t="inlineStr">
        <is>
          <t>Referto</t>
        </is>
      </c>
      <c r="Q837" s="205" t="inlineStr">
        <is>
          <t>Cronometro</t>
        </is>
      </c>
      <c r="R837" s="205" t="inlineStr">
        <is>
          <t>Foglio Tiri</t>
        </is>
      </c>
    </row>
    <row r="838" ht="22" customHeight="1">
      <c r="A838" s="97">
        <f>IF('Calendario E'!A158="","",'Calendario E'!A158)</f>
        <v/>
      </c>
      <c r="B838" s="61">
        <f>IF('Calendario E'!B158="","",'Calendario E'!B158)</f>
        <v/>
      </c>
      <c r="C838" s="62">
        <f>IF('Calendario E'!C158="","",'Calendario E'!C158)</f>
        <v/>
      </c>
      <c r="D838" s="61">
        <f>IF('Calendario E'!D158="","",'Calendario E'!D158)</f>
        <v/>
      </c>
      <c r="E838" s="62">
        <f>IF('Calendario E'!E158="","",'Calendario E'!E158)</f>
        <v/>
      </c>
      <c r="F838" s="63">
        <f>IF('Calendario E'!F158="","",'Calendario E'!F158)</f>
        <v/>
      </c>
      <c r="G838" s="9" t="n"/>
      <c r="H838" s="9" t="n"/>
      <c r="I838" s="10" t="n"/>
      <c r="J838" s="195">
        <f>IF('Calendario E'!J158="","",'Calendario E'!J158)</f>
        <v/>
      </c>
      <c r="K838" s="64" t="inlineStr">
        <is>
          <t>-</t>
        </is>
      </c>
      <c r="L838" s="195">
        <f>IF('Calendario E'!L158="","",'Calendario E'!L158)</f>
        <v/>
      </c>
      <c r="M838" s="196" t="n"/>
      <c r="N838" s="196" t="n"/>
      <c r="O838" s="196" t="n"/>
      <c r="P838" s="196" t="n"/>
      <c r="Q838" s="196" t="n"/>
      <c r="R838" s="196" t="n"/>
    </row>
    <row r="839" ht="15" customHeight="1">
      <c r="A839" s="141" t="n"/>
      <c r="B839" s="69">
        <f>IF('Calendario E'!B159="","",'Calendario E'!B159)</f>
        <v/>
      </c>
      <c r="C839" s="9" t="n"/>
      <c r="D839" s="9" t="n"/>
      <c r="E839" s="9" t="n"/>
      <c r="F839" s="9" t="n"/>
      <c r="G839" s="9" t="n"/>
      <c r="H839" s="10" t="n"/>
      <c r="I839" s="62">
        <f>IF('Calendario E'!I159="","",'Calendario E'!I159)</f>
        <v/>
      </c>
      <c r="J839" s="141" t="n"/>
      <c r="K839" s="141" t="n"/>
      <c r="L839" s="141" t="n"/>
      <c r="M839" s="141" t="n"/>
      <c r="N839" s="141" t="n"/>
      <c r="O839" s="141" t="n"/>
      <c r="P839" s="141" t="n"/>
      <c r="Q839" s="141" t="n"/>
      <c r="R839" s="141" t="n"/>
    </row>
    <row r="858" ht="20" customHeight="1">
      <c r="A858" s="99">
        <f>IF('Calendario F'!A8="","",'Calendario F'!A8)</f>
        <v/>
      </c>
      <c r="B858" s="100">
        <f>IF('Calendario F'!B8="","",'Calendario F'!B8)</f>
        <v/>
      </c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10" t="n"/>
      <c r="M858" s="206" t="inlineStr">
        <is>
          <t>ARBITRI</t>
        </is>
      </c>
      <c r="N858" s="9" t="n"/>
      <c r="O858" s="10" t="n"/>
      <c r="P858" s="206" t="inlineStr">
        <is>
          <t>UFFICIALI DI CAMPO</t>
        </is>
      </c>
      <c r="Q858" s="9" t="n"/>
      <c r="R858" s="10" t="n"/>
    </row>
    <row r="859" ht="14" customHeight="1">
      <c r="A859" s="102" t="inlineStr">
        <is>
          <t>Gara N.</t>
        </is>
      </c>
      <c r="B859" s="102" t="inlineStr">
        <is>
          <t>Squadra A</t>
        </is>
      </c>
      <c r="C859" s="10" t="n"/>
      <c r="D859" s="102" t="inlineStr">
        <is>
          <t>Squadra B</t>
        </is>
      </c>
      <c r="E859" s="10" t="n"/>
      <c r="F859" s="102" t="inlineStr">
        <is>
          <t>Giorno</t>
        </is>
      </c>
      <c r="G859" s="102" t="inlineStr">
        <is>
          <t>Data</t>
        </is>
      </c>
      <c r="H859" s="102" t="inlineStr">
        <is>
          <t>Ora</t>
        </is>
      </c>
      <c r="I859" s="10" t="n"/>
      <c r="J859" s="102" t="inlineStr">
        <is>
          <t>Risultato</t>
        </is>
      </c>
      <c r="K859" s="9" t="n"/>
      <c r="L859" s="10" t="n"/>
      <c r="M859" s="207" t="inlineStr">
        <is>
          <t>1o Arbitro</t>
        </is>
      </c>
      <c r="N859" s="207" t="inlineStr">
        <is>
          <t>2o Arbitro</t>
        </is>
      </c>
      <c r="O859" s="207" t="inlineStr">
        <is>
          <t>3o Arbitro/Tirocinante</t>
        </is>
      </c>
      <c r="P859" s="207" t="inlineStr">
        <is>
          <t>Referto</t>
        </is>
      </c>
      <c r="Q859" s="207" t="inlineStr">
        <is>
          <t>Cronometro</t>
        </is>
      </c>
      <c r="R859" s="207" t="inlineStr">
        <is>
          <t>Foglio Tiri</t>
        </is>
      </c>
    </row>
    <row r="860" ht="22" customHeight="1">
      <c r="A860" s="104">
        <f>IF('Calendario F'!A10="","",'Calendario F'!A10)</f>
        <v/>
      </c>
      <c r="B860" s="61">
        <f>IF('Calendario F'!B10="","",'Calendario F'!B10)</f>
        <v/>
      </c>
      <c r="C860" s="62">
        <f>IF('Calendario F'!C10="","",'Calendario F'!C10)</f>
        <v/>
      </c>
      <c r="D860" s="61">
        <f>IF('Calendario F'!D10="","",'Calendario F'!D10)</f>
        <v/>
      </c>
      <c r="E860" s="62">
        <f>IF('Calendario F'!E10="","",'Calendario F'!E10)</f>
        <v/>
      </c>
      <c r="F860" s="63">
        <f>IF('Calendario F'!F10="","",'Calendario F'!F10)</f>
        <v/>
      </c>
      <c r="G860" s="9" t="n"/>
      <c r="H860" s="9" t="n"/>
      <c r="I860" s="10" t="n"/>
      <c r="J860" s="195">
        <f>IF('Calendario F'!J10="","",'Calendario F'!J10)</f>
        <v/>
      </c>
      <c r="K860" s="64" t="inlineStr">
        <is>
          <t>-</t>
        </is>
      </c>
      <c r="L860" s="195">
        <f>IF('Calendario F'!L10="","",'Calendario F'!L10)</f>
        <v/>
      </c>
      <c r="M860" s="196" t="n"/>
      <c r="N860" s="196" t="n"/>
      <c r="O860" s="196" t="n"/>
      <c r="P860" s="196" t="n"/>
      <c r="Q860" s="196" t="n"/>
      <c r="R860" s="196" t="n"/>
    </row>
    <row r="861" ht="15" customHeight="1">
      <c r="A861" s="141" t="n"/>
      <c r="B861" s="69">
        <f>IF('Calendario F'!B11="","",'Calendario F'!B11)</f>
        <v/>
      </c>
      <c r="C861" s="9" t="n"/>
      <c r="D861" s="9" t="n"/>
      <c r="E861" s="9" t="n"/>
      <c r="F861" s="9" t="n"/>
      <c r="G861" s="9" t="n"/>
      <c r="H861" s="10" t="n"/>
      <c r="I861" s="62">
        <f>IF('Calendario F'!I11="","",'Calendario F'!I11)</f>
        <v/>
      </c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</row>
    <row r="862" ht="14" customHeight="1">
      <c r="A862" s="102" t="inlineStr">
        <is>
          <t>Gara N.</t>
        </is>
      </c>
      <c r="B862" s="102" t="inlineStr">
        <is>
          <t>Squadra A</t>
        </is>
      </c>
      <c r="C862" s="10" t="n"/>
      <c r="D862" s="102" t="inlineStr">
        <is>
          <t>Squadra B</t>
        </is>
      </c>
      <c r="E862" s="10" t="n"/>
      <c r="F862" s="102" t="inlineStr">
        <is>
          <t>Giorno</t>
        </is>
      </c>
      <c r="G862" s="102" t="inlineStr">
        <is>
          <t>Data</t>
        </is>
      </c>
      <c r="H862" s="102" t="inlineStr">
        <is>
          <t>Ora</t>
        </is>
      </c>
      <c r="I862" s="10" t="n"/>
      <c r="J862" s="102" t="inlineStr">
        <is>
          <t>Risultato</t>
        </is>
      </c>
      <c r="K862" s="9" t="n"/>
      <c r="L862" s="10" t="n"/>
      <c r="M862" s="207" t="inlineStr">
        <is>
          <t>1o Arbitro</t>
        </is>
      </c>
      <c r="N862" s="207" t="inlineStr">
        <is>
          <t>2o Arbitro</t>
        </is>
      </c>
      <c r="O862" s="207" t="inlineStr">
        <is>
          <t>3o Arbitro/Tirocinante</t>
        </is>
      </c>
      <c r="P862" s="207" t="inlineStr">
        <is>
          <t>Referto</t>
        </is>
      </c>
      <c r="Q862" s="207" t="inlineStr">
        <is>
          <t>Cronometro</t>
        </is>
      </c>
      <c r="R862" s="207" t="inlineStr">
        <is>
          <t>Foglio Tiri</t>
        </is>
      </c>
    </row>
    <row r="863" ht="22" customHeight="1">
      <c r="A863" s="104">
        <f>IF('Calendario F'!A13="","",'Calendario F'!A13)</f>
        <v/>
      </c>
      <c r="B863" s="61">
        <f>IF('Calendario F'!B13="","",'Calendario F'!B13)</f>
        <v/>
      </c>
      <c r="C863" s="62">
        <f>IF('Calendario F'!C13="","",'Calendario F'!C13)</f>
        <v/>
      </c>
      <c r="D863" s="61">
        <f>IF('Calendario F'!D13="","",'Calendario F'!D13)</f>
        <v/>
      </c>
      <c r="E863" s="62">
        <f>IF('Calendario F'!E13="","",'Calendario F'!E13)</f>
        <v/>
      </c>
      <c r="F863" s="63">
        <f>IF('Calendario F'!F13="","",'Calendario F'!F13)</f>
        <v/>
      </c>
      <c r="G863" s="9" t="n"/>
      <c r="H863" s="9" t="n"/>
      <c r="I863" s="10" t="n"/>
      <c r="J863" s="195">
        <f>IF('Calendario F'!J13="","",'Calendario F'!J13)</f>
        <v/>
      </c>
      <c r="K863" s="64" t="inlineStr">
        <is>
          <t>-</t>
        </is>
      </c>
      <c r="L863" s="195">
        <f>IF('Calendario F'!L13="","",'Calendario F'!L13)</f>
        <v/>
      </c>
      <c r="M863" s="196" t="n"/>
      <c r="N863" s="196" t="n"/>
      <c r="O863" s="196" t="n"/>
      <c r="P863" s="196" t="n"/>
      <c r="Q863" s="196" t="n"/>
      <c r="R863" s="196" t="n"/>
    </row>
    <row r="864" ht="15" customHeight="1">
      <c r="A864" s="141" t="n"/>
      <c r="B864" s="69">
        <f>IF('Calendario F'!B14="","",'Calendario F'!B14)</f>
        <v/>
      </c>
      <c r="C864" s="9" t="n"/>
      <c r="D864" s="9" t="n"/>
      <c r="E864" s="9" t="n"/>
      <c r="F864" s="9" t="n"/>
      <c r="G864" s="9" t="n"/>
      <c r="H864" s="10" t="n"/>
      <c r="I864" s="62">
        <f>IF('Calendario F'!I14="","",'Calendario F'!I14)</f>
        <v/>
      </c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</row>
    <row r="865" ht="14" customHeight="1">
      <c r="A865" s="102" t="inlineStr">
        <is>
          <t>Gara N.</t>
        </is>
      </c>
      <c r="B865" s="102" t="inlineStr">
        <is>
          <t>Squadra A</t>
        </is>
      </c>
      <c r="C865" s="10" t="n"/>
      <c r="D865" s="102" t="inlineStr">
        <is>
          <t>Squadra B</t>
        </is>
      </c>
      <c r="E865" s="10" t="n"/>
      <c r="F865" s="102" t="inlineStr">
        <is>
          <t>Giorno</t>
        </is>
      </c>
      <c r="G865" s="102" t="inlineStr">
        <is>
          <t>Data</t>
        </is>
      </c>
      <c r="H865" s="102" t="inlineStr">
        <is>
          <t>Ora</t>
        </is>
      </c>
      <c r="I865" s="10" t="n"/>
      <c r="J865" s="102" t="inlineStr">
        <is>
          <t>Risultato</t>
        </is>
      </c>
      <c r="K865" s="9" t="n"/>
      <c r="L865" s="10" t="n"/>
      <c r="M865" s="207" t="inlineStr">
        <is>
          <t>1o Arbitro</t>
        </is>
      </c>
      <c r="N865" s="207" t="inlineStr">
        <is>
          <t>2o Arbitro</t>
        </is>
      </c>
      <c r="O865" s="207" t="inlineStr">
        <is>
          <t>3o Arbitro/Tirocinante</t>
        </is>
      </c>
      <c r="P865" s="207" t="inlineStr">
        <is>
          <t>Referto</t>
        </is>
      </c>
      <c r="Q865" s="207" t="inlineStr">
        <is>
          <t>Cronometro</t>
        </is>
      </c>
      <c r="R865" s="207" t="inlineStr">
        <is>
          <t>Foglio Tiri</t>
        </is>
      </c>
    </row>
    <row r="866" ht="22" customHeight="1">
      <c r="A866" s="104">
        <f>IF('Calendario F'!A16="","",'Calendario F'!A16)</f>
        <v/>
      </c>
      <c r="B866" s="61">
        <f>IF('Calendario F'!B16="","",'Calendario F'!B16)</f>
        <v/>
      </c>
      <c r="C866" s="62">
        <f>IF('Calendario F'!C16="","",'Calendario F'!C16)</f>
        <v/>
      </c>
      <c r="D866" s="61">
        <f>IF('Calendario F'!D16="","",'Calendario F'!D16)</f>
        <v/>
      </c>
      <c r="E866" s="62">
        <f>IF('Calendario F'!E16="","",'Calendario F'!E16)</f>
        <v/>
      </c>
      <c r="F866" s="63">
        <f>IF('Calendario F'!F16="","",'Calendario F'!F16)</f>
        <v/>
      </c>
      <c r="G866" s="9" t="n"/>
      <c r="H866" s="9" t="n"/>
      <c r="I866" s="10" t="n"/>
      <c r="J866" s="195">
        <f>IF('Calendario F'!J16="","",'Calendario F'!J16)</f>
        <v/>
      </c>
      <c r="K866" s="64" t="inlineStr">
        <is>
          <t>-</t>
        </is>
      </c>
      <c r="L866" s="195">
        <f>IF('Calendario F'!L16="","",'Calendario F'!L16)</f>
        <v/>
      </c>
      <c r="M866" s="196" t="n"/>
      <c r="N866" s="196" t="n"/>
      <c r="O866" s="196" t="n"/>
      <c r="P866" s="196" t="n"/>
      <c r="Q866" s="196" t="n"/>
      <c r="R866" s="196" t="n"/>
    </row>
    <row r="867" ht="15" customHeight="1">
      <c r="A867" s="141" t="n"/>
      <c r="B867" s="69">
        <f>IF('Calendario F'!B17="","",'Calendario F'!B17)</f>
        <v/>
      </c>
      <c r="C867" s="9" t="n"/>
      <c r="D867" s="9" t="n"/>
      <c r="E867" s="9" t="n"/>
      <c r="F867" s="9" t="n"/>
      <c r="G867" s="9" t="n"/>
      <c r="H867" s="10" t="n"/>
      <c r="I867" s="62">
        <f>IF('Calendario F'!I17="","",'Calendario F'!I17)</f>
        <v/>
      </c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</row>
    <row r="868" ht="14" customHeight="1">
      <c r="A868" s="102" t="inlineStr">
        <is>
          <t>Gara N.</t>
        </is>
      </c>
      <c r="B868" s="102" t="inlineStr">
        <is>
          <t>Squadra A</t>
        </is>
      </c>
      <c r="C868" s="10" t="n"/>
      <c r="D868" s="102" t="inlineStr">
        <is>
          <t>Squadra B</t>
        </is>
      </c>
      <c r="E868" s="10" t="n"/>
      <c r="F868" s="102" t="inlineStr">
        <is>
          <t>Giorno</t>
        </is>
      </c>
      <c r="G868" s="102" t="inlineStr">
        <is>
          <t>Data</t>
        </is>
      </c>
      <c r="H868" s="102" t="inlineStr">
        <is>
          <t>Ora</t>
        </is>
      </c>
      <c r="I868" s="10" t="n"/>
      <c r="J868" s="102" t="inlineStr">
        <is>
          <t>Risultato</t>
        </is>
      </c>
      <c r="K868" s="9" t="n"/>
      <c r="L868" s="10" t="n"/>
      <c r="M868" s="207" t="inlineStr">
        <is>
          <t>1o Arbitro</t>
        </is>
      </c>
      <c r="N868" s="207" t="inlineStr">
        <is>
          <t>2o Arbitro</t>
        </is>
      </c>
      <c r="O868" s="207" t="inlineStr">
        <is>
          <t>3o Arbitro/Tirocinante</t>
        </is>
      </c>
      <c r="P868" s="207" t="inlineStr">
        <is>
          <t>Referto</t>
        </is>
      </c>
      <c r="Q868" s="207" t="inlineStr">
        <is>
          <t>Cronometro</t>
        </is>
      </c>
      <c r="R868" s="207" t="inlineStr">
        <is>
          <t>Foglio Tiri</t>
        </is>
      </c>
    </row>
    <row r="869" ht="22" customHeight="1">
      <c r="A869" s="104">
        <f>IF('Calendario F'!A19="","",'Calendario F'!A19)</f>
        <v/>
      </c>
      <c r="B869" s="61">
        <f>IF('Calendario F'!B19="","",'Calendario F'!B19)</f>
        <v/>
      </c>
      <c r="C869" s="62">
        <f>IF('Calendario F'!C19="","",'Calendario F'!C19)</f>
        <v/>
      </c>
      <c r="D869" s="61">
        <f>IF('Calendario F'!D19="","",'Calendario F'!D19)</f>
        <v/>
      </c>
      <c r="E869" s="62">
        <f>IF('Calendario F'!E19="","",'Calendario F'!E19)</f>
        <v/>
      </c>
      <c r="F869" s="63">
        <f>IF('Calendario F'!F19="","",'Calendario F'!F19)</f>
        <v/>
      </c>
      <c r="G869" s="9" t="n"/>
      <c r="H869" s="9" t="n"/>
      <c r="I869" s="10" t="n"/>
      <c r="J869" s="195">
        <f>IF('Calendario F'!J19="","",'Calendario F'!J19)</f>
        <v/>
      </c>
      <c r="K869" s="64" t="inlineStr">
        <is>
          <t>-</t>
        </is>
      </c>
      <c r="L869" s="195">
        <f>IF('Calendario F'!L19="","",'Calendario F'!L19)</f>
        <v/>
      </c>
      <c r="M869" s="196" t="n"/>
      <c r="N869" s="196" t="n"/>
      <c r="O869" s="196" t="n"/>
      <c r="P869" s="196" t="n"/>
      <c r="Q869" s="196" t="n"/>
      <c r="R869" s="196" t="n"/>
    </row>
    <row r="870" ht="15" customHeight="1">
      <c r="A870" s="141" t="n"/>
      <c r="B870" s="69">
        <f>IF('Calendario F'!B20="","",'Calendario F'!B20)</f>
        <v/>
      </c>
      <c r="C870" s="9" t="n"/>
      <c r="D870" s="9" t="n"/>
      <c r="E870" s="9" t="n"/>
      <c r="F870" s="9" t="n"/>
      <c r="G870" s="9" t="n"/>
      <c r="H870" s="10" t="n"/>
      <c r="I870" s="62">
        <f>IF('Calendario F'!I20="","",'Calendario F'!I20)</f>
        <v/>
      </c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</row>
    <row r="871" ht="14" customHeight="1">
      <c r="A871" s="102" t="inlineStr">
        <is>
          <t>Gara N.</t>
        </is>
      </c>
      <c r="B871" s="102" t="inlineStr">
        <is>
          <t>Squadra A</t>
        </is>
      </c>
      <c r="C871" s="10" t="n"/>
      <c r="D871" s="102" t="inlineStr">
        <is>
          <t>Squadra B</t>
        </is>
      </c>
      <c r="E871" s="10" t="n"/>
      <c r="F871" s="102" t="inlineStr">
        <is>
          <t>Giorno</t>
        </is>
      </c>
      <c r="G871" s="102" t="inlineStr">
        <is>
          <t>Data</t>
        </is>
      </c>
      <c r="H871" s="102" t="inlineStr">
        <is>
          <t>Ora</t>
        </is>
      </c>
      <c r="I871" s="10" t="n"/>
      <c r="J871" s="102" t="inlineStr">
        <is>
          <t>Risultato</t>
        </is>
      </c>
      <c r="K871" s="9" t="n"/>
      <c r="L871" s="10" t="n"/>
      <c r="M871" s="207" t="inlineStr">
        <is>
          <t>1o Arbitro</t>
        </is>
      </c>
      <c r="N871" s="207" t="inlineStr">
        <is>
          <t>2o Arbitro</t>
        </is>
      </c>
      <c r="O871" s="207" t="inlineStr">
        <is>
          <t>3o Arbitro/Tirocinante</t>
        </is>
      </c>
      <c r="P871" s="207" t="inlineStr">
        <is>
          <t>Referto</t>
        </is>
      </c>
      <c r="Q871" s="207" t="inlineStr">
        <is>
          <t>Cronometro</t>
        </is>
      </c>
      <c r="R871" s="207" t="inlineStr">
        <is>
          <t>Foglio Tiri</t>
        </is>
      </c>
    </row>
    <row r="872" ht="22" customHeight="1">
      <c r="A872" s="104">
        <f>IF('Calendario F'!A22="","",'Calendario F'!A22)</f>
        <v/>
      </c>
      <c r="B872" s="61">
        <f>IF('Calendario F'!B22="","",'Calendario F'!B22)</f>
        <v/>
      </c>
      <c r="C872" s="62">
        <f>IF('Calendario F'!C22="","",'Calendario F'!C22)</f>
        <v/>
      </c>
      <c r="D872" s="61">
        <f>IF('Calendario F'!D22="","",'Calendario F'!D22)</f>
        <v/>
      </c>
      <c r="E872" s="62">
        <f>IF('Calendario F'!E22="","",'Calendario F'!E22)</f>
        <v/>
      </c>
      <c r="F872" s="63">
        <f>IF('Calendario F'!F22="","",'Calendario F'!F22)</f>
        <v/>
      </c>
      <c r="G872" s="9" t="n"/>
      <c r="H872" s="9" t="n"/>
      <c r="I872" s="10" t="n"/>
      <c r="J872" s="195">
        <f>IF('Calendario F'!J22="","",'Calendario F'!J22)</f>
        <v/>
      </c>
      <c r="K872" s="64" t="inlineStr">
        <is>
          <t>-</t>
        </is>
      </c>
      <c r="L872" s="195">
        <f>IF('Calendario F'!L22="","",'Calendario F'!L22)</f>
        <v/>
      </c>
      <c r="M872" s="196" t="n"/>
      <c r="N872" s="196" t="n"/>
      <c r="O872" s="196" t="n"/>
      <c r="P872" s="196" t="n"/>
      <c r="Q872" s="196" t="n"/>
      <c r="R872" s="196" t="n"/>
    </row>
    <row r="873" ht="15" customHeight="1">
      <c r="A873" s="141" t="n"/>
      <c r="B873" s="69">
        <f>IF('Calendario F'!B23="","",'Calendario F'!B23)</f>
        <v/>
      </c>
      <c r="C873" s="9" t="n"/>
      <c r="D873" s="9" t="n"/>
      <c r="E873" s="9" t="n"/>
      <c r="F873" s="9" t="n"/>
      <c r="G873" s="9" t="n"/>
      <c r="H873" s="10" t="n"/>
      <c r="I873" s="62">
        <f>IF('Calendario F'!I23="","",'Calendario F'!I23)</f>
        <v/>
      </c>
      <c r="J873" s="141" t="n"/>
      <c r="K873" s="141" t="n"/>
      <c r="L873" s="141" t="n"/>
      <c r="M873" s="141" t="n"/>
      <c r="N873" s="141" t="n"/>
      <c r="O873" s="141" t="n"/>
      <c r="P873" s="141" t="n"/>
      <c r="Q873" s="141" t="n"/>
      <c r="R873" s="141" t="n"/>
    </row>
    <row r="875" ht="20" customHeight="1">
      <c r="A875" s="99">
        <f>IF('Calendario F'!A25="","",'Calendario F'!A25)</f>
        <v/>
      </c>
      <c r="B875" s="100">
        <f>IF('Calendario F'!B25="","",'Calendario F'!B25)</f>
        <v/>
      </c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10" t="n"/>
      <c r="M875" s="206" t="inlineStr">
        <is>
          <t>ARBITRI</t>
        </is>
      </c>
      <c r="N875" s="9" t="n"/>
      <c r="O875" s="10" t="n"/>
      <c r="P875" s="206" t="inlineStr">
        <is>
          <t>UFFICIALI DI CAMPO</t>
        </is>
      </c>
      <c r="Q875" s="9" t="n"/>
      <c r="R875" s="10" t="n"/>
    </row>
    <row r="876" ht="14" customHeight="1">
      <c r="A876" s="102" t="inlineStr">
        <is>
          <t>Gara N.</t>
        </is>
      </c>
      <c r="B876" s="102" t="inlineStr">
        <is>
          <t>Squadra A</t>
        </is>
      </c>
      <c r="C876" s="10" t="n"/>
      <c r="D876" s="102" t="inlineStr">
        <is>
          <t>Squadra B</t>
        </is>
      </c>
      <c r="E876" s="10" t="n"/>
      <c r="F876" s="102" t="inlineStr">
        <is>
          <t>Giorno</t>
        </is>
      </c>
      <c r="G876" s="102" t="inlineStr">
        <is>
          <t>Data</t>
        </is>
      </c>
      <c r="H876" s="102" t="inlineStr">
        <is>
          <t>Ora</t>
        </is>
      </c>
      <c r="I876" s="10" t="n"/>
      <c r="J876" s="102" t="inlineStr">
        <is>
          <t>Risultato</t>
        </is>
      </c>
      <c r="K876" s="9" t="n"/>
      <c r="L876" s="10" t="n"/>
      <c r="M876" s="207" t="inlineStr">
        <is>
          <t>1o Arbitro</t>
        </is>
      </c>
      <c r="N876" s="207" t="inlineStr">
        <is>
          <t>2o Arbitro</t>
        </is>
      </c>
      <c r="O876" s="207" t="inlineStr">
        <is>
          <t>3o Arbitro/Tirocinante</t>
        </is>
      </c>
      <c r="P876" s="207" t="inlineStr">
        <is>
          <t>Referto</t>
        </is>
      </c>
      <c r="Q876" s="207" t="inlineStr">
        <is>
          <t>Cronometro</t>
        </is>
      </c>
      <c r="R876" s="207" t="inlineStr">
        <is>
          <t>Foglio Tiri</t>
        </is>
      </c>
    </row>
    <row r="877" ht="22" customHeight="1">
      <c r="A877" s="104">
        <f>IF('Calendario F'!A27="","",'Calendario F'!A27)</f>
        <v/>
      </c>
      <c r="B877" s="61">
        <f>IF('Calendario F'!B27="","",'Calendario F'!B27)</f>
        <v/>
      </c>
      <c r="C877" s="62">
        <f>IF('Calendario F'!C27="","",'Calendario F'!C27)</f>
        <v/>
      </c>
      <c r="D877" s="61">
        <f>IF('Calendario F'!D27="","",'Calendario F'!D27)</f>
        <v/>
      </c>
      <c r="E877" s="62">
        <f>IF('Calendario F'!E27="","",'Calendario F'!E27)</f>
        <v/>
      </c>
      <c r="F877" s="63">
        <f>IF('Calendario F'!F27="","",'Calendario F'!F27)</f>
        <v/>
      </c>
      <c r="G877" s="9" t="n"/>
      <c r="H877" s="9" t="n"/>
      <c r="I877" s="10" t="n"/>
      <c r="J877" s="195">
        <f>IF('Calendario F'!J27="","",'Calendario F'!J27)</f>
        <v/>
      </c>
      <c r="K877" s="64" t="inlineStr">
        <is>
          <t>-</t>
        </is>
      </c>
      <c r="L877" s="195">
        <f>IF('Calendario F'!L27="","",'Calendario F'!L27)</f>
        <v/>
      </c>
      <c r="M877" s="196" t="n"/>
      <c r="N877" s="196" t="n"/>
      <c r="O877" s="196" t="n"/>
      <c r="P877" s="196" t="n"/>
      <c r="Q877" s="196" t="n"/>
      <c r="R877" s="196" t="n"/>
    </row>
    <row r="878" ht="15" customHeight="1">
      <c r="A878" s="141" t="n"/>
      <c r="B878" s="69">
        <f>IF('Calendario F'!B28="","",'Calendario F'!B28)</f>
        <v/>
      </c>
      <c r="C878" s="9" t="n"/>
      <c r="D878" s="9" t="n"/>
      <c r="E878" s="9" t="n"/>
      <c r="F878" s="9" t="n"/>
      <c r="G878" s="9" t="n"/>
      <c r="H878" s="10" t="n"/>
      <c r="I878" s="62">
        <f>IF('Calendario F'!I28="","",'Calendario F'!I28)</f>
        <v/>
      </c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</row>
    <row r="879" ht="14" customHeight="1">
      <c r="A879" s="102" t="inlineStr">
        <is>
          <t>Gara N.</t>
        </is>
      </c>
      <c r="B879" s="102" t="inlineStr">
        <is>
          <t>Squadra A</t>
        </is>
      </c>
      <c r="C879" s="10" t="n"/>
      <c r="D879" s="102" t="inlineStr">
        <is>
          <t>Squadra B</t>
        </is>
      </c>
      <c r="E879" s="10" t="n"/>
      <c r="F879" s="102" t="inlineStr">
        <is>
          <t>Giorno</t>
        </is>
      </c>
      <c r="G879" s="102" t="inlineStr">
        <is>
          <t>Data</t>
        </is>
      </c>
      <c r="H879" s="102" t="inlineStr">
        <is>
          <t>Ora</t>
        </is>
      </c>
      <c r="I879" s="10" t="n"/>
      <c r="J879" s="102" t="inlineStr">
        <is>
          <t>Risultato</t>
        </is>
      </c>
      <c r="K879" s="9" t="n"/>
      <c r="L879" s="10" t="n"/>
      <c r="M879" s="207" t="inlineStr">
        <is>
          <t>1o Arbitro</t>
        </is>
      </c>
      <c r="N879" s="207" t="inlineStr">
        <is>
          <t>2o Arbitro</t>
        </is>
      </c>
      <c r="O879" s="207" t="inlineStr">
        <is>
          <t>3o Arbitro/Tirocinante</t>
        </is>
      </c>
      <c r="P879" s="207" t="inlineStr">
        <is>
          <t>Referto</t>
        </is>
      </c>
      <c r="Q879" s="207" t="inlineStr">
        <is>
          <t>Cronometro</t>
        </is>
      </c>
      <c r="R879" s="207" t="inlineStr">
        <is>
          <t>Foglio Tiri</t>
        </is>
      </c>
    </row>
    <row r="880" ht="22" customHeight="1">
      <c r="A880" s="104">
        <f>IF('Calendario F'!A30="","",'Calendario F'!A30)</f>
        <v/>
      </c>
      <c r="B880" s="61">
        <f>IF('Calendario F'!B30="","",'Calendario F'!B30)</f>
        <v/>
      </c>
      <c r="C880" s="62">
        <f>IF('Calendario F'!C30="","",'Calendario F'!C30)</f>
        <v/>
      </c>
      <c r="D880" s="61">
        <f>IF('Calendario F'!D30="","",'Calendario F'!D30)</f>
        <v/>
      </c>
      <c r="E880" s="62">
        <f>IF('Calendario F'!E30="","",'Calendario F'!E30)</f>
        <v/>
      </c>
      <c r="F880" s="63">
        <f>IF('Calendario F'!F30="","",'Calendario F'!F30)</f>
        <v/>
      </c>
      <c r="G880" s="9" t="n"/>
      <c r="H880" s="9" t="n"/>
      <c r="I880" s="10" t="n"/>
      <c r="J880" s="195">
        <f>IF('Calendario F'!J30="","",'Calendario F'!J30)</f>
        <v/>
      </c>
      <c r="K880" s="64" t="inlineStr">
        <is>
          <t>-</t>
        </is>
      </c>
      <c r="L880" s="195">
        <f>IF('Calendario F'!L30="","",'Calendario F'!L30)</f>
        <v/>
      </c>
      <c r="M880" s="196" t="n"/>
      <c r="N880" s="196" t="n"/>
      <c r="O880" s="196" t="n"/>
      <c r="P880" s="196" t="n"/>
      <c r="Q880" s="196" t="n"/>
      <c r="R880" s="196" t="n"/>
    </row>
    <row r="881" ht="15" customHeight="1">
      <c r="A881" s="141" t="n"/>
      <c r="B881" s="69">
        <f>IF('Calendario F'!B31="","",'Calendario F'!B31)</f>
        <v/>
      </c>
      <c r="C881" s="9" t="n"/>
      <c r="D881" s="9" t="n"/>
      <c r="E881" s="9" t="n"/>
      <c r="F881" s="9" t="n"/>
      <c r="G881" s="9" t="n"/>
      <c r="H881" s="10" t="n"/>
      <c r="I881" s="62">
        <f>IF('Calendario F'!I31="","",'Calendario F'!I31)</f>
        <v/>
      </c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</row>
    <row r="882" ht="14" customHeight="1">
      <c r="A882" s="102" t="inlineStr">
        <is>
          <t>Gara N.</t>
        </is>
      </c>
      <c r="B882" s="102" t="inlineStr">
        <is>
          <t>Squadra A</t>
        </is>
      </c>
      <c r="C882" s="10" t="n"/>
      <c r="D882" s="102" t="inlineStr">
        <is>
          <t>Squadra B</t>
        </is>
      </c>
      <c r="E882" s="10" t="n"/>
      <c r="F882" s="102" t="inlineStr">
        <is>
          <t>Giorno</t>
        </is>
      </c>
      <c r="G882" s="102" t="inlineStr">
        <is>
          <t>Data</t>
        </is>
      </c>
      <c r="H882" s="102" t="inlineStr">
        <is>
          <t>Ora</t>
        </is>
      </c>
      <c r="I882" s="10" t="n"/>
      <c r="J882" s="102" t="inlineStr">
        <is>
          <t>Risultato</t>
        </is>
      </c>
      <c r="K882" s="9" t="n"/>
      <c r="L882" s="10" t="n"/>
      <c r="M882" s="207" t="inlineStr">
        <is>
          <t>1o Arbitro</t>
        </is>
      </c>
      <c r="N882" s="207" t="inlineStr">
        <is>
          <t>2o Arbitro</t>
        </is>
      </c>
      <c r="O882" s="207" t="inlineStr">
        <is>
          <t>3o Arbitro/Tirocinante</t>
        </is>
      </c>
      <c r="P882" s="207" t="inlineStr">
        <is>
          <t>Referto</t>
        </is>
      </c>
      <c r="Q882" s="207" t="inlineStr">
        <is>
          <t>Cronometro</t>
        </is>
      </c>
      <c r="R882" s="207" t="inlineStr">
        <is>
          <t>Foglio Tiri</t>
        </is>
      </c>
    </row>
    <row r="883" ht="22" customHeight="1">
      <c r="A883" s="104">
        <f>IF('Calendario F'!A33="","",'Calendario F'!A33)</f>
        <v/>
      </c>
      <c r="B883" s="61">
        <f>IF('Calendario F'!B33="","",'Calendario F'!B33)</f>
        <v/>
      </c>
      <c r="C883" s="62">
        <f>IF('Calendario F'!C33="","",'Calendario F'!C33)</f>
        <v/>
      </c>
      <c r="D883" s="61">
        <f>IF('Calendario F'!D33="","",'Calendario F'!D33)</f>
        <v/>
      </c>
      <c r="E883" s="62">
        <f>IF('Calendario F'!E33="","",'Calendario F'!E33)</f>
        <v/>
      </c>
      <c r="F883" s="63">
        <f>IF('Calendario F'!F33="","",'Calendario F'!F33)</f>
        <v/>
      </c>
      <c r="G883" s="9" t="n"/>
      <c r="H883" s="9" t="n"/>
      <c r="I883" s="10" t="n"/>
      <c r="J883" s="195">
        <f>IF('Calendario F'!J33="","",'Calendario F'!J33)</f>
        <v/>
      </c>
      <c r="K883" s="64" t="inlineStr">
        <is>
          <t>-</t>
        </is>
      </c>
      <c r="L883" s="195">
        <f>IF('Calendario F'!L33="","",'Calendario F'!L33)</f>
        <v/>
      </c>
      <c r="M883" s="196" t="n"/>
      <c r="N883" s="196" t="n"/>
      <c r="O883" s="196" t="n"/>
      <c r="P883" s="196" t="n"/>
      <c r="Q883" s="196" t="n"/>
      <c r="R883" s="196" t="n"/>
    </row>
    <row r="884" ht="15" customHeight="1">
      <c r="A884" s="141" t="n"/>
      <c r="B884" s="69">
        <f>IF('Calendario F'!B34="","",'Calendario F'!B34)</f>
        <v/>
      </c>
      <c r="C884" s="9" t="n"/>
      <c r="D884" s="9" t="n"/>
      <c r="E884" s="9" t="n"/>
      <c r="F884" s="9" t="n"/>
      <c r="G884" s="9" t="n"/>
      <c r="H884" s="10" t="n"/>
      <c r="I884" s="62">
        <f>IF('Calendario F'!I34="","",'Calendario F'!I34)</f>
        <v/>
      </c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</row>
    <row r="885" ht="14" customHeight="1">
      <c r="A885" s="102" t="inlineStr">
        <is>
          <t>Gara N.</t>
        </is>
      </c>
      <c r="B885" s="102" t="inlineStr">
        <is>
          <t>Squadra A</t>
        </is>
      </c>
      <c r="C885" s="10" t="n"/>
      <c r="D885" s="102" t="inlineStr">
        <is>
          <t>Squadra B</t>
        </is>
      </c>
      <c r="E885" s="10" t="n"/>
      <c r="F885" s="102" t="inlineStr">
        <is>
          <t>Giorno</t>
        </is>
      </c>
      <c r="G885" s="102" t="inlineStr">
        <is>
          <t>Data</t>
        </is>
      </c>
      <c r="H885" s="102" t="inlineStr">
        <is>
          <t>Ora</t>
        </is>
      </c>
      <c r="I885" s="10" t="n"/>
      <c r="J885" s="102" t="inlineStr">
        <is>
          <t>Risultato</t>
        </is>
      </c>
      <c r="K885" s="9" t="n"/>
      <c r="L885" s="10" t="n"/>
      <c r="M885" s="207" t="inlineStr">
        <is>
          <t>1o Arbitro</t>
        </is>
      </c>
      <c r="N885" s="207" t="inlineStr">
        <is>
          <t>2o Arbitro</t>
        </is>
      </c>
      <c r="O885" s="207" t="inlineStr">
        <is>
          <t>3o Arbitro/Tirocinante</t>
        </is>
      </c>
      <c r="P885" s="207" t="inlineStr">
        <is>
          <t>Referto</t>
        </is>
      </c>
      <c r="Q885" s="207" t="inlineStr">
        <is>
          <t>Cronometro</t>
        </is>
      </c>
      <c r="R885" s="207" t="inlineStr">
        <is>
          <t>Foglio Tiri</t>
        </is>
      </c>
    </row>
    <row r="886" ht="22" customHeight="1">
      <c r="A886" s="104">
        <f>IF('Calendario F'!A36="","",'Calendario F'!A36)</f>
        <v/>
      </c>
      <c r="B886" s="61">
        <f>IF('Calendario F'!B36="","",'Calendario F'!B36)</f>
        <v/>
      </c>
      <c r="C886" s="62">
        <f>IF('Calendario F'!C36="","",'Calendario F'!C36)</f>
        <v/>
      </c>
      <c r="D886" s="61">
        <f>IF('Calendario F'!D36="","",'Calendario F'!D36)</f>
        <v/>
      </c>
      <c r="E886" s="62">
        <f>IF('Calendario F'!E36="","",'Calendario F'!E36)</f>
        <v/>
      </c>
      <c r="F886" s="63">
        <f>IF('Calendario F'!F36="","",'Calendario F'!F36)</f>
        <v/>
      </c>
      <c r="G886" s="9" t="n"/>
      <c r="H886" s="9" t="n"/>
      <c r="I886" s="10" t="n"/>
      <c r="J886" s="195">
        <f>IF('Calendario F'!J36="","",'Calendario F'!J36)</f>
        <v/>
      </c>
      <c r="K886" s="64" t="inlineStr">
        <is>
          <t>-</t>
        </is>
      </c>
      <c r="L886" s="195">
        <f>IF('Calendario F'!L36="","",'Calendario F'!L36)</f>
        <v/>
      </c>
      <c r="M886" s="196" t="n"/>
      <c r="N886" s="196" t="n"/>
      <c r="O886" s="196" t="n"/>
      <c r="P886" s="196" t="n"/>
      <c r="Q886" s="196" t="n"/>
      <c r="R886" s="196" t="n"/>
    </row>
    <row r="887" ht="15" customHeight="1">
      <c r="A887" s="141" t="n"/>
      <c r="B887" s="69">
        <f>IF('Calendario F'!B37="","",'Calendario F'!B37)</f>
        <v/>
      </c>
      <c r="C887" s="9" t="n"/>
      <c r="D887" s="9" t="n"/>
      <c r="E887" s="9" t="n"/>
      <c r="F887" s="9" t="n"/>
      <c r="G887" s="9" t="n"/>
      <c r="H887" s="10" t="n"/>
      <c r="I887" s="62">
        <f>IF('Calendario F'!I37="","",'Calendario F'!I37)</f>
        <v/>
      </c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</row>
    <row r="888" ht="14" customHeight="1">
      <c r="A888" s="102" t="inlineStr">
        <is>
          <t>Gara N.</t>
        </is>
      </c>
      <c r="B888" s="102" t="inlineStr">
        <is>
          <t>Squadra A</t>
        </is>
      </c>
      <c r="C888" s="10" t="n"/>
      <c r="D888" s="102" t="inlineStr">
        <is>
          <t>Squadra B</t>
        </is>
      </c>
      <c r="E888" s="10" t="n"/>
      <c r="F888" s="102" t="inlineStr">
        <is>
          <t>Giorno</t>
        </is>
      </c>
      <c r="G888" s="102" t="inlineStr">
        <is>
          <t>Data</t>
        </is>
      </c>
      <c r="H888" s="102" t="inlineStr">
        <is>
          <t>Ora</t>
        </is>
      </c>
      <c r="I888" s="10" t="n"/>
      <c r="J888" s="102" t="inlineStr">
        <is>
          <t>Risultato</t>
        </is>
      </c>
      <c r="K888" s="9" t="n"/>
      <c r="L888" s="10" t="n"/>
      <c r="M888" s="207" t="inlineStr">
        <is>
          <t>1o Arbitro</t>
        </is>
      </c>
      <c r="N888" s="207" t="inlineStr">
        <is>
          <t>2o Arbitro</t>
        </is>
      </c>
      <c r="O888" s="207" t="inlineStr">
        <is>
          <t>3o Arbitro/Tirocinante</t>
        </is>
      </c>
      <c r="P888" s="207" t="inlineStr">
        <is>
          <t>Referto</t>
        </is>
      </c>
      <c r="Q888" s="207" t="inlineStr">
        <is>
          <t>Cronometro</t>
        </is>
      </c>
      <c r="R888" s="207" t="inlineStr">
        <is>
          <t>Foglio Tiri</t>
        </is>
      </c>
    </row>
    <row r="889" ht="22" customHeight="1">
      <c r="A889" s="104">
        <f>IF('Calendario F'!A39="","",'Calendario F'!A39)</f>
        <v/>
      </c>
      <c r="B889" s="61">
        <f>IF('Calendario F'!B39="","",'Calendario F'!B39)</f>
        <v/>
      </c>
      <c r="C889" s="62">
        <f>IF('Calendario F'!C39="","",'Calendario F'!C39)</f>
        <v/>
      </c>
      <c r="D889" s="61">
        <f>IF('Calendario F'!D39="","",'Calendario F'!D39)</f>
        <v/>
      </c>
      <c r="E889" s="62">
        <f>IF('Calendario F'!E39="","",'Calendario F'!E39)</f>
        <v/>
      </c>
      <c r="F889" s="63">
        <f>IF('Calendario F'!F39="","",'Calendario F'!F39)</f>
        <v/>
      </c>
      <c r="G889" s="9" t="n"/>
      <c r="H889" s="9" t="n"/>
      <c r="I889" s="10" t="n"/>
      <c r="J889" s="195">
        <f>IF('Calendario F'!J39="","",'Calendario F'!J39)</f>
        <v/>
      </c>
      <c r="K889" s="64" t="inlineStr">
        <is>
          <t>-</t>
        </is>
      </c>
      <c r="L889" s="195">
        <f>IF('Calendario F'!L39="","",'Calendario F'!L39)</f>
        <v/>
      </c>
      <c r="M889" s="196" t="n"/>
      <c r="N889" s="196" t="n"/>
      <c r="O889" s="196" t="n"/>
      <c r="P889" s="196" t="n"/>
      <c r="Q889" s="196" t="n"/>
      <c r="R889" s="196" t="n"/>
    </row>
    <row r="890" ht="15" customHeight="1">
      <c r="A890" s="141" t="n"/>
      <c r="B890" s="69">
        <f>IF('Calendario F'!B40="","",'Calendario F'!B40)</f>
        <v/>
      </c>
      <c r="C890" s="9" t="n"/>
      <c r="D890" s="9" t="n"/>
      <c r="E890" s="9" t="n"/>
      <c r="F890" s="9" t="n"/>
      <c r="G890" s="9" t="n"/>
      <c r="H890" s="10" t="n"/>
      <c r="I890" s="62">
        <f>IF('Calendario F'!I40="","",'Calendario F'!I40)</f>
        <v/>
      </c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</row>
    <row r="892" ht="20" customHeight="1">
      <c r="A892" s="99">
        <f>IF('Calendario F'!A42="","",'Calendario F'!A42)</f>
        <v/>
      </c>
      <c r="B892" s="100">
        <f>IF('Calendario F'!B42="","",'Calendario F'!B42)</f>
        <v/>
      </c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10" t="n"/>
      <c r="M892" s="206" t="inlineStr">
        <is>
          <t>ARBITRI</t>
        </is>
      </c>
      <c r="N892" s="9" t="n"/>
      <c r="O892" s="10" t="n"/>
      <c r="P892" s="206" t="inlineStr">
        <is>
          <t>UFFICIALI DI CAMPO</t>
        </is>
      </c>
      <c r="Q892" s="9" t="n"/>
      <c r="R892" s="10" t="n"/>
    </row>
    <row r="893" ht="14" customHeight="1">
      <c r="A893" s="102" t="inlineStr">
        <is>
          <t>Gara N.</t>
        </is>
      </c>
      <c r="B893" s="102" t="inlineStr">
        <is>
          <t>Squadra A</t>
        </is>
      </c>
      <c r="C893" s="10" t="n"/>
      <c r="D893" s="102" t="inlineStr">
        <is>
          <t>Squadra B</t>
        </is>
      </c>
      <c r="E893" s="10" t="n"/>
      <c r="F893" s="102" t="inlineStr">
        <is>
          <t>Giorno</t>
        </is>
      </c>
      <c r="G893" s="102" t="inlineStr">
        <is>
          <t>Data</t>
        </is>
      </c>
      <c r="H893" s="102" t="inlineStr">
        <is>
          <t>Ora</t>
        </is>
      </c>
      <c r="I893" s="10" t="n"/>
      <c r="J893" s="102" t="inlineStr">
        <is>
          <t>Risultato</t>
        </is>
      </c>
      <c r="K893" s="9" t="n"/>
      <c r="L893" s="10" t="n"/>
      <c r="M893" s="207" t="inlineStr">
        <is>
          <t>1o Arbitro</t>
        </is>
      </c>
      <c r="N893" s="207" t="inlineStr">
        <is>
          <t>2o Arbitro</t>
        </is>
      </c>
      <c r="O893" s="207" t="inlineStr">
        <is>
          <t>3o Arbitro/Tirocinante</t>
        </is>
      </c>
      <c r="P893" s="207" t="inlineStr">
        <is>
          <t>Referto</t>
        </is>
      </c>
      <c r="Q893" s="207" t="inlineStr">
        <is>
          <t>Cronometro</t>
        </is>
      </c>
      <c r="R893" s="207" t="inlineStr">
        <is>
          <t>Foglio Tiri</t>
        </is>
      </c>
    </row>
    <row r="894" ht="22" customHeight="1">
      <c r="A894" s="104">
        <f>IF('Calendario F'!A44="","",'Calendario F'!A44)</f>
        <v/>
      </c>
      <c r="B894" s="61">
        <f>IF('Calendario F'!B44="","",'Calendario F'!B44)</f>
        <v/>
      </c>
      <c r="C894" s="62">
        <f>IF('Calendario F'!C44="","",'Calendario F'!C44)</f>
        <v/>
      </c>
      <c r="D894" s="61">
        <f>IF('Calendario F'!D44="","",'Calendario F'!D44)</f>
        <v/>
      </c>
      <c r="E894" s="62">
        <f>IF('Calendario F'!E44="","",'Calendario F'!E44)</f>
        <v/>
      </c>
      <c r="F894" s="63">
        <f>IF('Calendario F'!F44="","",'Calendario F'!F44)</f>
        <v/>
      </c>
      <c r="G894" s="9" t="n"/>
      <c r="H894" s="9" t="n"/>
      <c r="I894" s="10" t="n"/>
      <c r="J894" s="195">
        <f>IF('Calendario F'!J44="","",'Calendario F'!J44)</f>
        <v/>
      </c>
      <c r="K894" s="64" t="inlineStr">
        <is>
          <t>-</t>
        </is>
      </c>
      <c r="L894" s="195">
        <f>IF('Calendario F'!L44="","",'Calendario F'!L44)</f>
        <v/>
      </c>
      <c r="M894" s="196" t="n"/>
      <c r="N894" s="196" t="n"/>
      <c r="O894" s="196" t="n"/>
      <c r="P894" s="196" t="n"/>
      <c r="Q894" s="196" t="n"/>
      <c r="R894" s="196" t="n"/>
    </row>
    <row r="895" ht="15" customHeight="1">
      <c r="A895" s="141" t="n"/>
      <c r="B895" s="69">
        <f>IF('Calendario F'!B45="","",'Calendario F'!B45)</f>
        <v/>
      </c>
      <c r="C895" s="9" t="n"/>
      <c r="D895" s="9" t="n"/>
      <c r="E895" s="9" t="n"/>
      <c r="F895" s="9" t="n"/>
      <c r="G895" s="9" t="n"/>
      <c r="H895" s="10" t="n"/>
      <c r="I895" s="62">
        <f>IF('Calendario F'!I45="","",'Calendario F'!I45)</f>
        <v/>
      </c>
      <c r="J895" s="141" t="n"/>
      <c r="K895" s="141" t="n"/>
      <c r="L895" s="141" t="n"/>
      <c r="M895" s="141" t="n"/>
      <c r="N895" s="141" t="n"/>
      <c r="O895" s="141" t="n"/>
      <c r="P895" s="141" t="n"/>
      <c r="Q895" s="141" t="n"/>
      <c r="R895" s="141" t="n"/>
    </row>
    <row r="896" ht="14" customHeight="1">
      <c r="A896" s="102" t="inlineStr">
        <is>
          <t>Gara N.</t>
        </is>
      </c>
      <c r="B896" s="102" t="inlineStr">
        <is>
          <t>Squadra A</t>
        </is>
      </c>
      <c r="C896" s="10" t="n"/>
      <c r="D896" s="102" t="inlineStr">
        <is>
          <t>Squadra B</t>
        </is>
      </c>
      <c r="E896" s="10" t="n"/>
      <c r="F896" s="102" t="inlineStr">
        <is>
          <t>Giorno</t>
        </is>
      </c>
      <c r="G896" s="102" t="inlineStr">
        <is>
          <t>Data</t>
        </is>
      </c>
      <c r="H896" s="102" t="inlineStr">
        <is>
          <t>Ora</t>
        </is>
      </c>
      <c r="I896" s="10" t="n"/>
      <c r="J896" s="102" t="inlineStr">
        <is>
          <t>Risultato</t>
        </is>
      </c>
      <c r="K896" s="9" t="n"/>
      <c r="L896" s="10" t="n"/>
      <c r="M896" s="207" t="inlineStr">
        <is>
          <t>1o Arbitro</t>
        </is>
      </c>
      <c r="N896" s="207" t="inlineStr">
        <is>
          <t>2o Arbitro</t>
        </is>
      </c>
      <c r="O896" s="207" t="inlineStr">
        <is>
          <t>3o Arbitro/Tirocinante</t>
        </is>
      </c>
      <c r="P896" s="207" t="inlineStr">
        <is>
          <t>Referto</t>
        </is>
      </c>
      <c r="Q896" s="207" t="inlineStr">
        <is>
          <t>Cronometro</t>
        </is>
      </c>
      <c r="R896" s="207" t="inlineStr">
        <is>
          <t>Foglio Tiri</t>
        </is>
      </c>
    </row>
    <row r="897" ht="22" customHeight="1">
      <c r="A897" s="104">
        <f>IF('Calendario F'!A47="","",'Calendario F'!A47)</f>
        <v/>
      </c>
      <c r="B897" s="61">
        <f>IF('Calendario F'!B47="","",'Calendario F'!B47)</f>
        <v/>
      </c>
      <c r="C897" s="62">
        <f>IF('Calendario F'!C47="","",'Calendario F'!C47)</f>
        <v/>
      </c>
      <c r="D897" s="61">
        <f>IF('Calendario F'!D47="","",'Calendario F'!D47)</f>
        <v/>
      </c>
      <c r="E897" s="62">
        <f>IF('Calendario F'!E47="","",'Calendario F'!E47)</f>
        <v/>
      </c>
      <c r="F897" s="63">
        <f>IF('Calendario F'!F47="","",'Calendario F'!F47)</f>
        <v/>
      </c>
      <c r="G897" s="9" t="n"/>
      <c r="H897" s="9" t="n"/>
      <c r="I897" s="10" t="n"/>
      <c r="J897" s="195">
        <f>IF('Calendario F'!J47="","",'Calendario F'!J47)</f>
        <v/>
      </c>
      <c r="K897" s="64" t="inlineStr">
        <is>
          <t>-</t>
        </is>
      </c>
      <c r="L897" s="195">
        <f>IF('Calendario F'!L47="","",'Calendario F'!L47)</f>
        <v/>
      </c>
      <c r="M897" s="196" t="n"/>
      <c r="N897" s="196" t="n"/>
      <c r="O897" s="196" t="n"/>
      <c r="P897" s="196" t="n"/>
      <c r="Q897" s="196" t="n"/>
      <c r="R897" s="196" t="n"/>
    </row>
    <row r="898" ht="15" customHeight="1">
      <c r="A898" s="141" t="n"/>
      <c r="B898" s="69">
        <f>IF('Calendario F'!B48="","",'Calendario F'!B48)</f>
        <v/>
      </c>
      <c r="C898" s="9" t="n"/>
      <c r="D898" s="9" t="n"/>
      <c r="E898" s="9" t="n"/>
      <c r="F898" s="9" t="n"/>
      <c r="G898" s="9" t="n"/>
      <c r="H898" s="10" t="n"/>
      <c r="I898" s="62">
        <f>IF('Calendario F'!I48="","",'Calendario F'!I48)</f>
        <v/>
      </c>
      <c r="J898" s="141" t="n"/>
      <c r="K898" s="141" t="n"/>
      <c r="L898" s="141" t="n"/>
      <c r="M898" s="141" t="n"/>
      <c r="N898" s="141" t="n"/>
      <c r="O898" s="141" t="n"/>
      <c r="P898" s="141" t="n"/>
      <c r="Q898" s="141" t="n"/>
      <c r="R898" s="141" t="n"/>
    </row>
    <row r="899" ht="14" customHeight="1">
      <c r="A899" s="102" t="inlineStr">
        <is>
          <t>Gara N.</t>
        </is>
      </c>
      <c r="B899" s="102" t="inlineStr">
        <is>
          <t>Squadra A</t>
        </is>
      </c>
      <c r="C899" s="10" t="n"/>
      <c r="D899" s="102" t="inlineStr">
        <is>
          <t>Squadra B</t>
        </is>
      </c>
      <c r="E899" s="10" t="n"/>
      <c r="F899" s="102" t="inlineStr">
        <is>
          <t>Giorno</t>
        </is>
      </c>
      <c r="G899" s="102" t="inlineStr">
        <is>
          <t>Data</t>
        </is>
      </c>
      <c r="H899" s="102" t="inlineStr">
        <is>
          <t>Ora</t>
        </is>
      </c>
      <c r="I899" s="10" t="n"/>
      <c r="J899" s="102" t="inlineStr">
        <is>
          <t>Risultato</t>
        </is>
      </c>
      <c r="K899" s="9" t="n"/>
      <c r="L899" s="10" t="n"/>
      <c r="M899" s="207" t="inlineStr">
        <is>
          <t>1o Arbitro</t>
        </is>
      </c>
      <c r="N899" s="207" t="inlineStr">
        <is>
          <t>2o Arbitro</t>
        </is>
      </c>
      <c r="O899" s="207" t="inlineStr">
        <is>
          <t>3o Arbitro/Tirocinante</t>
        </is>
      </c>
      <c r="P899" s="207" t="inlineStr">
        <is>
          <t>Referto</t>
        </is>
      </c>
      <c r="Q899" s="207" t="inlineStr">
        <is>
          <t>Cronometro</t>
        </is>
      </c>
      <c r="R899" s="207" t="inlineStr">
        <is>
          <t>Foglio Tiri</t>
        </is>
      </c>
    </row>
    <row r="900" ht="22" customHeight="1">
      <c r="A900" s="104">
        <f>IF('Calendario F'!A50="","",'Calendario F'!A50)</f>
        <v/>
      </c>
      <c r="B900" s="61">
        <f>IF('Calendario F'!B50="","",'Calendario F'!B50)</f>
        <v/>
      </c>
      <c r="C900" s="62">
        <f>IF('Calendario F'!C50="","",'Calendario F'!C50)</f>
        <v/>
      </c>
      <c r="D900" s="61">
        <f>IF('Calendario F'!D50="","",'Calendario F'!D50)</f>
        <v/>
      </c>
      <c r="E900" s="62">
        <f>IF('Calendario F'!E50="","",'Calendario F'!E50)</f>
        <v/>
      </c>
      <c r="F900" s="63">
        <f>IF('Calendario F'!F50="","",'Calendario F'!F50)</f>
        <v/>
      </c>
      <c r="G900" s="9" t="n"/>
      <c r="H900" s="9" t="n"/>
      <c r="I900" s="10" t="n"/>
      <c r="J900" s="195">
        <f>IF('Calendario F'!J50="","",'Calendario F'!J50)</f>
        <v/>
      </c>
      <c r="K900" s="64" t="inlineStr">
        <is>
          <t>-</t>
        </is>
      </c>
      <c r="L900" s="195">
        <f>IF('Calendario F'!L50="","",'Calendario F'!L50)</f>
        <v/>
      </c>
      <c r="M900" s="196" t="n"/>
      <c r="N900" s="196" t="n"/>
      <c r="O900" s="196" t="n"/>
      <c r="P900" s="196" t="n"/>
      <c r="Q900" s="196" t="n"/>
      <c r="R900" s="196" t="n"/>
    </row>
    <row r="901" ht="15" customHeight="1">
      <c r="A901" s="141" t="n"/>
      <c r="B901" s="69">
        <f>IF('Calendario F'!B51="","",'Calendario F'!B51)</f>
        <v/>
      </c>
      <c r="C901" s="9" t="n"/>
      <c r="D901" s="9" t="n"/>
      <c r="E901" s="9" t="n"/>
      <c r="F901" s="9" t="n"/>
      <c r="G901" s="9" t="n"/>
      <c r="H901" s="10" t="n"/>
      <c r="I901" s="62">
        <f>IF('Calendario F'!I51="","",'Calendario F'!I51)</f>
        <v/>
      </c>
      <c r="J901" s="141" t="n"/>
      <c r="K901" s="141" t="n"/>
      <c r="L901" s="141" t="n"/>
      <c r="M901" s="141" t="n"/>
      <c r="N901" s="141" t="n"/>
      <c r="O901" s="141" t="n"/>
      <c r="P901" s="141" t="n"/>
      <c r="Q901" s="141" t="n"/>
      <c r="R901" s="141" t="n"/>
    </row>
    <row r="902" ht="14" customHeight="1">
      <c r="A902" s="102" t="inlineStr">
        <is>
          <t>Gara N.</t>
        </is>
      </c>
      <c r="B902" s="102" t="inlineStr">
        <is>
          <t>Squadra A</t>
        </is>
      </c>
      <c r="C902" s="10" t="n"/>
      <c r="D902" s="102" t="inlineStr">
        <is>
          <t>Squadra B</t>
        </is>
      </c>
      <c r="E902" s="10" t="n"/>
      <c r="F902" s="102" t="inlineStr">
        <is>
          <t>Giorno</t>
        </is>
      </c>
      <c r="G902" s="102" t="inlineStr">
        <is>
          <t>Data</t>
        </is>
      </c>
      <c r="H902" s="102" t="inlineStr">
        <is>
          <t>Ora</t>
        </is>
      </c>
      <c r="I902" s="10" t="n"/>
      <c r="J902" s="102" t="inlineStr">
        <is>
          <t>Risultato</t>
        </is>
      </c>
      <c r="K902" s="9" t="n"/>
      <c r="L902" s="10" t="n"/>
      <c r="M902" s="207" t="inlineStr">
        <is>
          <t>1o Arbitro</t>
        </is>
      </c>
      <c r="N902" s="207" t="inlineStr">
        <is>
          <t>2o Arbitro</t>
        </is>
      </c>
      <c r="O902" s="207" t="inlineStr">
        <is>
          <t>3o Arbitro/Tirocinante</t>
        </is>
      </c>
      <c r="P902" s="207" t="inlineStr">
        <is>
          <t>Referto</t>
        </is>
      </c>
      <c r="Q902" s="207" t="inlineStr">
        <is>
          <t>Cronometro</t>
        </is>
      </c>
      <c r="R902" s="207" t="inlineStr">
        <is>
          <t>Foglio Tiri</t>
        </is>
      </c>
    </row>
    <row r="903" ht="22" customHeight="1">
      <c r="A903" s="104">
        <f>IF('Calendario F'!A53="","",'Calendario F'!A53)</f>
        <v/>
      </c>
      <c r="B903" s="61">
        <f>IF('Calendario F'!B53="","",'Calendario F'!B53)</f>
        <v/>
      </c>
      <c r="C903" s="62">
        <f>IF('Calendario F'!C53="","",'Calendario F'!C53)</f>
        <v/>
      </c>
      <c r="D903" s="61">
        <f>IF('Calendario F'!D53="","",'Calendario F'!D53)</f>
        <v/>
      </c>
      <c r="E903" s="62">
        <f>IF('Calendario F'!E53="","",'Calendario F'!E53)</f>
        <v/>
      </c>
      <c r="F903" s="63">
        <f>IF('Calendario F'!F53="","",'Calendario F'!F53)</f>
        <v/>
      </c>
      <c r="G903" s="9" t="n"/>
      <c r="H903" s="9" t="n"/>
      <c r="I903" s="10" t="n"/>
      <c r="J903" s="195">
        <f>IF('Calendario F'!J53="","",'Calendario F'!J53)</f>
        <v/>
      </c>
      <c r="K903" s="64" t="inlineStr">
        <is>
          <t>-</t>
        </is>
      </c>
      <c r="L903" s="195">
        <f>IF('Calendario F'!L53="","",'Calendario F'!L53)</f>
        <v/>
      </c>
      <c r="M903" s="196" t="n"/>
      <c r="N903" s="196" t="n"/>
      <c r="O903" s="196" t="n"/>
      <c r="P903" s="196" t="n"/>
      <c r="Q903" s="196" t="n"/>
      <c r="R903" s="196" t="n"/>
    </row>
    <row r="904" ht="15" customHeight="1">
      <c r="A904" s="141" t="n"/>
      <c r="B904" s="69">
        <f>IF('Calendario F'!B54="","",'Calendario F'!B54)</f>
        <v/>
      </c>
      <c r="C904" s="9" t="n"/>
      <c r="D904" s="9" t="n"/>
      <c r="E904" s="9" t="n"/>
      <c r="F904" s="9" t="n"/>
      <c r="G904" s="9" t="n"/>
      <c r="H904" s="10" t="n"/>
      <c r="I904" s="62">
        <f>IF('Calendario F'!I54="","",'Calendario F'!I54)</f>
        <v/>
      </c>
      <c r="J904" s="141" t="n"/>
      <c r="K904" s="141" t="n"/>
      <c r="L904" s="141" t="n"/>
      <c r="M904" s="141" t="n"/>
      <c r="N904" s="141" t="n"/>
      <c r="O904" s="141" t="n"/>
      <c r="P904" s="141" t="n"/>
      <c r="Q904" s="141" t="n"/>
      <c r="R904" s="141" t="n"/>
    </row>
    <row r="905" ht="14" customHeight="1">
      <c r="A905" s="102" t="inlineStr">
        <is>
          <t>Gara N.</t>
        </is>
      </c>
      <c r="B905" s="102" t="inlineStr">
        <is>
          <t>Squadra A</t>
        </is>
      </c>
      <c r="C905" s="10" t="n"/>
      <c r="D905" s="102" t="inlineStr">
        <is>
          <t>Squadra B</t>
        </is>
      </c>
      <c r="E905" s="10" t="n"/>
      <c r="F905" s="102" t="inlineStr">
        <is>
          <t>Giorno</t>
        </is>
      </c>
      <c r="G905" s="102" t="inlineStr">
        <is>
          <t>Data</t>
        </is>
      </c>
      <c r="H905" s="102" t="inlineStr">
        <is>
          <t>Ora</t>
        </is>
      </c>
      <c r="I905" s="10" t="n"/>
      <c r="J905" s="102" t="inlineStr">
        <is>
          <t>Risultato</t>
        </is>
      </c>
      <c r="K905" s="9" t="n"/>
      <c r="L905" s="10" t="n"/>
      <c r="M905" s="207" t="inlineStr">
        <is>
          <t>1o Arbitro</t>
        </is>
      </c>
      <c r="N905" s="207" t="inlineStr">
        <is>
          <t>2o Arbitro</t>
        </is>
      </c>
      <c r="O905" s="207" t="inlineStr">
        <is>
          <t>3o Arbitro/Tirocinante</t>
        </is>
      </c>
      <c r="P905" s="207" t="inlineStr">
        <is>
          <t>Referto</t>
        </is>
      </c>
      <c r="Q905" s="207" t="inlineStr">
        <is>
          <t>Cronometro</t>
        </is>
      </c>
      <c r="R905" s="207" t="inlineStr">
        <is>
          <t>Foglio Tiri</t>
        </is>
      </c>
    </row>
    <row r="906" ht="22" customHeight="1">
      <c r="A906" s="104">
        <f>IF('Calendario F'!A56="","",'Calendario F'!A56)</f>
        <v/>
      </c>
      <c r="B906" s="61">
        <f>IF('Calendario F'!B56="","",'Calendario F'!B56)</f>
        <v/>
      </c>
      <c r="C906" s="62">
        <f>IF('Calendario F'!C56="","",'Calendario F'!C56)</f>
        <v/>
      </c>
      <c r="D906" s="61">
        <f>IF('Calendario F'!D56="","",'Calendario F'!D56)</f>
        <v/>
      </c>
      <c r="E906" s="62">
        <f>IF('Calendario F'!E56="","",'Calendario F'!E56)</f>
        <v/>
      </c>
      <c r="F906" s="63">
        <f>IF('Calendario F'!F56="","",'Calendario F'!F56)</f>
        <v/>
      </c>
      <c r="G906" s="9" t="n"/>
      <c r="H906" s="9" t="n"/>
      <c r="I906" s="10" t="n"/>
      <c r="J906" s="195">
        <f>IF('Calendario F'!J56="","",'Calendario F'!J56)</f>
        <v/>
      </c>
      <c r="K906" s="64" t="inlineStr">
        <is>
          <t>-</t>
        </is>
      </c>
      <c r="L906" s="195">
        <f>IF('Calendario F'!L56="","",'Calendario F'!L56)</f>
        <v/>
      </c>
      <c r="M906" s="196" t="n"/>
      <c r="N906" s="196" t="n"/>
      <c r="O906" s="196" t="n"/>
      <c r="P906" s="196" t="n"/>
      <c r="Q906" s="196" t="n"/>
      <c r="R906" s="196" t="n"/>
    </row>
    <row r="907" ht="15" customHeight="1">
      <c r="A907" s="141" t="n"/>
      <c r="B907" s="69">
        <f>IF('Calendario F'!B57="","",'Calendario F'!B57)</f>
        <v/>
      </c>
      <c r="C907" s="9" t="n"/>
      <c r="D907" s="9" t="n"/>
      <c r="E907" s="9" t="n"/>
      <c r="F907" s="9" t="n"/>
      <c r="G907" s="9" t="n"/>
      <c r="H907" s="10" t="n"/>
      <c r="I907" s="62">
        <f>IF('Calendario F'!I57="","",'Calendario F'!I57)</f>
        <v/>
      </c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</row>
    <row r="909" ht="20" customHeight="1">
      <c r="A909" s="99">
        <f>IF('Calendario F'!A59="","",'Calendario F'!A59)</f>
        <v/>
      </c>
      <c r="B909" s="100">
        <f>IF('Calendario F'!B59="","",'Calendario F'!B59)</f>
        <v/>
      </c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10" t="n"/>
      <c r="M909" s="206" t="inlineStr">
        <is>
          <t>ARBITRI</t>
        </is>
      </c>
      <c r="N909" s="9" t="n"/>
      <c r="O909" s="10" t="n"/>
      <c r="P909" s="206" t="inlineStr">
        <is>
          <t>UFFICIALI DI CAMPO</t>
        </is>
      </c>
      <c r="Q909" s="9" t="n"/>
      <c r="R909" s="10" t="n"/>
    </row>
    <row r="910" ht="14" customHeight="1">
      <c r="A910" s="102" t="inlineStr">
        <is>
          <t>Gara N.</t>
        </is>
      </c>
      <c r="B910" s="102" t="inlineStr">
        <is>
          <t>Squadra A</t>
        </is>
      </c>
      <c r="C910" s="10" t="n"/>
      <c r="D910" s="102" t="inlineStr">
        <is>
          <t>Squadra B</t>
        </is>
      </c>
      <c r="E910" s="10" t="n"/>
      <c r="F910" s="102" t="inlineStr">
        <is>
          <t>Giorno</t>
        </is>
      </c>
      <c r="G910" s="102" t="inlineStr">
        <is>
          <t>Data</t>
        </is>
      </c>
      <c r="H910" s="102" t="inlineStr">
        <is>
          <t>Ora</t>
        </is>
      </c>
      <c r="I910" s="10" t="n"/>
      <c r="J910" s="102" t="inlineStr">
        <is>
          <t>Risultato</t>
        </is>
      </c>
      <c r="K910" s="9" t="n"/>
      <c r="L910" s="10" t="n"/>
      <c r="M910" s="207" t="inlineStr">
        <is>
          <t>1o Arbitro</t>
        </is>
      </c>
      <c r="N910" s="207" t="inlineStr">
        <is>
          <t>2o Arbitro</t>
        </is>
      </c>
      <c r="O910" s="207" t="inlineStr">
        <is>
          <t>3o Arbitro/Tirocinante</t>
        </is>
      </c>
      <c r="P910" s="207" t="inlineStr">
        <is>
          <t>Referto</t>
        </is>
      </c>
      <c r="Q910" s="207" t="inlineStr">
        <is>
          <t>Cronometro</t>
        </is>
      </c>
      <c r="R910" s="207" t="inlineStr">
        <is>
          <t>Foglio Tiri</t>
        </is>
      </c>
    </row>
    <row r="911" ht="22" customHeight="1">
      <c r="A911" s="104">
        <f>IF('Calendario F'!A61="","",'Calendario F'!A61)</f>
        <v/>
      </c>
      <c r="B911" s="61">
        <f>IF('Calendario F'!B61="","",'Calendario F'!B61)</f>
        <v/>
      </c>
      <c r="C911" s="62">
        <f>IF('Calendario F'!C61="","",'Calendario F'!C61)</f>
        <v/>
      </c>
      <c r="D911" s="61">
        <f>IF('Calendario F'!D61="","",'Calendario F'!D61)</f>
        <v/>
      </c>
      <c r="E911" s="62">
        <f>IF('Calendario F'!E61="","",'Calendario F'!E61)</f>
        <v/>
      </c>
      <c r="F911" s="63">
        <f>IF('Calendario F'!F61="","",'Calendario F'!F61)</f>
        <v/>
      </c>
      <c r="G911" s="9" t="n"/>
      <c r="H911" s="9" t="n"/>
      <c r="I911" s="10" t="n"/>
      <c r="J911" s="195">
        <f>IF('Calendario F'!J61="","",'Calendario F'!J61)</f>
        <v/>
      </c>
      <c r="K911" s="64" t="inlineStr">
        <is>
          <t>-</t>
        </is>
      </c>
      <c r="L911" s="195">
        <f>IF('Calendario F'!L61="","",'Calendario F'!L61)</f>
        <v/>
      </c>
      <c r="M911" s="196" t="n"/>
      <c r="N911" s="196" t="n"/>
      <c r="O911" s="196" t="n"/>
      <c r="P911" s="196" t="n"/>
      <c r="Q911" s="196" t="n"/>
      <c r="R911" s="196" t="n"/>
    </row>
    <row r="912" ht="15" customHeight="1">
      <c r="A912" s="141" t="n"/>
      <c r="B912" s="69">
        <f>IF('Calendario F'!B62="","",'Calendario F'!B62)</f>
        <v/>
      </c>
      <c r="C912" s="9" t="n"/>
      <c r="D912" s="9" t="n"/>
      <c r="E912" s="9" t="n"/>
      <c r="F912" s="9" t="n"/>
      <c r="G912" s="9" t="n"/>
      <c r="H912" s="10" t="n"/>
      <c r="I912" s="62">
        <f>IF('Calendario F'!I62="","",'Calendario F'!I62)</f>
        <v/>
      </c>
      <c r="J912" s="141" t="n"/>
      <c r="K912" s="141" t="n"/>
      <c r="L912" s="141" t="n"/>
      <c r="M912" s="141" t="n"/>
      <c r="N912" s="141" t="n"/>
      <c r="O912" s="141" t="n"/>
      <c r="P912" s="141" t="n"/>
      <c r="Q912" s="141" t="n"/>
      <c r="R912" s="141" t="n"/>
    </row>
    <row r="913" ht="14" customHeight="1">
      <c r="A913" s="102" t="inlineStr">
        <is>
          <t>Gara N.</t>
        </is>
      </c>
      <c r="B913" s="102" t="inlineStr">
        <is>
          <t>Squadra A</t>
        </is>
      </c>
      <c r="C913" s="10" t="n"/>
      <c r="D913" s="102" t="inlineStr">
        <is>
          <t>Squadra B</t>
        </is>
      </c>
      <c r="E913" s="10" t="n"/>
      <c r="F913" s="102" t="inlineStr">
        <is>
          <t>Giorno</t>
        </is>
      </c>
      <c r="G913" s="102" t="inlineStr">
        <is>
          <t>Data</t>
        </is>
      </c>
      <c r="H913" s="102" t="inlineStr">
        <is>
          <t>Ora</t>
        </is>
      </c>
      <c r="I913" s="10" t="n"/>
      <c r="J913" s="102" t="inlineStr">
        <is>
          <t>Risultato</t>
        </is>
      </c>
      <c r="K913" s="9" t="n"/>
      <c r="L913" s="10" t="n"/>
      <c r="M913" s="207" t="inlineStr">
        <is>
          <t>1o Arbitro</t>
        </is>
      </c>
      <c r="N913" s="207" t="inlineStr">
        <is>
          <t>2o Arbitro</t>
        </is>
      </c>
      <c r="O913" s="207" t="inlineStr">
        <is>
          <t>3o Arbitro/Tirocinante</t>
        </is>
      </c>
      <c r="P913" s="207" t="inlineStr">
        <is>
          <t>Referto</t>
        </is>
      </c>
      <c r="Q913" s="207" t="inlineStr">
        <is>
          <t>Cronometro</t>
        </is>
      </c>
      <c r="R913" s="207" t="inlineStr">
        <is>
          <t>Foglio Tiri</t>
        </is>
      </c>
    </row>
    <row r="914" ht="22" customHeight="1">
      <c r="A914" s="104">
        <f>IF('Calendario F'!A64="","",'Calendario F'!A64)</f>
        <v/>
      </c>
      <c r="B914" s="61">
        <f>IF('Calendario F'!B64="","",'Calendario F'!B64)</f>
        <v/>
      </c>
      <c r="C914" s="62">
        <f>IF('Calendario F'!C64="","",'Calendario F'!C64)</f>
        <v/>
      </c>
      <c r="D914" s="61">
        <f>IF('Calendario F'!D64="","",'Calendario F'!D64)</f>
        <v/>
      </c>
      <c r="E914" s="62">
        <f>IF('Calendario F'!E64="","",'Calendario F'!E64)</f>
        <v/>
      </c>
      <c r="F914" s="63">
        <f>IF('Calendario F'!F64="","",'Calendario F'!F64)</f>
        <v/>
      </c>
      <c r="G914" s="9" t="n"/>
      <c r="H914" s="9" t="n"/>
      <c r="I914" s="10" t="n"/>
      <c r="J914" s="195">
        <f>IF('Calendario F'!J64="","",'Calendario F'!J64)</f>
        <v/>
      </c>
      <c r="K914" s="64" t="inlineStr">
        <is>
          <t>-</t>
        </is>
      </c>
      <c r="L914" s="195">
        <f>IF('Calendario F'!L64="","",'Calendario F'!L64)</f>
        <v/>
      </c>
      <c r="M914" s="196" t="n"/>
      <c r="N914" s="196" t="n"/>
      <c r="O914" s="196" t="n"/>
      <c r="P914" s="196" t="n"/>
      <c r="Q914" s="196" t="n"/>
      <c r="R914" s="196" t="n"/>
    </row>
    <row r="915" ht="15" customHeight="1">
      <c r="A915" s="141" t="n"/>
      <c r="B915" s="69">
        <f>IF('Calendario F'!B65="","",'Calendario F'!B65)</f>
        <v/>
      </c>
      <c r="C915" s="9" t="n"/>
      <c r="D915" s="9" t="n"/>
      <c r="E915" s="9" t="n"/>
      <c r="F915" s="9" t="n"/>
      <c r="G915" s="9" t="n"/>
      <c r="H915" s="10" t="n"/>
      <c r="I915" s="62">
        <f>IF('Calendario F'!I65="","",'Calendario F'!I65)</f>
        <v/>
      </c>
      <c r="J915" s="141" t="n"/>
      <c r="K915" s="141" t="n"/>
      <c r="L915" s="141" t="n"/>
      <c r="M915" s="141" t="n"/>
      <c r="N915" s="141" t="n"/>
      <c r="O915" s="141" t="n"/>
      <c r="P915" s="141" t="n"/>
      <c r="Q915" s="141" t="n"/>
      <c r="R915" s="141" t="n"/>
    </row>
    <row r="916" ht="14" customHeight="1">
      <c r="A916" s="102" t="inlineStr">
        <is>
          <t>Gara N.</t>
        </is>
      </c>
      <c r="B916" s="102" t="inlineStr">
        <is>
          <t>Squadra A</t>
        </is>
      </c>
      <c r="C916" s="10" t="n"/>
      <c r="D916" s="102" t="inlineStr">
        <is>
          <t>Squadra B</t>
        </is>
      </c>
      <c r="E916" s="10" t="n"/>
      <c r="F916" s="102" t="inlineStr">
        <is>
          <t>Giorno</t>
        </is>
      </c>
      <c r="G916" s="102" t="inlineStr">
        <is>
          <t>Data</t>
        </is>
      </c>
      <c r="H916" s="102" t="inlineStr">
        <is>
          <t>Ora</t>
        </is>
      </c>
      <c r="I916" s="10" t="n"/>
      <c r="J916" s="102" t="inlineStr">
        <is>
          <t>Risultato</t>
        </is>
      </c>
      <c r="K916" s="9" t="n"/>
      <c r="L916" s="10" t="n"/>
      <c r="M916" s="207" t="inlineStr">
        <is>
          <t>1o Arbitro</t>
        </is>
      </c>
      <c r="N916" s="207" t="inlineStr">
        <is>
          <t>2o Arbitro</t>
        </is>
      </c>
      <c r="O916" s="207" t="inlineStr">
        <is>
          <t>3o Arbitro/Tirocinante</t>
        </is>
      </c>
      <c r="P916" s="207" t="inlineStr">
        <is>
          <t>Referto</t>
        </is>
      </c>
      <c r="Q916" s="207" t="inlineStr">
        <is>
          <t>Cronometro</t>
        </is>
      </c>
      <c r="R916" s="207" t="inlineStr">
        <is>
          <t>Foglio Tiri</t>
        </is>
      </c>
    </row>
    <row r="917" ht="22" customHeight="1">
      <c r="A917" s="104">
        <f>IF('Calendario F'!A67="","",'Calendario F'!A67)</f>
        <v/>
      </c>
      <c r="B917" s="61">
        <f>IF('Calendario F'!B67="","",'Calendario F'!B67)</f>
        <v/>
      </c>
      <c r="C917" s="62">
        <f>IF('Calendario F'!C67="","",'Calendario F'!C67)</f>
        <v/>
      </c>
      <c r="D917" s="61">
        <f>IF('Calendario F'!D67="","",'Calendario F'!D67)</f>
        <v/>
      </c>
      <c r="E917" s="62">
        <f>IF('Calendario F'!E67="","",'Calendario F'!E67)</f>
        <v/>
      </c>
      <c r="F917" s="63">
        <f>IF('Calendario F'!F67="","",'Calendario F'!F67)</f>
        <v/>
      </c>
      <c r="G917" s="9" t="n"/>
      <c r="H917" s="9" t="n"/>
      <c r="I917" s="10" t="n"/>
      <c r="J917" s="195">
        <f>IF('Calendario F'!J67="","",'Calendario F'!J67)</f>
        <v/>
      </c>
      <c r="K917" s="64" t="inlineStr">
        <is>
          <t>-</t>
        </is>
      </c>
      <c r="L917" s="195">
        <f>IF('Calendario F'!L67="","",'Calendario F'!L67)</f>
        <v/>
      </c>
      <c r="M917" s="196" t="n"/>
      <c r="N917" s="196" t="n"/>
      <c r="O917" s="196" t="n"/>
      <c r="P917" s="196" t="n"/>
      <c r="Q917" s="196" t="n"/>
      <c r="R917" s="196" t="n"/>
    </row>
    <row r="918" ht="15" customHeight="1">
      <c r="A918" s="141" t="n"/>
      <c r="B918" s="69">
        <f>IF('Calendario F'!B68="","",'Calendario F'!B68)</f>
        <v/>
      </c>
      <c r="C918" s="9" t="n"/>
      <c r="D918" s="9" t="n"/>
      <c r="E918" s="9" t="n"/>
      <c r="F918" s="9" t="n"/>
      <c r="G918" s="9" t="n"/>
      <c r="H918" s="10" t="n"/>
      <c r="I918" s="62">
        <f>IF('Calendario F'!I68="","",'Calendario F'!I68)</f>
        <v/>
      </c>
      <c r="J918" s="141" t="n"/>
      <c r="K918" s="141" t="n"/>
      <c r="L918" s="141" t="n"/>
      <c r="M918" s="141" t="n"/>
      <c r="N918" s="141" t="n"/>
      <c r="O918" s="141" t="n"/>
      <c r="P918" s="141" t="n"/>
      <c r="Q918" s="141" t="n"/>
      <c r="R918" s="141" t="n"/>
    </row>
    <row r="919" ht="14" customHeight="1">
      <c r="A919" s="102" t="inlineStr">
        <is>
          <t>Gara N.</t>
        </is>
      </c>
      <c r="B919" s="102" t="inlineStr">
        <is>
          <t>Squadra A</t>
        </is>
      </c>
      <c r="C919" s="10" t="n"/>
      <c r="D919" s="102" t="inlineStr">
        <is>
          <t>Squadra B</t>
        </is>
      </c>
      <c r="E919" s="10" t="n"/>
      <c r="F919" s="102" t="inlineStr">
        <is>
          <t>Giorno</t>
        </is>
      </c>
      <c r="G919" s="102" t="inlineStr">
        <is>
          <t>Data</t>
        </is>
      </c>
      <c r="H919" s="102" t="inlineStr">
        <is>
          <t>Ora</t>
        </is>
      </c>
      <c r="I919" s="10" t="n"/>
      <c r="J919" s="102" t="inlineStr">
        <is>
          <t>Risultato</t>
        </is>
      </c>
      <c r="K919" s="9" t="n"/>
      <c r="L919" s="10" t="n"/>
      <c r="M919" s="207" t="inlineStr">
        <is>
          <t>1o Arbitro</t>
        </is>
      </c>
      <c r="N919" s="207" t="inlineStr">
        <is>
          <t>2o Arbitro</t>
        </is>
      </c>
      <c r="O919" s="207" t="inlineStr">
        <is>
          <t>3o Arbitro/Tirocinante</t>
        </is>
      </c>
      <c r="P919" s="207" t="inlineStr">
        <is>
          <t>Referto</t>
        </is>
      </c>
      <c r="Q919" s="207" t="inlineStr">
        <is>
          <t>Cronometro</t>
        </is>
      </c>
      <c r="R919" s="207" t="inlineStr">
        <is>
          <t>Foglio Tiri</t>
        </is>
      </c>
    </row>
    <row r="920" ht="22" customHeight="1">
      <c r="A920" s="104">
        <f>IF('Calendario F'!A70="","",'Calendario F'!A70)</f>
        <v/>
      </c>
      <c r="B920" s="61">
        <f>IF('Calendario F'!B70="","",'Calendario F'!B70)</f>
        <v/>
      </c>
      <c r="C920" s="62">
        <f>IF('Calendario F'!C70="","",'Calendario F'!C70)</f>
        <v/>
      </c>
      <c r="D920" s="61">
        <f>IF('Calendario F'!D70="","",'Calendario F'!D70)</f>
        <v/>
      </c>
      <c r="E920" s="62">
        <f>IF('Calendario F'!E70="","",'Calendario F'!E70)</f>
        <v/>
      </c>
      <c r="F920" s="63">
        <f>IF('Calendario F'!F70="","",'Calendario F'!F70)</f>
        <v/>
      </c>
      <c r="G920" s="9" t="n"/>
      <c r="H920" s="9" t="n"/>
      <c r="I920" s="10" t="n"/>
      <c r="J920" s="195">
        <f>IF('Calendario F'!J70="","",'Calendario F'!J70)</f>
        <v/>
      </c>
      <c r="K920" s="64" t="inlineStr">
        <is>
          <t>-</t>
        </is>
      </c>
      <c r="L920" s="195">
        <f>IF('Calendario F'!L70="","",'Calendario F'!L70)</f>
        <v/>
      </c>
      <c r="M920" s="196" t="n"/>
      <c r="N920" s="196" t="n"/>
      <c r="O920" s="196" t="n"/>
      <c r="P920" s="196" t="n"/>
      <c r="Q920" s="196" t="n"/>
      <c r="R920" s="196" t="n"/>
    </row>
    <row r="921" ht="15" customHeight="1">
      <c r="A921" s="141" t="n"/>
      <c r="B921" s="69">
        <f>IF('Calendario F'!B71="","",'Calendario F'!B71)</f>
        <v/>
      </c>
      <c r="C921" s="9" t="n"/>
      <c r="D921" s="9" t="n"/>
      <c r="E921" s="9" t="n"/>
      <c r="F921" s="9" t="n"/>
      <c r="G921" s="9" t="n"/>
      <c r="H921" s="10" t="n"/>
      <c r="I921" s="62">
        <f>IF('Calendario F'!I71="","",'Calendario F'!I71)</f>
        <v/>
      </c>
      <c r="J921" s="141" t="n"/>
      <c r="K921" s="141" t="n"/>
      <c r="L921" s="141" t="n"/>
      <c r="M921" s="141" t="n"/>
      <c r="N921" s="141" t="n"/>
      <c r="O921" s="141" t="n"/>
      <c r="P921" s="141" t="n"/>
      <c r="Q921" s="141" t="n"/>
      <c r="R921" s="141" t="n"/>
    </row>
    <row r="922" ht="14" customHeight="1">
      <c r="A922" s="102" t="inlineStr">
        <is>
          <t>Gara N.</t>
        </is>
      </c>
      <c r="B922" s="102" t="inlineStr">
        <is>
          <t>Squadra A</t>
        </is>
      </c>
      <c r="C922" s="10" t="n"/>
      <c r="D922" s="102" t="inlineStr">
        <is>
          <t>Squadra B</t>
        </is>
      </c>
      <c r="E922" s="10" t="n"/>
      <c r="F922" s="102" t="inlineStr">
        <is>
          <t>Giorno</t>
        </is>
      </c>
      <c r="G922" s="102" t="inlineStr">
        <is>
          <t>Data</t>
        </is>
      </c>
      <c r="H922" s="102" t="inlineStr">
        <is>
          <t>Ora</t>
        </is>
      </c>
      <c r="I922" s="10" t="n"/>
      <c r="J922" s="102" t="inlineStr">
        <is>
          <t>Risultato</t>
        </is>
      </c>
      <c r="K922" s="9" t="n"/>
      <c r="L922" s="10" t="n"/>
      <c r="M922" s="207" t="inlineStr">
        <is>
          <t>1o Arbitro</t>
        </is>
      </c>
      <c r="N922" s="207" t="inlineStr">
        <is>
          <t>2o Arbitro</t>
        </is>
      </c>
      <c r="O922" s="207" t="inlineStr">
        <is>
          <t>3o Arbitro/Tirocinante</t>
        </is>
      </c>
      <c r="P922" s="207" t="inlineStr">
        <is>
          <t>Referto</t>
        </is>
      </c>
      <c r="Q922" s="207" t="inlineStr">
        <is>
          <t>Cronometro</t>
        </is>
      </c>
      <c r="R922" s="207" t="inlineStr">
        <is>
          <t>Foglio Tiri</t>
        </is>
      </c>
    </row>
    <row r="923" ht="22" customHeight="1">
      <c r="A923" s="104">
        <f>IF('Calendario F'!A73="","",'Calendario F'!A73)</f>
        <v/>
      </c>
      <c r="B923" s="61">
        <f>IF('Calendario F'!B73="","",'Calendario F'!B73)</f>
        <v/>
      </c>
      <c r="C923" s="62">
        <f>IF('Calendario F'!C73="","",'Calendario F'!C73)</f>
        <v/>
      </c>
      <c r="D923" s="61">
        <f>IF('Calendario F'!D73="","",'Calendario F'!D73)</f>
        <v/>
      </c>
      <c r="E923" s="62">
        <f>IF('Calendario F'!E73="","",'Calendario F'!E73)</f>
        <v/>
      </c>
      <c r="F923" s="63">
        <f>IF('Calendario F'!F73="","",'Calendario F'!F73)</f>
        <v/>
      </c>
      <c r="G923" s="9" t="n"/>
      <c r="H923" s="9" t="n"/>
      <c r="I923" s="10" t="n"/>
      <c r="J923" s="195">
        <f>IF('Calendario F'!J73="","",'Calendario F'!J73)</f>
        <v/>
      </c>
      <c r="K923" s="64" t="inlineStr">
        <is>
          <t>-</t>
        </is>
      </c>
      <c r="L923" s="195">
        <f>IF('Calendario F'!L73="","",'Calendario F'!L73)</f>
        <v/>
      </c>
      <c r="M923" s="196" t="n"/>
      <c r="N923" s="196" t="n"/>
      <c r="O923" s="196" t="n"/>
      <c r="P923" s="196" t="n"/>
      <c r="Q923" s="196" t="n"/>
      <c r="R923" s="196" t="n"/>
    </row>
    <row r="924" ht="15" customHeight="1">
      <c r="A924" s="141" t="n"/>
      <c r="B924" s="69">
        <f>IF('Calendario F'!B74="","",'Calendario F'!B74)</f>
        <v/>
      </c>
      <c r="C924" s="9" t="n"/>
      <c r="D924" s="9" t="n"/>
      <c r="E924" s="9" t="n"/>
      <c r="F924" s="9" t="n"/>
      <c r="G924" s="9" t="n"/>
      <c r="H924" s="10" t="n"/>
      <c r="I924" s="62">
        <f>IF('Calendario F'!I74="","",'Calendario F'!I74)</f>
        <v/>
      </c>
      <c r="J924" s="141" t="n"/>
      <c r="K924" s="141" t="n"/>
      <c r="L924" s="141" t="n"/>
      <c r="M924" s="141" t="n"/>
      <c r="N924" s="141" t="n"/>
      <c r="O924" s="141" t="n"/>
      <c r="P924" s="141" t="n"/>
      <c r="Q924" s="141" t="n"/>
      <c r="R924" s="141" t="n"/>
    </row>
    <row r="926" ht="20" customHeight="1">
      <c r="A926" s="99">
        <f>IF('Calendario F'!A76="","",'Calendario F'!A76)</f>
        <v/>
      </c>
      <c r="B926" s="100">
        <f>IF('Calendario F'!B76="","",'Calendario F'!B76)</f>
        <v/>
      </c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10" t="n"/>
      <c r="M926" s="206" t="inlineStr">
        <is>
          <t>ARBITRI</t>
        </is>
      </c>
      <c r="N926" s="9" t="n"/>
      <c r="O926" s="10" t="n"/>
      <c r="P926" s="206" t="inlineStr">
        <is>
          <t>UFFICIALI DI CAMPO</t>
        </is>
      </c>
      <c r="Q926" s="9" t="n"/>
      <c r="R926" s="10" t="n"/>
    </row>
    <row r="927" ht="14" customHeight="1">
      <c r="A927" s="102" t="inlineStr">
        <is>
          <t>Gara N.</t>
        </is>
      </c>
      <c r="B927" s="102" t="inlineStr">
        <is>
          <t>Squadra A</t>
        </is>
      </c>
      <c r="C927" s="10" t="n"/>
      <c r="D927" s="102" t="inlineStr">
        <is>
          <t>Squadra B</t>
        </is>
      </c>
      <c r="E927" s="10" t="n"/>
      <c r="F927" s="102" t="inlineStr">
        <is>
          <t>Giorno</t>
        </is>
      </c>
      <c r="G927" s="102" t="inlineStr">
        <is>
          <t>Data</t>
        </is>
      </c>
      <c r="H927" s="102" t="inlineStr">
        <is>
          <t>Ora</t>
        </is>
      </c>
      <c r="I927" s="10" t="n"/>
      <c r="J927" s="102" t="inlineStr">
        <is>
          <t>Risultato</t>
        </is>
      </c>
      <c r="K927" s="9" t="n"/>
      <c r="L927" s="10" t="n"/>
      <c r="M927" s="207" t="inlineStr">
        <is>
          <t>1o Arbitro</t>
        </is>
      </c>
      <c r="N927" s="207" t="inlineStr">
        <is>
          <t>2o Arbitro</t>
        </is>
      </c>
      <c r="O927" s="207" t="inlineStr">
        <is>
          <t>3o Arbitro/Tirocinante</t>
        </is>
      </c>
      <c r="P927" s="207" t="inlineStr">
        <is>
          <t>Referto</t>
        </is>
      </c>
      <c r="Q927" s="207" t="inlineStr">
        <is>
          <t>Cronometro</t>
        </is>
      </c>
      <c r="R927" s="207" t="inlineStr">
        <is>
          <t>Foglio Tiri</t>
        </is>
      </c>
    </row>
    <row r="928" ht="22" customHeight="1">
      <c r="A928" s="104">
        <f>IF('Calendario F'!A78="","",'Calendario F'!A78)</f>
        <v/>
      </c>
      <c r="B928" s="61">
        <f>IF('Calendario F'!B78="","",'Calendario F'!B78)</f>
        <v/>
      </c>
      <c r="C928" s="62">
        <f>IF('Calendario F'!C78="","",'Calendario F'!C78)</f>
        <v/>
      </c>
      <c r="D928" s="61">
        <f>IF('Calendario F'!D78="","",'Calendario F'!D78)</f>
        <v/>
      </c>
      <c r="E928" s="62">
        <f>IF('Calendario F'!E78="","",'Calendario F'!E78)</f>
        <v/>
      </c>
      <c r="F928" s="63">
        <f>IF('Calendario F'!F78="","",'Calendario F'!F78)</f>
        <v/>
      </c>
      <c r="G928" s="9" t="n"/>
      <c r="H928" s="9" t="n"/>
      <c r="I928" s="10" t="n"/>
      <c r="J928" s="195">
        <f>IF('Calendario F'!J78="","",'Calendario F'!J78)</f>
        <v/>
      </c>
      <c r="K928" s="64" t="inlineStr">
        <is>
          <t>-</t>
        </is>
      </c>
      <c r="L928" s="195">
        <f>IF('Calendario F'!L78="","",'Calendario F'!L78)</f>
        <v/>
      </c>
      <c r="M928" s="196" t="n"/>
      <c r="N928" s="196" t="n"/>
      <c r="O928" s="196" t="n"/>
      <c r="P928" s="196" t="n"/>
      <c r="Q928" s="196" t="n"/>
      <c r="R928" s="196" t="n"/>
    </row>
    <row r="929" ht="15" customHeight="1">
      <c r="A929" s="141" t="n"/>
      <c r="B929" s="69">
        <f>IF('Calendario F'!B79="","",'Calendario F'!B79)</f>
        <v/>
      </c>
      <c r="C929" s="9" t="n"/>
      <c r="D929" s="9" t="n"/>
      <c r="E929" s="9" t="n"/>
      <c r="F929" s="9" t="n"/>
      <c r="G929" s="9" t="n"/>
      <c r="H929" s="10" t="n"/>
      <c r="I929" s="62">
        <f>IF('Calendario F'!I79="","",'Calendario F'!I79)</f>
        <v/>
      </c>
      <c r="J929" s="141" t="n"/>
      <c r="K929" s="141" t="n"/>
      <c r="L929" s="141" t="n"/>
      <c r="M929" s="141" t="n"/>
      <c r="N929" s="141" t="n"/>
      <c r="O929" s="141" t="n"/>
      <c r="P929" s="141" t="n"/>
      <c r="Q929" s="141" t="n"/>
      <c r="R929" s="141" t="n"/>
    </row>
    <row r="930" ht="14" customHeight="1">
      <c r="A930" s="102" t="inlineStr">
        <is>
          <t>Gara N.</t>
        </is>
      </c>
      <c r="B930" s="102" t="inlineStr">
        <is>
          <t>Squadra A</t>
        </is>
      </c>
      <c r="C930" s="10" t="n"/>
      <c r="D930" s="102" t="inlineStr">
        <is>
          <t>Squadra B</t>
        </is>
      </c>
      <c r="E930" s="10" t="n"/>
      <c r="F930" s="102" t="inlineStr">
        <is>
          <t>Giorno</t>
        </is>
      </c>
      <c r="G930" s="102" t="inlineStr">
        <is>
          <t>Data</t>
        </is>
      </c>
      <c r="H930" s="102" t="inlineStr">
        <is>
          <t>Ora</t>
        </is>
      </c>
      <c r="I930" s="10" t="n"/>
      <c r="J930" s="102" t="inlineStr">
        <is>
          <t>Risultato</t>
        </is>
      </c>
      <c r="K930" s="9" t="n"/>
      <c r="L930" s="10" t="n"/>
      <c r="M930" s="207" t="inlineStr">
        <is>
          <t>1o Arbitro</t>
        </is>
      </c>
      <c r="N930" s="207" t="inlineStr">
        <is>
          <t>2o Arbitro</t>
        </is>
      </c>
      <c r="O930" s="207" t="inlineStr">
        <is>
          <t>3o Arbitro/Tirocinante</t>
        </is>
      </c>
      <c r="P930" s="207" t="inlineStr">
        <is>
          <t>Referto</t>
        </is>
      </c>
      <c r="Q930" s="207" t="inlineStr">
        <is>
          <t>Cronometro</t>
        </is>
      </c>
      <c r="R930" s="207" t="inlineStr">
        <is>
          <t>Foglio Tiri</t>
        </is>
      </c>
    </row>
    <row r="931" ht="22" customHeight="1">
      <c r="A931" s="104">
        <f>IF('Calendario F'!A81="","",'Calendario F'!A81)</f>
        <v/>
      </c>
      <c r="B931" s="61">
        <f>IF('Calendario F'!B81="","",'Calendario F'!B81)</f>
        <v/>
      </c>
      <c r="C931" s="62">
        <f>IF('Calendario F'!C81="","",'Calendario F'!C81)</f>
        <v/>
      </c>
      <c r="D931" s="61">
        <f>IF('Calendario F'!D81="","",'Calendario F'!D81)</f>
        <v/>
      </c>
      <c r="E931" s="62">
        <f>IF('Calendario F'!E81="","",'Calendario F'!E81)</f>
        <v/>
      </c>
      <c r="F931" s="63">
        <f>IF('Calendario F'!F81="","",'Calendario F'!F81)</f>
        <v/>
      </c>
      <c r="G931" s="9" t="n"/>
      <c r="H931" s="9" t="n"/>
      <c r="I931" s="10" t="n"/>
      <c r="J931" s="195">
        <f>IF('Calendario F'!J81="","",'Calendario F'!J81)</f>
        <v/>
      </c>
      <c r="K931" s="64" t="inlineStr">
        <is>
          <t>-</t>
        </is>
      </c>
      <c r="L931" s="195">
        <f>IF('Calendario F'!L81="","",'Calendario F'!L81)</f>
        <v/>
      </c>
      <c r="M931" s="196" t="n"/>
      <c r="N931" s="196" t="n"/>
      <c r="O931" s="196" t="n"/>
      <c r="P931" s="196" t="n"/>
      <c r="Q931" s="196" t="n"/>
      <c r="R931" s="196" t="n"/>
    </row>
    <row r="932" ht="15" customHeight="1">
      <c r="A932" s="141" t="n"/>
      <c r="B932" s="69">
        <f>IF('Calendario F'!B82="","",'Calendario F'!B82)</f>
        <v/>
      </c>
      <c r="C932" s="9" t="n"/>
      <c r="D932" s="9" t="n"/>
      <c r="E932" s="9" t="n"/>
      <c r="F932" s="9" t="n"/>
      <c r="G932" s="9" t="n"/>
      <c r="H932" s="10" t="n"/>
      <c r="I932" s="62">
        <f>IF('Calendario F'!I82="","",'Calendario F'!I82)</f>
        <v/>
      </c>
      <c r="J932" s="141" t="n"/>
      <c r="K932" s="141" t="n"/>
      <c r="L932" s="141" t="n"/>
      <c r="M932" s="141" t="n"/>
      <c r="N932" s="141" t="n"/>
      <c r="O932" s="141" t="n"/>
      <c r="P932" s="141" t="n"/>
      <c r="Q932" s="141" t="n"/>
      <c r="R932" s="141" t="n"/>
    </row>
    <row r="933" ht="14" customHeight="1">
      <c r="A933" s="102" t="inlineStr">
        <is>
          <t>Gara N.</t>
        </is>
      </c>
      <c r="B933" s="102" t="inlineStr">
        <is>
          <t>Squadra A</t>
        </is>
      </c>
      <c r="C933" s="10" t="n"/>
      <c r="D933" s="102" t="inlineStr">
        <is>
          <t>Squadra B</t>
        </is>
      </c>
      <c r="E933" s="10" t="n"/>
      <c r="F933" s="102" t="inlineStr">
        <is>
          <t>Giorno</t>
        </is>
      </c>
      <c r="G933" s="102" t="inlineStr">
        <is>
          <t>Data</t>
        </is>
      </c>
      <c r="H933" s="102" t="inlineStr">
        <is>
          <t>Ora</t>
        </is>
      </c>
      <c r="I933" s="10" t="n"/>
      <c r="J933" s="102" t="inlineStr">
        <is>
          <t>Risultato</t>
        </is>
      </c>
      <c r="K933" s="9" t="n"/>
      <c r="L933" s="10" t="n"/>
      <c r="M933" s="207" t="inlineStr">
        <is>
          <t>1o Arbitro</t>
        </is>
      </c>
      <c r="N933" s="207" t="inlineStr">
        <is>
          <t>2o Arbitro</t>
        </is>
      </c>
      <c r="O933" s="207" t="inlineStr">
        <is>
          <t>3o Arbitro/Tirocinante</t>
        </is>
      </c>
      <c r="P933" s="207" t="inlineStr">
        <is>
          <t>Referto</t>
        </is>
      </c>
      <c r="Q933" s="207" t="inlineStr">
        <is>
          <t>Cronometro</t>
        </is>
      </c>
      <c r="R933" s="207" t="inlineStr">
        <is>
          <t>Foglio Tiri</t>
        </is>
      </c>
    </row>
    <row r="934" ht="22" customHeight="1">
      <c r="A934" s="104">
        <f>IF('Calendario F'!A84="","",'Calendario F'!A84)</f>
        <v/>
      </c>
      <c r="B934" s="61">
        <f>IF('Calendario F'!B84="","",'Calendario F'!B84)</f>
        <v/>
      </c>
      <c r="C934" s="62">
        <f>IF('Calendario F'!C84="","",'Calendario F'!C84)</f>
        <v/>
      </c>
      <c r="D934" s="61">
        <f>IF('Calendario F'!D84="","",'Calendario F'!D84)</f>
        <v/>
      </c>
      <c r="E934" s="62">
        <f>IF('Calendario F'!E84="","",'Calendario F'!E84)</f>
        <v/>
      </c>
      <c r="F934" s="63">
        <f>IF('Calendario F'!F84="","",'Calendario F'!F84)</f>
        <v/>
      </c>
      <c r="G934" s="9" t="n"/>
      <c r="H934" s="9" t="n"/>
      <c r="I934" s="10" t="n"/>
      <c r="J934" s="195">
        <f>IF('Calendario F'!J84="","",'Calendario F'!J84)</f>
        <v/>
      </c>
      <c r="K934" s="64" t="inlineStr">
        <is>
          <t>-</t>
        </is>
      </c>
      <c r="L934" s="195">
        <f>IF('Calendario F'!L84="","",'Calendario F'!L84)</f>
        <v/>
      </c>
      <c r="M934" s="196" t="n"/>
      <c r="N934" s="196" t="n"/>
      <c r="O934" s="196" t="n"/>
      <c r="P934" s="196" t="n"/>
      <c r="Q934" s="196" t="n"/>
      <c r="R934" s="196" t="n"/>
    </row>
    <row r="935" ht="15" customHeight="1">
      <c r="A935" s="141" t="n"/>
      <c r="B935" s="69">
        <f>IF('Calendario F'!B85="","",'Calendario F'!B85)</f>
        <v/>
      </c>
      <c r="C935" s="9" t="n"/>
      <c r="D935" s="9" t="n"/>
      <c r="E935" s="9" t="n"/>
      <c r="F935" s="9" t="n"/>
      <c r="G935" s="9" t="n"/>
      <c r="H935" s="10" t="n"/>
      <c r="I935" s="62">
        <f>IF('Calendario F'!I85="","",'Calendario F'!I85)</f>
        <v/>
      </c>
      <c r="J935" s="141" t="n"/>
      <c r="K935" s="141" t="n"/>
      <c r="L935" s="141" t="n"/>
      <c r="M935" s="141" t="n"/>
      <c r="N935" s="141" t="n"/>
      <c r="O935" s="141" t="n"/>
      <c r="P935" s="141" t="n"/>
      <c r="Q935" s="141" t="n"/>
      <c r="R935" s="141" t="n"/>
    </row>
    <row r="936" ht="14" customHeight="1">
      <c r="A936" s="102" t="inlineStr">
        <is>
          <t>Gara N.</t>
        </is>
      </c>
      <c r="B936" s="102" t="inlineStr">
        <is>
          <t>Squadra A</t>
        </is>
      </c>
      <c r="C936" s="10" t="n"/>
      <c r="D936" s="102" t="inlineStr">
        <is>
          <t>Squadra B</t>
        </is>
      </c>
      <c r="E936" s="10" t="n"/>
      <c r="F936" s="102" t="inlineStr">
        <is>
          <t>Giorno</t>
        </is>
      </c>
      <c r="G936" s="102" t="inlineStr">
        <is>
          <t>Data</t>
        </is>
      </c>
      <c r="H936" s="102" t="inlineStr">
        <is>
          <t>Ora</t>
        </is>
      </c>
      <c r="I936" s="10" t="n"/>
      <c r="J936" s="102" t="inlineStr">
        <is>
          <t>Risultato</t>
        </is>
      </c>
      <c r="K936" s="9" t="n"/>
      <c r="L936" s="10" t="n"/>
      <c r="M936" s="207" t="inlineStr">
        <is>
          <t>1o Arbitro</t>
        </is>
      </c>
      <c r="N936" s="207" t="inlineStr">
        <is>
          <t>2o Arbitro</t>
        </is>
      </c>
      <c r="O936" s="207" t="inlineStr">
        <is>
          <t>3o Arbitro/Tirocinante</t>
        </is>
      </c>
      <c r="P936" s="207" t="inlineStr">
        <is>
          <t>Referto</t>
        </is>
      </c>
      <c r="Q936" s="207" t="inlineStr">
        <is>
          <t>Cronometro</t>
        </is>
      </c>
      <c r="R936" s="207" t="inlineStr">
        <is>
          <t>Foglio Tiri</t>
        </is>
      </c>
    </row>
    <row r="937" ht="22" customHeight="1">
      <c r="A937" s="104">
        <f>IF('Calendario F'!A87="","",'Calendario F'!A87)</f>
        <v/>
      </c>
      <c r="B937" s="61">
        <f>IF('Calendario F'!B87="","",'Calendario F'!B87)</f>
        <v/>
      </c>
      <c r="C937" s="62">
        <f>IF('Calendario F'!C87="","",'Calendario F'!C87)</f>
        <v/>
      </c>
      <c r="D937" s="61">
        <f>IF('Calendario F'!D87="","",'Calendario F'!D87)</f>
        <v/>
      </c>
      <c r="E937" s="62">
        <f>IF('Calendario F'!E87="","",'Calendario F'!E87)</f>
        <v/>
      </c>
      <c r="F937" s="63">
        <f>IF('Calendario F'!F87="","",'Calendario F'!F87)</f>
        <v/>
      </c>
      <c r="G937" s="9" t="n"/>
      <c r="H937" s="9" t="n"/>
      <c r="I937" s="10" t="n"/>
      <c r="J937" s="195">
        <f>IF('Calendario F'!J87="","",'Calendario F'!J87)</f>
        <v/>
      </c>
      <c r="K937" s="64" t="inlineStr">
        <is>
          <t>-</t>
        </is>
      </c>
      <c r="L937" s="195">
        <f>IF('Calendario F'!L87="","",'Calendario F'!L87)</f>
        <v/>
      </c>
      <c r="M937" s="196" t="n"/>
      <c r="N937" s="196" t="n"/>
      <c r="O937" s="196" t="n"/>
      <c r="P937" s="196" t="n"/>
      <c r="Q937" s="196" t="n"/>
      <c r="R937" s="196" t="n"/>
    </row>
    <row r="938" ht="15" customHeight="1">
      <c r="A938" s="141" t="n"/>
      <c r="B938" s="69">
        <f>IF('Calendario F'!B88="","",'Calendario F'!B88)</f>
        <v/>
      </c>
      <c r="C938" s="9" t="n"/>
      <c r="D938" s="9" t="n"/>
      <c r="E938" s="9" t="n"/>
      <c r="F938" s="9" t="n"/>
      <c r="G938" s="9" t="n"/>
      <c r="H938" s="10" t="n"/>
      <c r="I938" s="62">
        <f>IF('Calendario F'!I88="","",'Calendario F'!I88)</f>
        <v/>
      </c>
      <c r="J938" s="141" t="n"/>
      <c r="K938" s="141" t="n"/>
      <c r="L938" s="141" t="n"/>
      <c r="M938" s="141" t="n"/>
      <c r="N938" s="141" t="n"/>
      <c r="O938" s="141" t="n"/>
      <c r="P938" s="141" t="n"/>
      <c r="Q938" s="141" t="n"/>
      <c r="R938" s="141" t="n"/>
    </row>
    <row r="939" ht="14" customHeight="1">
      <c r="A939" s="102" t="inlineStr">
        <is>
          <t>Gara N.</t>
        </is>
      </c>
      <c r="B939" s="102" t="inlineStr">
        <is>
          <t>Squadra A</t>
        </is>
      </c>
      <c r="C939" s="10" t="n"/>
      <c r="D939" s="102" t="inlineStr">
        <is>
          <t>Squadra B</t>
        </is>
      </c>
      <c r="E939" s="10" t="n"/>
      <c r="F939" s="102" t="inlineStr">
        <is>
          <t>Giorno</t>
        </is>
      </c>
      <c r="G939" s="102" t="inlineStr">
        <is>
          <t>Data</t>
        </is>
      </c>
      <c r="H939" s="102" t="inlineStr">
        <is>
          <t>Ora</t>
        </is>
      </c>
      <c r="I939" s="10" t="n"/>
      <c r="J939" s="102" t="inlineStr">
        <is>
          <t>Risultato</t>
        </is>
      </c>
      <c r="K939" s="9" t="n"/>
      <c r="L939" s="10" t="n"/>
      <c r="M939" s="207" t="inlineStr">
        <is>
          <t>1o Arbitro</t>
        </is>
      </c>
      <c r="N939" s="207" t="inlineStr">
        <is>
          <t>2o Arbitro</t>
        </is>
      </c>
      <c r="O939" s="207" t="inlineStr">
        <is>
          <t>3o Arbitro/Tirocinante</t>
        </is>
      </c>
      <c r="P939" s="207" t="inlineStr">
        <is>
          <t>Referto</t>
        </is>
      </c>
      <c r="Q939" s="207" t="inlineStr">
        <is>
          <t>Cronometro</t>
        </is>
      </c>
      <c r="R939" s="207" t="inlineStr">
        <is>
          <t>Foglio Tiri</t>
        </is>
      </c>
    </row>
    <row r="940" ht="22" customHeight="1">
      <c r="A940" s="104">
        <f>IF('Calendario F'!A90="","",'Calendario F'!A90)</f>
        <v/>
      </c>
      <c r="B940" s="61">
        <f>IF('Calendario F'!B90="","",'Calendario F'!B90)</f>
        <v/>
      </c>
      <c r="C940" s="62">
        <f>IF('Calendario F'!C90="","",'Calendario F'!C90)</f>
        <v/>
      </c>
      <c r="D940" s="61">
        <f>IF('Calendario F'!D90="","",'Calendario F'!D90)</f>
        <v/>
      </c>
      <c r="E940" s="62">
        <f>IF('Calendario F'!E90="","",'Calendario F'!E90)</f>
        <v/>
      </c>
      <c r="F940" s="63">
        <f>IF('Calendario F'!F90="","",'Calendario F'!F90)</f>
        <v/>
      </c>
      <c r="G940" s="9" t="n"/>
      <c r="H940" s="9" t="n"/>
      <c r="I940" s="10" t="n"/>
      <c r="J940" s="195">
        <f>IF('Calendario F'!J90="","",'Calendario F'!J90)</f>
        <v/>
      </c>
      <c r="K940" s="64" t="inlineStr">
        <is>
          <t>-</t>
        </is>
      </c>
      <c r="L940" s="195">
        <f>IF('Calendario F'!L90="","",'Calendario F'!L90)</f>
        <v/>
      </c>
      <c r="M940" s="196" t="n"/>
      <c r="N940" s="196" t="n"/>
      <c r="O940" s="196" t="n"/>
      <c r="P940" s="196" t="n"/>
      <c r="Q940" s="196" t="n"/>
      <c r="R940" s="196" t="n"/>
    </row>
    <row r="941" ht="15" customHeight="1">
      <c r="A941" s="141" t="n"/>
      <c r="B941" s="69">
        <f>IF('Calendario F'!B91="","",'Calendario F'!B91)</f>
        <v/>
      </c>
      <c r="C941" s="9" t="n"/>
      <c r="D941" s="9" t="n"/>
      <c r="E941" s="9" t="n"/>
      <c r="F941" s="9" t="n"/>
      <c r="G941" s="9" t="n"/>
      <c r="H941" s="10" t="n"/>
      <c r="I941" s="62">
        <f>IF('Calendario F'!I91="","",'Calendario F'!I91)</f>
        <v/>
      </c>
      <c r="J941" s="141" t="n"/>
      <c r="K941" s="141" t="n"/>
      <c r="L941" s="141" t="n"/>
      <c r="M941" s="141" t="n"/>
      <c r="N941" s="141" t="n"/>
      <c r="O941" s="141" t="n"/>
      <c r="P941" s="141" t="n"/>
      <c r="Q941" s="141" t="n"/>
      <c r="R941" s="141" t="n"/>
    </row>
    <row r="943" ht="20" customHeight="1">
      <c r="A943" s="99">
        <f>IF('Calendario F'!A93="","",'Calendario F'!A93)</f>
        <v/>
      </c>
      <c r="B943" s="100">
        <f>IF('Calendario F'!B93="","",'Calendario F'!B93)</f>
        <v/>
      </c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10" t="n"/>
      <c r="M943" s="206" t="inlineStr">
        <is>
          <t>ARBITRI</t>
        </is>
      </c>
      <c r="N943" s="9" t="n"/>
      <c r="O943" s="10" t="n"/>
      <c r="P943" s="206" t="inlineStr">
        <is>
          <t>UFFICIALI DI CAMPO</t>
        </is>
      </c>
      <c r="Q943" s="9" t="n"/>
      <c r="R943" s="10" t="n"/>
    </row>
    <row r="944" ht="14" customHeight="1">
      <c r="A944" s="102" t="inlineStr">
        <is>
          <t>Gara N.</t>
        </is>
      </c>
      <c r="B944" s="102" t="inlineStr">
        <is>
          <t>Squadra A</t>
        </is>
      </c>
      <c r="C944" s="10" t="n"/>
      <c r="D944" s="102" t="inlineStr">
        <is>
          <t>Squadra B</t>
        </is>
      </c>
      <c r="E944" s="10" t="n"/>
      <c r="F944" s="102" t="inlineStr">
        <is>
          <t>Giorno</t>
        </is>
      </c>
      <c r="G944" s="102" t="inlineStr">
        <is>
          <t>Data</t>
        </is>
      </c>
      <c r="H944" s="102" t="inlineStr">
        <is>
          <t>Ora</t>
        </is>
      </c>
      <c r="I944" s="10" t="n"/>
      <c r="J944" s="102" t="inlineStr">
        <is>
          <t>Risultato</t>
        </is>
      </c>
      <c r="K944" s="9" t="n"/>
      <c r="L944" s="10" t="n"/>
      <c r="M944" s="207" t="inlineStr">
        <is>
          <t>1o Arbitro</t>
        </is>
      </c>
      <c r="N944" s="207" t="inlineStr">
        <is>
          <t>2o Arbitro</t>
        </is>
      </c>
      <c r="O944" s="207" t="inlineStr">
        <is>
          <t>3o Arbitro/Tirocinante</t>
        </is>
      </c>
      <c r="P944" s="207" t="inlineStr">
        <is>
          <t>Referto</t>
        </is>
      </c>
      <c r="Q944" s="207" t="inlineStr">
        <is>
          <t>Cronometro</t>
        </is>
      </c>
      <c r="R944" s="207" t="inlineStr">
        <is>
          <t>Foglio Tiri</t>
        </is>
      </c>
    </row>
    <row r="945" ht="22" customHeight="1">
      <c r="A945" s="104">
        <f>IF('Calendario F'!A95="","",'Calendario F'!A95)</f>
        <v/>
      </c>
      <c r="B945" s="61">
        <f>IF('Calendario F'!B95="","",'Calendario F'!B95)</f>
        <v/>
      </c>
      <c r="C945" s="62">
        <f>IF('Calendario F'!C95="","",'Calendario F'!C95)</f>
        <v/>
      </c>
      <c r="D945" s="61">
        <f>IF('Calendario F'!D95="","",'Calendario F'!D95)</f>
        <v/>
      </c>
      <c r="E945" s="62">
        <f>IF('Calendario F'!E95="","",'Calendario F'!E95)</f>
        <v/>
      </c>
      <c r="F945" s="63">
        <f>IF('Calendario F'!F95="","",'Calendario F'!F95)</f>
        <v/>
      </c>
      <c r="G945" s="9" t="n"/>
      <c r="H945" s="9" t="n"/>
      <c r="I945" s="10" t="n"/>
      <c r="J945" s="195">
        <f>IF('Calendario F'!J95="","",'Calendario F'!J95)</f>
        <v/>
      </c>
      <c r="K945" s="64" t="inlineStr">
        <is>
          <t>-</t>
        </is>
      </c>
      <c r="L945" s="195">
        <f>IF('Calendario F'!L95="","",'Calendario F'!L95)</f>
        <v/>
      </c>
      <c r="M945" s="196" t="n"/>
      <c r="N945" s="196" t="n"/>
      <c r="O945" s="196" t="n"/>
      <c r="P945" s="196" t="n"/>
      <c r="Q945" s="196" t="n"/>
      <c r="R945" s="196" t="n"/>
    </row>
    <row r="946" ht="15" customHeight="1">
      <c r="A946" s="141" t="n"/>
      <c r="B946" s="69">
        <f>IF('Calendario F'!B96="","",'Calendario F'!B96)</f>
        <v/>
      </c>
      <c r="C946" s="9" t="n"/>
      <c r="D946" s="9" t="n"/>
      <c r="E946" s="9" t="n"/>
      <c r="F946" s="9" t="n"/>
      <c r="G946" s="9" t="n"/>
      <c r="H946" s="10" t="n"/>
      <c r="I946" s="62">
        <f>IF('Calendario F'!I96="","",'Calendario F'!I96)</f>
        <v/>
      </c>
      <c r="J946" s="141" t="n"/>
      <c r="K946" s="141" t="n"/>
      <c r="L946" s="141" t="n"/>
      <c r="M946" s="141" t="n"/>
      <c r="N946" s="141" t="n"/>
      <c r="O946" s="141" t="n"/>
      <c r="P946" s="141" t="n"/>
      <c r="Q946" s="141" t="n"/>
      <c r="R946" s="141" t="n"/>
    </row>
    <row r="947" ht="14" customHeight="1">
      <c r="A947" s="102" t="inlineStr">
        <is>
          <t>Gara N.</t>
        </is>
      </c>
      <c r="B947" s="102" t="inlineStr">
        <is>
          <t>Squadra A</t>
        </is>
      </c>
      <c r="C947" s="10" t="n"/>
      <c r="D947" s="102" t="inlineStr">
        <is>
          <t>Squadra B</t>
        </is>
      </c>
      <c r="E947" s="10" t="n"/>
      <c r="F947" s="102" t="inlineStr">
        <is>
          <t>Giorno</t>
        </is>
      </c>
      <c r="G947" s="102" t="inlineStr">
        <is>
          <t>Data</t>
        </is>
      </c>
      <c r="H947" s="102" t="inlineStr">
        <is>
          <t>Ora</t>
        </is>
      </c>
      <c r="I947" s="10" t="n"/>
      <c r="J947" s="102" t="inlineStr">
        <is>
          <t>Risultato</t>
        </is>
      </c>
      <c r="K947" s="9" t="n"/>
      <c r="L947" s="10" t="n"/>
      <c r="M947" s="207" t="inlineStr">
        <is>
          <t>1o Arbitro</t>
        </is>
      </c>
      <c r="N947" s="207" t="inlineStr">
        <is>
          <t>2o Arbitro</t>
        </is>
      </c>
      <c r="O947" s="207" t="inlineStr">
        <is>
          <t>3o Arbitro/Tirocinante</t>
        </is>
      </c>
      <c r="P947" s="207" t="inlineStr">
        <is>
          <t>Referto</t>
        </is>
      </c>
      <c r="Q947" s="207" t="inlineStr">
        <is>
          <t>Cronometro</t>
        </is>
      </c>
      <c r="R947" s="207" t="inlineStr">
        <is>
          <t>Foglio Tiri</t>
        </is>
      </c>
    </row>
    <row r="948" ht="22" customHeight="1">
      <c r="A948" s="104">
        <f>IF('Calendario F'!A98="","",'Calendario F'!A98)</f>
        <v/>
      </c>
      <c r="B948" s="61">
        <f>IF('Calendario F'!B98="","",'Calendario F'!B98)</f>
        <v/>
      </c>
      <c r="C948" s="62">
        <f>IF('Calendario F'!C98="","",'Calendario F'!C98)</f>
        <v/>
      </c>
      <c r="D948" s="61">
        <f>IF('Calendario F'!D98="","",'Calendario F'!D98)</f>
        <v/>
      </c>
      <c r="E948" s="62">
        <f>IF('Calendario F'!E98="","",'Calendario F'!E98)</f>
        <v/>
      </c>
      <c r="F948" s="63">
        <f>IF('Calendario F'!F98="","",'Calendario F'!F98)</f>
        <v/>
      </c>
      <c r="G948" s="9" t="n"/>
      <c r="H948" s="9" t="n"/>
      <c r="I948" s="10" t="n"/>
      <c r="J948" s="195">
        <f>IF('Calendario F'!J98="","",'Calendario F'!J98)</f>
        <v/>
      </c>
      <c r="K948" s="64" t="inlineStr">
        <is>
          <t>-</t>
        </is>
      </c>
      <c r="L948" s="195">
        <f>IF('Calendario F'!L98="","",'Calendario F'!L98)</f>
        <v/>
      </c>
      <c r="M948" s="196" t="n"/>
      <c r="N948" s="196" t="n"/>
      <c r="O948" s="196" t="n"/>
      <c r="P948" s="196" t="n"/>
      <c r="Q948" s="196" t="n"/>
      <c r="R948" s="196" t="n"/>
    </row>
    <row r="949" ht="15" customHeight="1">
      <c r="A949" s="141" t="n"/>
      <c r="B949" s="69">
        <f>IF('Calendario F'!B99="","",'Calendario F'!B99)</f>
        <v/>
      </c>
      <c r="C949" s="9" t="n"/>
      <c r="D949" s="9" t="n"/>
      <c r="E949" s="9" t="n"/>
      <c r="F949" s="9" t="n"/>
      <c r="G949" s="9" t="n"/>
      <c r="H949" s="10" t="n"/>
      <c r="I949" s="62">
        <f>IF('Calendario F'!I99="","",'Calendario F'!I99)</f>
        <v/>
      </c>
      <c r="J949" s="141" t="n"/>
      <c r="K949" s="141" t="n"/>
      <c r="L949" s="141" t="n"/>
      <c r="M949" s="141" t="n"/>
      <c r="N949" s="141" t="n"/>
      <c r="O949" s="141" t="n"/>
      <c r="P949" s="141" t="n"/>
      <c r="Q949" s="141" t="n"/>
      <c r="R949" s="141" t="n"/>
    </row>
    <row r="950" ht="14" customHeight="1">
      <c r="A950" s="102" t="inlineStr">
        <is>
          <t>Gara N.</t>
        </is>
      </c>
      <c r="B950" s="102" t="inlineStr">
        <is>
          <t>Squadra A</t>
        </is>
      </c>
      <c r="C950" s="10" t="n"/>
      <c r="D950" s="102" t="inlineStr">
        <is>
          <t>Squadra B</t>
        </is>
      </c>
      <c r="E950" s="10" t="n"/>
      <c r="F950" s="102" t="inlineStr">
        <is>
          <t>Giorno</t>
        </is>
      </c>
      <c r="G950" s="102" t="inlineStr">
        <is>
          <t>Data</t>
        </is>
      </c>
      <c r="H950" s="102" t="inlineStr">
        <is>
          <t>Ora</t>
        </is>
      </c>
      <c r="I950" s="10" t="n"/>
      <c r="J950" s="102" t="inlineStr">
        <is>
          <t>Risultato</t>
        </is>
      </c>
      <c r="K950" s="9" t="n"/>
      <c r="L950" s="10" t="n"/>
      <c r="M950" s="207" t="inlineStr">
        <is>
          <t>1o Arbitro</t>
        </is>
      </c>
      <c r="N950" s="207" t="inlineStr">
        <is>
          <t>2o Arbitro</t>
        </is>
      </c>
      <c r="O950" s="207" t="inlineStr">
        <is>
          <t>3o Arbitro/Tirocinante</t>
        </is>
      </c>
      <c r="P950" s="207" t="inlineStr">
        <is>
          <t>Referto</t>
        </is>
      </c>
      <c r="Q950" s="207" t="inlineStr">
        <is>
          <t>Cronometro</t>
        </is>
      </c>
      <c r="R950" s="207" t="inlineStr">
        <is>
          <t>Foglio Tiri</t>
        </is>
      </c>
    </row>
    <row r="951" ht="22" customHeight="1">
      <c r="A951" s="104">
        <f>IF('Calendario F'!A101="","",'Calendario F'!A101)</f>
        <v/>
      </c>
      <c r="B951" s="61">
        <f>IF('Calendario F'!B101="","",'Calendario F'!B101)</f>
        <v/>
      </c>
      <c r="C951" s="62">
        <f>IF('Calendario F'!C101="","",'Calendario F'!C101)</f>
        <v/>
      </c>
      <c r="D951" s="61">
        <f>IF('Calendario F'!D101="","",'Calendario F'!D101)</f>
        <v/>
      </c>
      <c r="E951" s="62">
        <f>IF('Calendario F'!E101="","",'Calendario F'!E101)</f>
        <v/>
      </c>
      <c r="F951" s="63">
        <f>IF('Calendario F'!F101="","",'Calendario F'!F101)</f>
        <v/>
      </c>
      <c r="G951" s="9" t="n"/>
      <c r="H951" s="9" t="n"/>
      <c r="I951" s="10" t="n"/>
      <c r="J951" s="195">
        <f>IF('Calendario F'!J101="","",'Calendario F'!J101)</f>
        <v/>
      </c>
      <c r="K951" s="64" t="inlineStr">
        <is>
          <t>-</t>
        </is>
      </c>
      <c r="L951" s="195">
        <f>IF('Calendario F'!L101="","",'Calendario F'!L101)</f>
        <v/>
      </c>
      <c r="M951" s="196" t="n"/>
      <c r="N951" s="196" t="n"/>
      <c r="O951" s="196" t="n"/>
      <c r="P951" s="196" t="n"/>
      <c r="Q951" s="196" t="n"/>
      <c r="R951" s="196" t="n"/>
    </row>
    <row r="952" ht="15" customHeight="1">
      <c r="A952" s="141" t="n"/>
      <c r="B952" s="69">
        <f>IF('Calendario F'!B102="","",'Calendario F'!B102)</f>
        <v/>
      </c>
      <c r="C952" s="9" t="n"/>
      <c r="D952" s="9" t="n"/>
      <c r="E952" s="9" t="n"/>
      <c r="F952" s="9" t="n"/>
      <c r="G952" s="9" t="n"/>
      <c r="H952" s="10" t="n"/>
      <c r="I952" s="62">
        <f>IF('Calendario F'!I102="","",'Calendario F'!I102)</f>
        <v/>
      </c>
      <c r="J952" s="141" t="n"/>
      <c r="K952" s="141" t="n"/>
      <c r="L952" s="141" t="n"/>
      <c r="M952" s="141" t="n"/>
      <c r="N952" s="141" t="n"/>
      <c r="O952" s="141" t="n"/>
      <c r="P952" s="141" t="n"/>
      <c r="Q952" s="141" t="n"/>
      <c r="R952" s="141" t="n"/>
    </row>
    <row r="953" ht="14" customHeight="1">
      <c r="A953" s="102" t="inlineStr">
        <is>
          <t>Gara N.</t>
        </is>
      </c>
      <c r="B953" s="102" t="inlineStr">
        <is>
          <t>Squadra A</t>
        </is>
      </c>
      <c r="C953" s="10" t="n"/>
      <c r="D953" s="102" t="inlineStr">
        <is>
          <t>Squadra B</t>
        </is>
      </c>
      <c r="E953" s="10" t="n"/>
      <c r="F953" s="102" t="inlineStr">
        <is>
          <t>Giorno</t>
        </is>
      </c>
      <c r="G953" s="102" t="inlineStr">
        <is>
          <t>Data</t>
        </is>
      </c>
      <c r="H953" s="102" t="inlineStr">
        <is>
          <t>Ora</t>
        </is>
      </c>
      <c r="I953" s="10" t="n"/>
      <c r="J953" s="102" t="inlineStr">
        <is>
          <t>Risultato</t>
        </is>
      </c>
      <c r="K953" s="9" t="n"/>
      <c r="L953" s="10" t="n"/>
      <c r="M953" s="207" t="inlineStr">
        <is>
          <t>1o Arbitro</t>
        </is>
      </c>
      <c r="N953" s="207" t="inlineStr">
        <is>
          <t>2o Arbitro</t>
        </is>
      </c>
      <c r="O953" s="207" t="inlineStr">
        <is>
          <t>3o Arbitro/Tirocinante</t>
        </is>
      </c>
      <c r="P953" s="207" t="inlineStr">
        <is>
          <t>Referto</t>
        </is>
      </c>
      <c r="Q953" s="207" t="inlineStr">
        <is>
          <t>Cronometro</t>
        </is>
      </c>
      <c r="R953" s="207" t="inlineStr">
        <is>
          <t>Foglio Tiri</t>
        </is>
      </c>
    </row>
    <row r="954" ht="22" customHeight="1">
      <c r="A954" s="104">
        <f>IF('Calendario F'!A104="","",'Calendario F'!A104)</f>
        <v/>
      </c>
      <c r="B954" s="61">
        <f>IF('Calendario F'!B104="","",'Calendario F'!B104)</f>
        <v/>
      </c>
      <c r="C954" s="62">
        <f>IF('Calendario F'!C104="","",'Calendario F'!C104)</f>
        <v/>
      </c>
      <c r="D954" s="61">
        <f>IF('Calendario F'!D104="","",'Calendario F'!D104)</f>
        <v/>
      </c>
      <c r="E954" s="62">
        <f>IF('Calendario F'!E104="","",'Calendario F'!E104)</f>
        <v/>
      </c>
      <c r="F954" s="63">
        <f>IF('Calendario F'!F104="","",'Calendario F'!F104)</f>
        <v/>
      </c>
      <c r="G954" s="9" t="n"/>
      <c r="H954" s="9" t="n"/>
      <c r="I954" s="10" t="n"/>
      <c r="J954" s="195">
        <f>IF('Calendario F'!J104="","",'Calendario F'!J104)</f>
        <v/>
      </c>
      <c r="K954" s="64" t="inlineStr">
        <is>
          <t>-</t>
        </is>
      </c>
      <c r="L954" s="195">
        <f>IF('Calendario F'!L104="","",'Calendario F'!L104)</f>
        <v/>
      </c>
      <c r="M954" s="196" t="n"/>
      <c r="N954" s="196" t="n"/>
      <c r="O954" s="196" t="n"/>
      <c r="P954" s="196" t="n"/>
      <c r="Q954" s="196" t="n"/>
      <c r="R954" s="196" t="n"/>
    </row>
    <row r="955" ht="15" customHeight="1">
      <c r="A955" s="141" t="n"/>
      <c r="B955" s="69">
        <f>IF('Calendario F'!B105="","",'Calendario F'!B105)</f>
        <v/>
      </c>
      <c r="C955" s="9" t="n"/>
      <c r="D955" s="9" t="n"/>
      <c r="E955" s="9" t="n"/>
      <c r="F955" s="9" t="n"/>
      <c r="G955" s="9" t="n"/>
      <c r="H955" s="10" t="n"/>
      <c r="I955" s="62">
        <f>IF('Calendario F'!I105="","",'Calendario F'!I105)</f>
        <v/>
      </c>
      <c r="J955" s="141" t="n"/>
      <c r="K955" s="141" t="n"/>
      <c r="L955" s="141" t="n"/>
      <c r="M955" s="141" t="n"/>
      <c r="N955" s="141" t="n"/>
      <c r="O955" s="141" t="n"/>
      <c r="P955" s="141" t="n"/>
      <c r="Q955" s="141" t="n"/>
      <c r="R955" s="141" t="n"/>
    </row>
    <row r="956" ht="14" customHeight="1">
      <c r="A956" s="102" t="inlineStr">
        <is>
          <t>Gara N.</t>
        </is>
      </c>
      <c r="B956" s="102" t="inlineStr">
        <is>
          <t>Squadra A</t>
        </is>
      </c>
      <c r="C956" s="10" t="n"/>
      <c r="D956" s="102" t="inlineStr">
        <is>
          <t>Squadra B</t>
        </is>
      </c>
      <c r="E956" s="10" t="n"/>
      <c r="F956" s="102" t="inlineStr">
        <is>
          <t>Giorno</t>
        </is>
      </c>
      <c r="G956" s="102" t="inlineStr">
        <is>
          <t>Data</t>
        </is>
      </c>
      <c r="H956" s="102" t="inlineStr">
        <is>
          <t>Ora</t>
        </is>
      </c>
      <c r="I956" s="10" t="n"/>
      <c r="J956" s="102" t="inlineStr">
        <is>
          <t>Risultato</t>
        </is>
      </c>
      <c r="K956" s="9" t="n"/>
      <c r="L956" s="10" t="n"/>
      <c r="M956" s="207" t="inlineStr">
        <is>
          <t>1o Arbitro</t>
        </is>
      </c>
      <c r="N956" s="207" t="inlineStr">
        <is>
          <t>2o Arbitro</t>
        </is>
      </c>
      <c r="O956" s="207" t="inlineStr">
        <is>
          <t>3o Arbitro/Tirocinante</t>
        </is>
      </c>
      <c r="P956" s="207" t="inlineStr">
        <is>
          <t>Referto</t>
        </is>
      </c>
      <c r="Q956" s="207" t="inlineStr">
        <is>
          <t>Cronometro</t>
        </is>
      </c>
      <c r="R956" s="207" t="inlineStr">
        <is>
          <t>Foglio Tiri</t>
        </is>
      </c>
    </row>
    <row r="957" ht="22" customHeight="1">
      <c r="A957" s="104">
        <f>IF('Calendario F'!A107="","",'Calendario F'!A107)</f>
        <v/>
      </c>
      <c r="B957" s="61">
        <f>IF('Calendario F'!B107="","",'Calendario F'!B107)</f>
        <v/>
      </c>
      <c r="C957" s="62">
        <f>IF('Calendario F'!C107="","",'Calendario F'!C107)</f>
        <v/>
      </c>
      <c r="D957" s="61">
        <f>IF('Calendario F'!D107="","",'Calendario F'!D107)</f>
        <v/>
      </c>
      <c r="E957" s="62">
        <f>IF('Calendario F'!E107="","",'Calendario F'!E107)</f>
        <v/>
      </c>
      <c r="F957" s="63">
        <f>IF('Calendario F'!F107="","",'Calendario F'!F107)</f>
        <v/>
      </c>
      <c r="G957" s="9" t="n"/>
      <c r="H957" s="9" t="n"/>
      <c r="I957" s="10" t="n"/>
      <c r="J957" s="195">
        <f>IF('Calendario F'!J107="","",'Calendario F'!J107)</f>
        <v/>
      </c>
      <c r="K957" s="64" t="inlineStr">
        <is>
          <t>-</t>
        </is>
      </c>
      <c r="L957" s="195">
        <f>IF('Calendario F'!L107="","",'Calendario F'!L107)</f>
        <v/>
      </c>
      <c r="M957" s="196" t="n"/>
      <c r="N957" s="196" t="n"/>
      <c r="O957" s="196" t="n"/>
      <c r="P957" s="196" t="n"/>
      <c r="Q957" s="196" t="n"/>
      <c r="R957" s="196" t="n"/>
    </row>
    <row r="958" ht="15" customHeight="1">
      <c r="A958" s="141" t="n"/>
      <c r="B958" s="69">
        <f>IF('Calendario F'!B108="","",'Calendario F'!B108)</f>
        <v/>
      </c>
      <c r="C958" s="9" t="n"/>
      <c r="D958" s="9" t="n"/>
      <c r="E958" s="9" t="n"/>
      <c r="F958" s="9" t="n"/>
      <c r="G958" s="9" t="n"/>
      <c r="H958" s="10" t="n"/>
      <c r="I958" s="62">
        <f>IF('Calendario F'!I108="","",'Calendario F'!I108)</f>
        <v/>
      </c>
      <c r="J958" s="141" t="n"/>
      <c r="K958" s="141" t="n"/>
      <c r="L958" s="141" t="n"/>
      <c r="M958" s="141" t="n"/>
      <c r="N958" s="141" t="n"/>
      <c r="O958" s="141" t="n"/>
      <c r="P958" s="141" t="n"/>
      <c r="Q958" s="141" t="n"/>
      <c r="R958" s="141" t="n"/>
    </row>
    <row r="960" ht="20" customHeight="1">
      <c r="A960" s="99">
        <f>IF('Calendario F'!A110="","",'Calendario F'!A110)</f>
        <v/>
      </c>
      <c r="B960" s="100">
        <f>IF('Calendario F'!B110="","",'Calendario F'!B110)</f>
        <v/>
      </c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10" t="n"/>
      <c r="M960" s="206" t="inlineStr">
        <is>
          <t>ARBITRI</t>
        </is>
      </c>
      <c r="N960" s="9" t="n"/>
      <c r="O960" s="10" t="n"/>
      <c r="P960" s="206" t="inlineStr">
        <is>
          <t>UFFICIALI DI CAMPO</t>
        </is>
      </c>
      <c r="Q960" s="9" t="n"/>
      <c r="R960" s="10" t="n"/>
    </row>
    <row r="961" ht="14" customHeight="1">
      <c r="A961" s="102" t="inlineStr">
        <is>
          <t>Gara N.</t>
        </is>
      </c>
      <c r="B961" s="102" t="inlineStr">
        <is>
          <t>Squadra A</t>
        </is>
      </c>
      <c r="C961" s="10" t="n"/>
      <c r="D961" s="102" t="inlineStr">
        <is>
          <t>Squadra B</t>
        </is>
      </c>
      <c r="E961" s="10" t="n"/>
      <c r="F961" s="102" t="inlineStr">
        <is>
          <t>Giorno</t>
        </is>
      </c>
      <c r="G961" s="102" t="inlineStr">
        <is>
          <t>Data</t>
        </is>
      </c>
      <c r="H961" s="102" t="inlineStr">
        <is>
          <t>Ora</t>
        </is>
      </c>
      <c r="I961" s="10" t="n"/>
      <c r="J961" s="102" t="inlineStr">
        <is>
          <t>Risultato</t>
        </is>
      </c>
      <c r="K961" s="9" t="n"/>
      <c r="L961" s="10" t="n"/>
      <c r="M961" s="207" t="inlineStr">
        <is>
          <t>1o Arbitro</t>
        </is>
      </c>
      <c r="N961" s="207" t="inlineStr">
        <is>
          <t>2o Arbitro</t>
        </is>
      </c>
      <c r="O961" s="207" t="inlineStr">
        <is>
          <t>3o Arbitro/Tirocinante</t>
        </is>
      </c>
      <c r="P961" s="207" t="inlineStr">
        <is>
          <t>Referto</t>
        </is>
      </c>
      <c r="Q961" s="207" t="inlineStr">
        <is>
          <t>Cronometro</t>
        </is>
      </c>
      <c r="R961" s="207" t="inlineStr">
        <is>
          <t>Foglio Tiri</t>
        </is>
      </c>
    </row>
    <row r="962" ht="22" customHeight="1">
      <c r="A962" s="104">
        <f>IF('Calendario F'!A112="","",'Calendario F'!A112)</f>
        <v/>
      </c>
      <c r="B962" s="61">
        <f>IF('Calendario F'!B112="","",'Calendario F'!B112)</f>
        <v/>
      </c>
      <c r="C962" s="62">
        <f>IF('Calendario F'!C112="","",'Calendario F'!C112)</f>
        <v/>
      </c>
      <c r="D962" s="61">
        <f>IF('Calendario F'!D112="","",'Calendario F'!D112)</f>
        <v/>
      </c>
      <c r="E962" s="62">
        <f>IF('Calendario F'!E112="","",'Calendario F'!E112)</f>
        <v/>
      </c>
      <c r="F962" s="63">
        <f>IF('Calendario F'!F112="","",'Calendario F'!F112)</f>
        <v/>
      </c>
      <c r="G962" s="9" t="n"/>
      <c r="H962" s="9" t="n"/>
      <c r="I962" s="10" t="n"/>
      <c r="J962" s="195">
        <f>IF('Calendario F'!J112="","",'Calendario F'!J112)</f>
        <v/>
      </c>
      <c r="K962" s="64" t="inlineStr">
        <is>
          <t>-</t>
        </is>
      </c>
      <c r="L962" s="195">
        <f>IF('Calendario F'!L112="","",'Calendario F'!L112)</f>
        <v/>
      </c>
      <c r="M962" s="196" t="n"/>
      <c r="N962" s="196" t="n"/>
      <c r="O962" s="196" t="n"/>
      <c r="P962" s="196" t="n"/>
      <c r="Q962" s="196" t="n"/>
      <c r="R962" s="196" t="n"/>
    </row>
    <row r="963" ht="15" customHeight="1">
      <c r="A963" s="141" t="n"/>
      <c r="B963" s="69">
        <f>IF('Calendario F'!B113="","",'Calendario F'!B113)</f>
        <v/>
      </c>
      <c r="C963" s="9" t="n"/>
      <c r="D963" s="9" t="n"/>
      <c r="E963" s="9" t="n"/>
      <c r="F963" s="9" t="n"/>
      <c r="G963" s="9" t="n"/>
      <c r="H963" s="10" t="n"/>
      <c r="I963" s="62">
        <f>IF('Calendario F'!I113="","",'Calendario F'!I113)</f>
        <v/>
      </c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</row>
    <row r="964" ht="14" customHeight="1">
      <c r="A964" s="102" t="inlineStr">
        <is>
          <t>Gara N.</t>
        </is>
      </c>
      <c r="B964" s="102" t="inlineStr">
        <is>
          <t>Squadra A</t>
        </is>
      </c>
      <c r="C964" s="10" t="n"/>
      <c r="D964" s="102" t="inlineStr">
        <is>
          <t>Squadra B</t>
        </is>
      </c>
      <c r="E964" s="10" t="n"/>
      <c r="F964" s="102" t="inlineStr">
        <is>
          <t>Giorno</t>
        </is>
      </c>
      <c r="G964" s="102" t="inlineStr">
        <is>
          <t>Data</t>
        </is>
      </c>
      <c r="H964" s="102" t="inlineStr">
        <is>
          <t>Ora</t>
        </is>
      </c>
      <c r="I964" s="10" t="n"/>
      <c r="J964" s="102" t="inlineStr">
        <is>
          <t>Risultato</t>
        </is>
      </c>
      <c r="K964" s="9" t="n"/>
      <c r="L964" s="10" t="n"/>
      <c r="M964" s="207" t="inlineStr">
        <is>
          <t>1o Arbitro</t>
        </is>
      </c>
      <c r="N964" s="207" t="inlineStr">
        <is>
          <t>2o Arbitro</t>
        </is>
      </c>
      <c r="O964" s="207" t="inlineStr">
        <is>
          <t>3o Arbitro/Tirocinante</t>
        </is>
      </c>
      <c r="P964" s="207" t="inlineStr">
        <is>
          <t>Referto</t>
        </is>
      </c>
      <c r="Q964" s="207" t="inlineStr">
        <is>
          <t>Cronometro</t>
        </is>
      </c>
      <c r="R964" s="207" t="inlineStr">
        <is>
          <t>Foglio Tiri</t>
        </is>
      </c>
    </row>
    <row r="965" ht="22" customHeight="1">
      <c r="A965" s="104">
        <f>IF('Calendario F'!A115="","",'Calendario F'!A115)</f>
        <v/>
      </c>
      <c r="B965" s="61">
        <f>IF('Calendario F'!B115="","",'Calendario F'!B115)</f>
        <v/>
      </c>
      <c r="C965" s="62">
        <f>IF('Calendario F'!C115="","",'Calendario F'!C115)</f>
        <v/>
      </c>
      <c r="D965" s="61">
        <f>IF('Calendario F'!D115="","",'Calendario F'!D115)</f>
        <v/>
      </c>
      <c r="E965" s="62">
        <f>IF('Calendario F'!E115="","",'Calendario F'!E115)</f>
        <v/>
      </c>
      <c r="F965" s="63">
        <f>IF('Calendario F'!F115="","",'Calendario F'!F115)</f>
        <v/>
      </c>
      <c r="G965" s="9" t="n"/>
      <c r="H965" s="9" t="n"/>
      <c r="I965" s="10" t="n"/>
      <c r="J965" s="195">
        <f>IF('Calendario F'!J115="","",'Calendario F'!J115)</f>
        <v/>
      </c>
      <c r="K965" s="64" t="inlineStr">
        <is>
          <t>-</t>
        </is>
      </c>
      <c r="L965" s="195">
        <f>IF('Calendario F'!L115="","",'Calendario F'!L115)</f>
        <v/>
      </c>
      <c r="M965" s="196" t="n"/>
      <c r="N965" s="196" t="n"/>
      <c r="O965" s="196" t="n"/>
      <c r="P965" s="196" t="n"/>
      <c r="Q965" s="196" t="n"/>
      <c r="R965" s="196" t="n"/>
    </row>
    <row r="966" ht="15" customHeight="1">
      <c r="A966" s="141" t="n"/>
      <c r="B966" s="69">
        <f>IF('Calendario F'!B116="","",'Calendario F'!B116)</f>
        <v/>
      </c>
      <c r="C966" s="9" t="n"/>
      <c r="D966" s="9" t="n"/>
      <c r="E966" s="9" t="n"/>
      <c r="F966" s="9" t="n"/>
      <c r="G966" s="9" t="n"/>
      <c r="H966" s="10" t="n"/>
      <c r="I966" s="62">
        <f>IF('Calendario F'!I116="","",'Calendario F'!I116)</f>
        <v/>
      </c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</row>
    <row r="967" ht="14" customHeight="1">
      <c r="A967" s="102" t="inlineStr">
        <is>
          <t>Gara N.</t>
        </is>
      </c>
      <c r="B967" s="102" t="inlineStr">
        <is>
          <t>Squadra A</t>
        </is>
      </c>
      <c r="C967" s="10" t="n"/>
      <c r="D967" s="102" t="inlineStr">
        <is>
          <t>Squadra B</t>
        </is>
      </c>
      <c r="E967" s="10" t="n"/>
      <c r="F967" s="102" t="inlineStr">
        <is>
          <t>Giorno</t>
        </is>
      </c>
      <c r="G967" s="102" t="inlineStr">
        <is>
          <t>Data</t>
        </is>
      </c>
      <c r="H967" s="102" t="inlineStr">
        <is>
          <t>Ora</t>
        </is>
      </c>
      <c r="I967" s="10" t="n"/>
      <c r="J967" s="102" t="inlineStr">
        <is>
          <t>Risultato</t>
        </is>
      </c>
      <c r="K967" s="9" t="n"/>
      <c r="L967" s="10" t="n"/>
      <c r="M967" s="207" t="inlineStr">
        <is>
          <t>1o Arbitro</t>
        </is>
      </c>
      <c r="N967" s="207" t="inlineStr">
        <is>
          <t>2o Arbitro</t>
        </is>
      </c>
      <c r="O967" s="207" t="inlineStr">
        <is>
          <t>3o Arbitro/Tirocinante</t>
        </is>
      </c>
      <c r="P967" s="207" t="inlineStr">
        <is>
          <t>Referto</t>
        </is>
      </c>
      <c r="Q967" s="207" t="inlineStr">
        <is>
          <t>Cronometro</t>
        </is>
      </c>
      <c r="R967" s="207" t="inlineStr">
        <is>
          <t>Foglio Tiri</t>
        </is>
      </c>
    </row>
    <row r="968" ht="22" customHeight="1">
      <c r="A968" s="104">
        <f>IF('Calendario F'!A118="","",'Calendario F'!A118)</f>
        <v/>
      </c>
      <c r="B968" s="61">
        <f>IF('Calendario F'!B118="","",'Calendario F'!B118)</f>
        <v/>
      </c>
      <c r="C968" s="62">
        <f>IF('Calendario F'!C118="","",'Calendario F'!C118)</f>
        <v/>
      </c>
      <c r="D968" s="61">
        <f>IF('Calendario F'!D118="","",'Calendario F'!D118)</f>
        <v/>
      </c>
      <c r="E968" s="62">
        <f>IF('Calendario F'!E118="","",'Calendario F'!E118)</f>
        <v/>
      </c>
      <c r="F968" s="63">
        <f>IF('Calendario F'!F118="","",'Calendario F'!F118)</f>
        <v/>
      </c>
      <c r="G968" s="9" t="n"/>
      <c r="H968" s="9" t="n"/>
      <c r="I968" s="10" t="n"/>
      <c r="J968" s="195">
        <f>IF('Calendario F'!J118="","",'Calendario F'!J118)</f>
        <v/>
      </c>
      <c r="K968" s="64" t="inlineStr">
        <is>
          <t>-</t>
        </is>
      </c>
      <c r="L968" s="195">
        <f>IF('Calendario F'!L118="","",'Calendario F'!L118)</f>
        <v/>
      </c>
      <c r="M968" s="196" t="n"/>
      <c r="N968" s="196" t="n"/>
      <c r="O968" s="196" t="n"/>
      <c r="P968" s="196" t="n"/>
      <c r="Q968" s="196" t="n"/>
      <c r="R968" s="196" t="n"/>
    </row>
    <row r="969" ht="15" customHeight="1">
      <c r="A969" s="141" t="n"/>
      <c r="B969" s="69">
        <f>IF('Calendario F'!B119="","",'Calendario F'!B119)</f>
        <v/>
      </c>
      <c r="C969" s="9" t="n"/>
      <c r="D969" s="9" t="n"/>
      <c r="E969" s="9" t="n"/>
      <c r="F969" s="9" t="n"/>
      <c r="G969" s="9" t="n"/>
      <c r="H969" s="10" t="n"/>
      <c r="I969" s="62">
        <f>IF('Calendario F'!I119="","",'Calendario F'!I119)</f>
        <v/>
      </c>
      <c r="J969" s="141" t="n"/>
      <c r="K969" s="141" t="n"/>
      <c r="L969" s="141" t="n"/>
      <c r="M969" s="141" t="n"/>
      <c r="N969" s="141" t="n"/>
      <c r="O969" s="141" t="n"/>
      <c r="P969" s="141" t="n"/>
      <c r="Q969" s="141" t="n"/>
      <c r="R969" s="141" t="n"/>
    </row>
    <row r="970" ht="14" customHeight="1">
      <c r="A970" s="102" t="inlineStr">
        <is>
          <t>Gara N.</t>
        </is>
      </c>
      <c r="B970" s="102" t="inlineStr">
        <is>
          <t>Squadra A</t>
        </is>
      </c>
      <c r="C970" s="10" t="n"/>
      <c r="D970" s="102" t="inlineStr">
        <is>
          <t>Squadra B</t>
        </is>
      </c>
      <c r="E970" s="10" t="n"/>
      <c r="F970" s="102" t="inlineStr">
        <is>
          <t>Giorno</t>
        </is>
      </c>
      <c r="G970" s="102" t="inlineStr">
        <is>
          <t>Data</t>
        </is>
      </c>
      <c r="H970" s="102" t="inlineStr">
        <is>
          <t>Ora</t>
        </is>
      </c>
      <c r="I970" s="10" t="n"/>
      <c r="J970" s="102" t="inlineStr">
        <is>
          <t>Risultato</t>
        </is>
      </c>
      <c r="K970" s="9" t="n"/>
      <c r="L970" s="10" t="n"/>
      <c r="M970" s="207" t="inlineStr">
        <is>
          <t>1o Arbitro</t>
        </is>
      </c>
      <c r="N970" s="207" t="inlineStr">
        <is>
          <t>2o Arbitro</t>
        </is>
      </c>
      <c r="O970" s="207" t="inlineStr">
        <is>
          <t>3o Arbitro/Tirocinante</t>
        </is>
      </c>
      <c r="P970" s="207" t="inlineStr">
        <is>
          <t>Referto</t>
        </is>
      </c>
      <c r="Q970" s="207" t="inlineStr">
        <is>
          <t>Cronometro</t>
        </is>
      </c>
      <c r="R970" s="207" t="inlineStr">
        <is>
          <t>Foglio Tiri</t>
        </is>
      </c>
    </row>
    <row r="971" ht="22" customHeight="1">
      <c r="A971" s="104">
        <f>IF('Calendario F'!A121="","",'Calendario F'!A121)</f>
        <v/>
      </c>
      <c r="B971" s="61">
        <f>IF('Calendario F'!B121="","",'Calendario F'!B121)</f>
        <v/>
      </c>
      <c r="C971" s="62">
        <f>IF('Calendario F'!C121="","",'Calendario F'!C121)</f>
        <v/>
      </c>
      <c r="D971" s="61">
        <f>IF('Calendario F'!D121="","",'Calendario F'!D121)</f>
        <v/>
      </c>
      <c r="E971" s="62">
        <f>IF('Calendario F'!E121="","",'Calendario F'!E121)</f>
        <v/>
      </c>
      <c r="F971" s="63">
        <f>IF('Calendario F'!F121="","",'Calendario F'!F121)</f>
        <v/>
      </c>
      <c r="G971" s="9" t="n"/>
      <c r="H971" s="9" t="n"/>
      <c r="I971" s="10" t="n"/>
      <c r="J971" s="195">
        <f>IF('Calendario F'!J121="","",'Calendario F'!J121)</f>
        <v/>
      </c>
      <c r="K971" s="64" t="inlineStr">
        <is>
          <t>-</t>
        </is>
      </c>
      <c r="L971" s="195">
        <f>IF('Calendario F'!L121="","",'Calendario F'!L121)</f>
        <v/>
      </c>
      <c r="M971" s="196" t="n"/>
      <c r="N971" s="196" t="n"/>
      <c r="O971" s="196" t="n"/>
      <c r="P971" s="196" t="n"/>
      <c r="Q971" s="196" t="n"/>
      <c r="R971" s="196" t="n"/>
    </row>
    <row r="972" ht="15" customHeight="1">
      <c r="A972" s="141" t="n"/>
      <c r="B972" s="69">
        <f>IF('Calendario F'!B122="","",'Calendario F'!B122)</f>
        <v/>
      </c>
      <c r="C972" s="9" t="n"/>
      <c r="D972" s="9" t="n"/>
      <c r="E972" s="9" t="n"/>
      <c r="F972" s="9" t="n"/>
      <c r="G972" s="9" t="n"/>
      <c r="H972" s="10" t="n"/>
      <c r="I972" s="62">
        <f>IF('Calendario F'!I122="","",'Calendario F'!I122)</f>
        <v/>
      </c>
      <c r="J972" s="141" t="n"/>
      <c r="K972" s="141" t="n"/>
      <c r="L972" s="141" t="n"/>
      <c r="M972" s="141" t="n"/>
      <c r="N972" s="141" t="n"/>
      <c r="O972" s="141" t="n"/>
      <c r="P972" s="141" t="n"/>
      <c r="Q972" s="141" t="n"/>
      <c r="R972" s="141" t="n"/>
    </row>
    <row r="973" ht="14" customHeight="1">
      <c r="A973" s="102" t="inlineStr">
        <is>
          <t>Gara N.</t>
        </is>
      </c>
      <c r="B973" s="102" t="inlineStr">
        <is>
          <t>Squadra A</t>
        </is>
      </c>
      <c r="C973" s="10" t="n"/>
      <c r="D973" s="102" t="inlineStr">
        <is>
          <t>Squadra B</t>
        </is>
      </c>
      <c r="E973" s="10" t="n"/>
      <c r="F973" s="102" t="inlineStr">
        <is>
          <t>Giorno</t>
        </is>
      </c>
      <c r="G973" s="102" t="inlineStr">
        <is>
          <t>Data</t>
        </is>
      </c>
      <c r="H973" s="102" t="inlineStr">
        <is>
          <t>Ora</t>
        </is>
      </c>
      <c r="I973" s="10" t="n"/>
      <c r="J973" s="102" t="inlineStr">
        <is>
          <t>Risultato</t>
        </is>
      </c>
      <c r="K973" s="9" t="n"/>
      <c r="L973" s="10" t="n"/>
      <c r="M973" s="207" t="inlineStr">
        <is>
          <t>1o Arbitro</t>
        </is>
      </c>
      <c r="N973" s="207" t="inlineStr">
        <is>
          <t>2o Arbitro</t>
        </is>
      </c>
      <c r="O973" s="207" t="inlineStr">
        <is>
          <t>3o Arbitro/Tirocinante</t>
        </is>
      </c>
      <c r="P973" s="207" t="inlineStr">
        <is>
          <t>Referto</t>
        </is>
      </c>
      <c r="Q973" s="207" t="inlineStr">
        <is>
          <t>Cronometro</t>
        </is>
      </c>
      <c r="R973" s="207" t="inlineStr">
        <is>
          <t>Foglio Tiri</t>
        </is>
      </c>
    </row>
    <row r="974" ht="22" customHeight="1">
      <c r="A974" s="104">
        <f>IF('Calendario F'!A124="","",'Calendario F'!A124)</f>
        <v/>
      </c>
      <c r="B974" s="61">
        <f>IF('Calendario F'!B124="","",'Calendario F'!B124)</f>
        <v/>
      </c>
      <c r="C974" s="62">
        <f>IF('Calendario F'!C124="","",'Calendario F'!C124)</f>
        <v/>
      </c>
      <c r="D974" s="61">
        <f>IF('Calendario F'!D124="","",'Calendario F'!D124)</f>
        <v/>
      </c>
      <c r="E974" s="62">
        <f>IF('Calendario F'!E124="","",'Calendario F'!E124)</f>
        <v/>
      </c>
      <c r="F974" s="63">
        <f>IF('Calendario F'!F124="","",'Calendario F'!F124)</f>
        <v/>
      </c>
      <c r="G974" s="9" t="n"/>
      <c r="H974" s="9" t="n"/>
      <c r="I974" s="10" t="n"/>
      <c r="J974" s="195">
        <f>IF('Calendario F'!J124="","",'Calendario F'!J124)</f>
        <v/>
      </c>
      <c r="K974" s="64" t="inlineStr">
        <is>
          <t>-</t>
        </is>
      </c>
      <c r="L974" s="195">
        <f>IF('Calendario F'!L124="","",'Calendario F'!L124)</f>
        <v/>
      </c>
      <c r="M974" s="196" t="n"/>
      <c r="N974" s="196" t="n"/>
      <c r="O974" s="196" t="n"/>
      <c r="P974" s="196" t="n"/>
      <c r="Q974" s="196" t="n"/>
      <c r="R974" s="196" t="n"/>
    </row>
    <row r="975" ht="15" customHeight="1">
      <c r="A975" s="141" t="n"/>
      <c r="B975" s="69">
        <f>IF('Calendario F'!B125="","",'Calendario F'!B125)</f>
        <v/>
      </c>
      <c r="C975" s="9" t="n"/>
      <c r="D975" s="9" t="n"/>
      <c r="E975" s="9" t="n"/>
      <c r="F975" s="9" t="n"/>
      <c r="G975" s="9" t="n"/>
      <c r="H975" s="10" t="n"/>
      <c r="I975" s="62">
        <f>IF('Calendario F'!I125="","",'Calendario F'!I125)</f>
        <v/>
      </c>
      <c r="J975" s="141" t="n"/>
      <c r="K975" s="141" t="n"/>
      <c r="L975" s="141" t="n"/>
      <c r="M975" s="141" t="n"/>
      <c r="N975" s="141" t="n"/>
      <c r="O975" s="141" t="n"/>
      <c r="P975" s="141" t="n"/>
      <c r="Q975" s="141" t="n"/>
      <c r="R975" s="141" t="n"/>
    </row>
    <row r="977" ht="20" customHeight="1">
      <c r="A977" s="99">
        <f>IF('Calendario F'!A127="","",'Calendario F'!A127)</f>
        <v/>
      </c>
      <c r="B977" s="100">
        <f>IF('Calendario F'!B127="","",'Calendario F'!B127)</f>
        <v/>
      </c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10" t="n"/>
      <c r="M977" s="206" t="inlineStr">
        <is>
          <t>ARBITRI</t>
        </is>
      </c>
      <c r="N977" s="9" t="n"/>
      <c r="O977" s="10" t="n"/>
      <c r="P977" s="206" t="inlineStr">
        <is>
          <t>UFFICIALI DI CAMPO</t>
        </is>
      </c>
      <c r="Q977" s="9" t="n"/>
      <c r="R977" s="10" t="n"/>
    </row>
    <row r="978" ht="14" customHeight="1">
      <c r="A978" s="102" t="inlineStr">
        <is>
          <t>Gara N.</t>
        </is>
      </c>
      <c r="B978" s="102" t="inlineStr">
        <is>
          <t>Squadra A</t>
        </is>
      </c>
      <c r="C978" s="10" t="n"/>
      <c r="D978" s="102" t="inlineStr">
        <is>
          <t>Squadra B</t>
        </is>
      </c>
      <c r="E978" s="10" t="n"/>
      <c r="F978" s="102" t="inlineStr">
        <is>
          <t>Giorno</t>
        </is>
      </c>
      <c r="G978" s="102" t="inlineStr">
        <is>
          <t>Data</t>
        </is>
      </c>
      <c r="H978" s="102" t="inlineStr">
        <is>
          <t>Ora</t>
        </is>
      </c>
      <c r="I978" s="10" t="n"/>
      <c r="J978" s="102" t="inlineStr">
        <is>
          <t>Risultato</t>
        </is>
      </c>
      <c r="K978" s="9" t="n"/>
      <c r="L978" s="10" t="n"/>
      <c r="M978" s="207" t="inlineStr">
        <is>
          <t>1o Arbitro</t>
        </is>
      </c>
      <c r="N978" s="207" t="inlineStr">
        <is>
          <t>2o Arbitro</t>
        </is>
      </c>
      <c r="O978" s="207" t="inlineStr">
        <is>
          <t>3o Arbitro/Tirocinante</t>
        </is>
      </c>
      <c r="P978" s="207" t="inlineStr">
        <is>
          <t>Referto</t>
        </is>
      </c>
      <c r="Q978" s="207" t="inlineStr">
        <is>
          <t>Cronometro</t>
        </is>
      </c>
      <c r="R978" s="207" t="inlineStr">
        <is>
          <t>Foglio Tiri</t>
        </is>
      </c>
    </row>
    <row r="979" ht="22" customHeight="1">
      <c r="A979" s="104">
        <f>IF('Calendario F'!A129="","",'Calendario F'!A129)</f>
        <v/>
      </c>
      <c r="B979" s="61">
        <f>IF('Calendario F'!B129="","",'Calendario F'!B129)</f>
        <v/>
      </c>
      <c r="C979" s="62">
        <f>IF('Calendario F'!C129="","",'Calendario F'!C129)</f>
        <v/>
      </c>
      <c r="D979" s="61">
        <f>IF('Calendario F'!D129="","",'Calendario F'!D129)</f>
        <v/>
      </c>
      <c r="E979" s="62">
        <f>IF('Calendario F'!E129="","",'Calendario F'!E129)</f>
        <v/>
      </c>
      <c r="F979" s="63">
        <f>IF('Calendario F'!F129="","",'Calendario F'!F129)</f>
        <v/>
      </c>
      <c r="G979" s="9" t="n"/>
      <c r="H979" s="9" t="n"/>
      <c r="I979" s="10" t="n"/>
      <c r="J979" s="195">
        <f>IF('Calendario F'!J129="","",'Calendario F'!J129)</f>
        <v/>
      </c>
      <c r="K979" s="64" t="inlineStr">
        <is>
          <t>-</t>
        </is>
      </c>
      <c r="L979" s="195">
        <f>IF('Calendario F'!L129="","",'Calendario F'!L129)</f>
        <v/>
      </c>
      <c r="M979" s="196" t="n"/>
      <c r="N979" s="196" t="n"/>
      <c r="O979" s="196" t="n"/>
      <c r="P979" s="196" t="n"/>
      <c r="Q979" s="196" t="n"/>
      <c r="R979" s="196" t="n"/>
    </row>
    <row r="980" ht="15" customHeight="1">
      <c r="A980" s="141" t="n"/>
      <c r="B980" s="69">
        <f>IF('Calendario F'!B130="","",'Calendario F'!B130)</f>
        <v/>
      </c>
      <c r="C980" s="9" t="n"/>
      <c r="D980" s="9" t="n"/>
      <c r="E980" s="9" t="n"/>
      <c r="F980" s="9" t="n"/>
      <c r="G980" s="9" t="n"/>
      <c r="H980" s="10" t="n"/>
      <c r="I980" s="62">
        <f>IF('Calendario F'!I130="","",'Calendario F'!I130)</f>
        <v/>
      </c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</row>
    <row r="981" ht="14" customHeight="1">
      <c r="A981" s="102" t="inlineStr">
        <is>
          <t>Gara N.</t>
        </is>
      </c>
      <c r="B981" s="102" t="inlineStr">
        <is>
          <t>Squadra A</t>
        </is>
      </c>
      <c r="C981" s="10" t="n"/>
      <c r="D981" s="102" t="inlineStr">
        <is>
          <t>Squadra B</t>
        </is>
      </c>
      <c r="E981" s="10" t="n"/>
      <c r="F981" s="102" t="inlineStr">
        <is>
          <t>Giorno</t>
        </is>
      </c>
      <c r="G981" s="102" t="inlineStr">
        <is>
          <t>Data</t>
        </is>
      </c>
      <c r="H981" s="102" t="inlineStr">
        <is>
          <t>Ora</t>
        </is>
      </c>
      <c r="I981" s="10" t="n"/>
      <c r="J981" s="102" t="inlineStr">
        <is>
          <t>Risultato</t>
        </is>
      </c>
      <c r="K981" s="9" t="n"/>
      <c r="L981" s="10" t="n"/>
      <c r="M981" s="207" t="inlineStr">
        <is>
          <t>1o Arbitro</t>
        </is>
      </c>
      <c r="N981" s="207" t="inlineStr">
        <is>
          <t>2o Arbitro</t>
        </is>
      </c>
      <c r="O981" s="207" t="inlineStr">
        <is>
          <t>3o Arbitro/Tirocinante</t>
        </is>
      </c>
      <c r="P981" s="207" t="inlineStr">
        <is>
          <t>Referto</t>
        </is>
      </c>
      <c r="Q981" s="207" t="inlineStr">
        <is>
          <t>Cronometro</t>
        </is>
      </c>
      <c r="R981" s="207" t="inlineStr">
        <is>
          <t>Foglio Tiri</t>
        </is>
      </c>
    </row>
    <row r="982" ht="22" customHeight="1">
      <c r="A982" s="104">
        <f>IF('Calendario F'!A132="","",'Calendario F'!A132)</f>
        <v/>
      </c>
      <c r="B982" s="61">
        <f>IF('Calendario F'!B132="","",'Calendario F'!B132)</f>
        <v/>
      </c>
      <c r="C982" s="62">
        <f>IF('Calendario F'!C132="","",'Calendario F'!C132)</f>
        <v/>
      </c>
      <c r="D982" s="61">
        <f>IF('Calendario F'!D132="","",'Calendario F'!D132)</f>
        <v/>
      </c>
      <c r="E982" s="62">
        <f>IF('Calendario F'!E132="","",'Calendario F'!E132)</f>
        <v/>
      </c>
      <c r="F982" s="63">
        <f>IF('Calendario F'!F132="","",'Calendario F'!F132)</f>
        <v/>
      </c>
      <c r="G982" s="9" t="n"/>
      <c r="H982" s="9" t="n"/>
      <c r="I982" s="10" t="n"/>
      <c r="J982" s="195">
        <f>IF('Calendario F'!J132="","",'Calendario F'!J132)</f>
        <v/>
      </c>
      <c r="K982" s="64" t="inlineStr">
        <is>
          <t>-</t>
        </is>
      </c>
      <c r="L982" s="195">
        <f>IF('Calendario F'!L132="","",'Calendario F'!L132)</f>
        <v/>
      </c>
      <c r="M982" s="196" t="n"/>
      <c r="N982" s="196" t="n"/>
      <c r="O982" s="196" t="n"/>
      <c r="P982" s="196" t="n"/>
      <c r="Q982" s="196" t="n"/>
      <c r="R982" s="196" t="n"/>
    </row>
    <row r="983" ht="15" customHeight="1">
      <c r="A983" s="141" t="n"/>
      <c r="B983" s="69">
        <f>IF('Calendario F'!B133="","",'Calendario F'!B133)</f>
        <v/>
      </c>
      <c r="C983" s="9" t="n"/>
      <c r="D983" s="9" t="n"/>
      <c r="E983" s="9" t="n"/>
      <c r="F983" s="9" t="n"/>
      <c r="G983" s="9" t="n"/>
      <c r="H983" s="10" t="n"/>
      <c r="I983" s="62">
        <f>IF('Calendario F'!I133="","",'Calendario F'!I133)</f>
        <v/>
      </c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</row>
    <row r="984" ht="14" customHeight="1">
      <c r="A984" s="102" t="inlineStr">
        <is>
          <t>Gara N.</t>
        </is>
      </c>
      <c r="B984" s="102" t="inlineStr">
        <is>
          <t>Squadra A</t>
        </is>
      </c>
      <c r="C984" s="10" t="n"/>
      <c r="D984" s="102" t="inlineStr">
        <is>
          <t>Squadra B</t>
        </is>
      </c>
      <c r="E984" s="10" t="n"/>
      <c r="F984" s="102" t="inlineStr">
        <is>
          <t>Giorno</t>
        </is>
      </c>
      <c r="G984" s="102" t="inlineStr">
        <is>
          <t>Data</t>
        </is>
      </c>
      <c r="H984" s="102" t="inlineStr">
        <is>
          <t>Ora</t>
        </is>
      </c>
      <c r="I984" s="10" t="n"/>
      <c r="J984" s="102" t="inlineStr">
        <is>
          <t>Risultato</t>
        </is>
      </c>
      <c r="K984" s="9" t="n"/>
      <c r="L984" s="10" t="n"/>
      <c r="M984" s="207" t="inlineStr">
        <is>
          <t>1o Arbitro</t>
        </is>
      </c>
      <c r="N984" s="207" t="inlineStr">
        <is>
          <t>2o Arbitro</t>
        </is>
      </c>
      <c r="O984" s="207" t="inlineStr">
        <is>
          <t>3o Arbitro/Tirocinante</t>
        </is>
      </c>
      <c r="P984" s="207" t="inlineStr">
        <is>
          <t>Referto</t>
        </is>
      </c>
      <c r="Q984" s="207" t="inlineStr">
        <is>
          <t>Cronometro</t>
        </is>
      </c>
      <c r="R984" s="207" t="inlineStr">
        <is>
          <t>Foglio Tiri</t>
        </is>
      </c>
    </row>
    <row r="985" ht="22" customHeight="1">
      <c r="A985" s="104">
        <f>IF('Calendario F'!A135="","",'Calendario F'!A135)</f>
        <v/>
      </c>
      <c r="B985" s="61">
        <f>IF('Calendario F'!B135="","",'Calendario F'!B135)</f>
        <v/>
      </c>
      <c r="C985" s="62">
        <f>IF('Calendario F'!C135="","",'Calendario F'!C135)</f>
        <v/>
      </c>
      <c r="D985" s="61">
        <f>IF('Calendario F'!D135="","",'Calendario F'!D135)</f>
        <v/>
      </c>
      <c r="E985" s="62">
        <f>IF('Calendario F'!E135="","",'Calendario F'!E135)</f>
        <v/>
      </c>
      <c r="F985" s="63">
        <f>IF('Calendario F'!F135="","",'Calendario F'!F135)</f>
        <v/>
      </c>
      <c r="G985" s="9" t="n"/>
      <c r="H985" s="9" t="n"/>
      <c r="I985" s="10" t="n"/>
      <c r="J985" s="195">
        <f>IF('Calendario F'!J135="","",'Calendario F'!J135)</f>
        <v/>
      </c>
      <c r="K985" s="64" t="inlineStr">
        <is>
          <t>-</t>
        </is>
      </c>
      <c r="L985" s="195">
        <f>IF('Calendario F'!L135="","",'Calendario F'!L135)</f>
        <v/>
      </c>
      <c r="M985" s="196" t="n"/>
      <c r="N985" s="196" t="n"/>
      <c r="O985" s="196" t="n"/>
      <c r="P985" s="196" t="n"/>
      <c r="Q985" s="196" t="n"/>
      <c r="R985" s="196" t="n"/>
    </row>
    <row r="986" ht="15" customHeight="1">
      <c r="A986" s="141" t="n"/>
      <c r="B986" s="69">
        <f>IF('Calendario F'!B136="","",'Calendario F'!B136)</f>
        <v/>
      </c>
      <c r="C986" s="9" t="n"/>
      <c r="D986" s="9" t="n"/>
      <c r="E986" s="9" t="n"/>
      <c r="F986" s="9" t="n"/>
      <c r="G986" s="9" t="n"/>
      <c r="H986" s="10" t="n"/>
      <c r="I986" s="62">
        <f>IF('Calendario F'!I136="","",'Calendario F'!I136)</f>
        <v/>
      </c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</row>
    <row r="987" ht="14" customHeight="1">
      <c r="A987" s="102" t="inlineStr">
        <is>
          <t>Gara N.</t>
        </is>
      </c>
      <c r="B987" s="102" t="inlineStr">
        <is>
          <t>Squadra A</t>
        </is>
      </c>
      <c r="C987" s="10" t="n"/>
      <c r="D987" s="102" t="inlineStr">
        <is>
          <t>Squadra B</t>
        </is>
      </c>
      <c r="E987" s="10" t="n"/>
      <c r="F987" s="102" t="inlineStr">
        <is>
          <t>Giorno</t>
        </is>
      </c>
      <c r="G987" s="102" t="inlineStr">
        <is>
          <t>Data</t>
        </is>
      </c>
      <c r="H987" s="102" t="inlineStr">
        <is>
          <t>Ora</t>
        </is>
      </c>
      <c r="I987" s="10" t="n"/>
      <c r="J987" s="102" t="inlineStr">
        <is>
          <t>Risultato</t>
        </is>
      </c>
      <c r="K987" s="9" t="n"/>
      <c r="L987" s="10" t="n"/>
      <c r="M987" s="207" t="inlineStr">
        <is>
          <t>1o Arbitro</t>
        </is>
      </c>
      <c r="N987" s="207" t="inlineStr">
        <is>
          <t>2o Arbitro</t>
        </is>
      </c>
      <c r="O987" s="207" t="inlineStr">
        <is>
          <t>3o Arbitro/Tirocinante</t>
        </is>
      </c>
      <c r="P987" s="207" t="inlineStr">
        <is>
          <t>Referto</t>
        </is>
      </c>
      <c r="Q987" s="207" t="inlineStr">
        <is>
          <t>Cronometro</t>
        </is>
      </c>
      <c r="R987" s="207" t="inlineStr">
        <is>
          <t>Foglio Tiri</t>
        </is>
      </c>
    </row>
    <row r="988" ht="22" customHeight="1">
      <c r="A988" s="104">
        <f>IF('Calendario F'!A138="","",'Calendario F'!A138)</f>
        <v/>
      </c>
      <c r="B988" s="61">
        <f>IF('Calendario F'!B138="","",'Calendario F'!B138)</f>
        <v/>
      </c>
      <c r="C988" s="62">
        <f>IF('Calendario F'!C138="","",'Calendario F'!C138)</f>
        <v/>
      </c>
      <c r="D988" s="61">
        <f>IF('Calendario F'!D138="","",'Calendario F'!D138)</f>
        <v/>
      </c>
      <c r="E988" s="62">
        <f>IF('Calendario F'!E138="","",'Calendario F'!E138)</f>
        <v/>
      </c>
      <c r="F988" s="63">
        <f>IF('Calendario F'!F138="","",'Calendario F'!F138)</f>
        <v/>
      </c>
      <c r="G988" s="9" t="n"/>
      <c r="H988" s="9" t="n"/>
      <c r="I988" s="10" t="n"/>
      <c r="J988" s="195">
        <f>IF('Calendario F'!J138="","",'Calendario F'!J138)</f>
        <v/>
      </c>
      <c r="K988" s="64" t="inlineStr">
        <is>
          <t>-</t>
        </is>
      </c>
      <c r="L988" s="195">
        <f>IF('Calendario F'!L138="","",'Calendario F'!L138)</f>
        <v/>
      </c>
      <c r="M988" s="196" t="n"/>
      <c r="N988" s="196" t="n"/>
      <c r="O988" s="196" t="n"/>
      <c r="P988" s="196" t="n"/>
      <c r="Q988" s="196" t="n"/>
      <c r="R988" s="196" t="n"/>
    </row>
    <row r="989" ht="15" customHeight="1">
      <c r="A989" s="141" t="n"/>
      <c r="B989" s="69">
        <f>IF('Calendario F'!B139="","",'Calendario F'!B139)</f>
        <v/>
      </c>
      <c r="C989" s="9" t="n"/>
      <c r="D989" s="9" t="n"/>
      <c r="E989" s="9" t="n"/>
      <c r="F989" s="9" t="n"/>
      <c r="G989" s="9" t="n"/>
      <c r="H989" s="10" t="n"/>
      <c r="I989" s="62">
        <f>IF('Calendario F'!I139="","",'Calendario F'!I139)</f>
        <v/>
      </c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</row>
    <row r="990" ht="14" customHeight="1">
      <c r="A990" s="102" t="inlineStr">
        <is>
          <t>Gara N.</t>
        </is>
      </c>
      <c r="B990" s="102" t="inlineStr">
        <is>
          <t>Squadra A</t>
        </is>
      </c>
      <c r="C990" s="10" t="n"/>
      <c r="D990" s="102" t="inlineStr">
        <is>
          <t>Squadra B</t>
        </is>
      </c>
      <c r="E990" s="10" t="n"/>
      <c r="F990" s="102" t="inlineStr">
        <is>
          <t>Giorno</t>
        </is>
      </c>
      <c r="G990" s="102" t="inlineStr">
        <is>
          <t>Data</t>
        </is>
      </c>
      <c r="H990" s="102" t="inlineStr">
        <is>
          <t>Ora</t>
        </is>
      </c>
      <c r="I990" s="10" t="n"/>
      <c r="J990" s="102" t="inlineStr">
        <is>
          <t>Risultato</t>
        </is>
      </c>
      <c r="K990" s="9" t="n"/>
      <c r="L990" s="10" t="n"/>
      <c r="M990" s="207" t="inlineStr">
        <is>
          <t>1o Arbitro</t>
        </is>
      </c>
      <c r="N990" s="207" t="inlineStr">
        <is>
          <t>2o Arbitro</t>
        </is>
      </c>
      <c r="O990" s="207" t="inlineStr">
        <is>
          <t>3o Arbitro/Tirocinante</t>
        </is>
      </c>
      <c r="P990" s="207" t="inlineStr">
        <is>
          <t>Referto</t>
        </is>
      </c>
      <c r="Q990" s="207" t="inlineStr">
        <is>
          <t>Cronometro</t>
        </is>
      </c>
      <c r="R990" s="207" t="inlineStr">
        <is>
          <t>Foglio Tiri</t>
        </is>
      </c>
    </row>
    <row r="991" ht="22" customHeight="1">
      <c r="A991" s="104">
        <f>IF('Calendario F'!A141="","",'Calendario F'!A141)</f>
        <v/>
      </c>
      <c r="B991" s="61">
        <f>IF('Calendario F'!B141="","",'Calendario F'!B141)</f>
        <v/>
      </c>
      <c r="C991" s="62">
        <f>IF('Calendario F'!C141="","",'Calendario F'!C141)</f>
        <v/>
      </c>
      <c r="D991" s="61">
        <f>IF('Calendario F'!D141="","",'Calendario F'!D141)</f>
        <v/>
      </c>
      <c r="E991" s="62">
        <f>IF('Calendario F'!E141="","",'Calendario F'!E141)</f>
        <v/>
      </c>
      <c r="F991" s="63">
        <f>IF('Calendario F'!F141="","",'Calendario F'!F141)</f>
        <v/>
      </c>
      <c r="G991" s="9" t="n"/>
      <c r="H991" s="9" t="n"/>
      <c r="I991" s="10" t="n"/>
      <c r="J991" s="195">
        <f>IF('Calendario F'!J141="","",'Calendario F'!J141)</f>
        <v/>
      </c>
      <c r="K991" s="64" t="inlineStr">
        <is>
          <t>-</t>
        </is>
      </c>
      <c r="L991" s="195">
        <f>IF('Calendario F'!L141="","",'Calendario F'!L141)</f>
        <v/>
      </c>
      <c r="M991" s="196" t="n"/>
      <c r="N991" s="196" t="n"/>
      <c r="O991" s="196" t="n"/>
      <c r="P991" s="196" t="n"/>
      <c r="Q991" s="196" t="n"/>
      <c r="R991" s="196" t="n"/>
    </row>
    <row r="992" ht="15" customHeight="1">
      <c r="A992" s="141" t="n"/>
      <c r="B992" s="69">
        <f>IF('Calendario F'!B142="","",'Calendario F'!B142)</f>
        <v/>
      </c>
      <c r="C992" s="9" t="n"/>
      <c r="D992" s="9" t="n"/>
      <c r="E992" s="9" t="n"/>
      <c r="F992" s="9" t="n"/>
      <c r="G992" s="9" t="n"/>
      <c r="H992" s="10" t="n"/>
      <c r="I992" s="62">
        <f>IF('Calendario F'!I142="","",'Calendario F'!I142)</f>
        <v/>
      </c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</row>
    <row r="994" ht="20" customHeight="1">
      <c r="A994" s="99">
        <f>IF('Calendario F'!A144="","",'Calendario F'!A144)</f>
        <v/>
      </c>
      <c r="B994" s="100">
        <f>IF('Calendario F'!B144="","",'Calendario F'!B144)</f>
        <v/>
      </c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10" t="n"/>
      <c r="M994" s="206" t="inlineStr">
        <is>
          <t>ARBITRI</t>
        </is>
      </c>
      <c r="N994" s="9" t="n"/>
      <c r="O994" s="10" t="n"/>
      <c r="P994" s="206" t="inlineStr">
        <is>
          <t>UFFICIALI DI CAMPO</t>
        </is>
      </c>
      <c r="Q994" s="9" t="n"/>
      <c r="R994" s="10" t="n"/>
    </row>
    <row r="995" ht="14" customHeight="1">
      <c r="A995" s="102" t="inlineStr">
        <is>
          <t>Gara N.</t>
        </is>
      </c>
      <c r="B995" s="102" t="inlineStr">
        <is>
          <t>Squadra A</t>
        </is>
      </c>
      <c r="C995" s="10" t="n"/>
      <c r="D995" s="102" t="inlineStr">
        <is>
          <t>Squadra B</t>
        </is>
      </c>
      <c r="E995" s="10" t="n"/>
      <c r="F995" s="102" t="inlineStr">
        <is>
          <t>Giorno</t>
        </is>
      </c>
      <c r="G995" s="102" t="inlineStr">
        <is>
          <t>Data</t>
        </is>
      </c>
      <c r="H995" s="102" t="inlineStr">
        <is>
          <t>Ora</t>
        </is>
      </c>
      <c r="I995" s="10" t="n"/>
      <c r="J995" s="102" t="inlineStr">
        <is>
          <t>Risultato</t>
        </is>
      </c>
      <c r="K995" s="9" t="n"/>
      <c r="L995" s="10" t="n"/>
      <c r="M995" s="207" t="inlineStr">
        <is>
          <t>1o Arbitro</t>
        </is>
      </c>
      <c r="N995" s="207" t="inlineStr">
        <is>
          <t>2o Arbitro</t>
        </is>
      </c>
      <c r="O995" s="207" t="inlineStr">
        <is>
          <t>3o Arbitro/Tirocinante</t>
        </is>
      </c>
      <c r="P995" s="207" t="inlineStr">
        <is>
          <t>Referto</t>
        </is>
      </c>
      <c r="Q995" s="207" t="inlineStr">
        <is>
          <t>Cronometro</t>
        </is>
      </c>
      <c r="R995" s="207" t="inlineStr">
        <is>
          <t>Foglio Tiri</t>
        </is>
      </c>
    </row>
    <row r="996" ht="22" customHeight="1">
      <c r="A996" s="104">
        <f>IF('Calendario F'!A146="","",'Calendario F'!A146)</f>
        <v/>
      </c>
      <c r="B996" s="61">
        <f>IF('Calendario F'!B146="","",'Calendario F'!B146)</f>
        <v/>
      </c>
      <c r="C996" s="62">
        <f>IF('Calendario F'!C146="","",'Calendario F'!C146)</f>
        <v/>
      </c>
      <c r="D996" s="61">
        <f>IF('Calendario F'!D146="","",'Calendario F'!D146)</f>
        <v/>
      </c>
      <c r="E996" s="62">
        <f>IF('Calendario F'!E146="","",'Calendario F'!E146)</f>
        <v/>
      </c>
      <c r="F996" s="63">
        <f>IF('Calendario F'!F146="","",'Calendario F'!F146)</f>
        <v/>
      </c>
      <c r="G996" s="9" t="n"/>
      <c r="H996" s="9" t="n"/>
      <c r="I996" s="10" t="n"/>
      <c r="J996" s="195">
        <f>IF('Calendario F'!J146="","",'Calendario F'!J146)</f>
        <v/>
      </c>
      <c r="K996" s="64" t="inlineStr">
        <is>
          <t>-</t>
        </is>
      </c>
      <c r="L996" s="195">
        <f>IF('Calendario F'!L146="","",'Calendario F'!L146)</f>
        <v/>
      </c>
      <c r="M996" s="196" t="n"/>
      <c r="N996" s="196" t="n"/>
      <c r="O996" s="196" t="n"/>
      <c r="P996" s="196" t="n"/>
      <c r="Q996" s="196" t="n"/>
      <c r="R996" s="196" t="n"/>
    </row>
    <row r="997" ht="15" customHeight="1">
      <c r="A997" s="141" t="n"/>
      <c r="B997" s="69">
        <f>IF('Calendario F'!B147="","",'Calendario F'!B147)</f>
        <v/>
      </c>
      <c r="C997" s="9" t="n"/>
      <c r="D997" s="9" t="n"/>
      <c r="E997" s="9" t="n"/>
      <c r="F997" s="9" t="n"/>
      <c r="G997" s="9" t="n"/>
      <c r="H997" s="10" t="n"/>
      <c r="I997" s="62">
        <f>IF('Calendario F'!I147="","",'Calendario F'!I147)</f>
        <v/>
      </c>
      <c r="J997" s="141" t="n"/>
      <c r="K997" s="141" t="n"/>
      <c r="L997" s="141" t="n"/>
      <c r="M997" s="141" t="n"/>
      <c r="N997" s="141" t="n"/>
      <c r="O997" s="141" t="n"/>
      <c r="P997" s="141" t="n"/>
      <c r="Q997" s="141" t="n"/>
      <c r="R997" s="141" t="n"/>
    </row>
    <row r="998" ht="14" customHeight="1">
      <c r="A998" s="102" t="inlineStr">
        <is>
          <t>Gara N.</t>
        </is>
      </c>
      <c r="B998" s="102" t="inlineStr">
        <is>
          <t>Squadra A</t>
        </is>
      </c>
      <c r="C998" s="10" t="n"/>
      <c r="D998" s="102" t="inlineStr">
        <is>
          <t>Squadra B</t>
        </is>
      </c>
      <c r="E998" s="10" t="n"/>
      <c r="F998" s="102" t="inlineStr">
        <is>
          <t>Giorno</t>
        </is>
      </c>
      <c r="G998" s="102" t="inlineStr">
        <is>
          <t>Data</t>
        </is>
      </c>
      <c r="H998" s="102" t="inlineStr">
        <is>
          <t>Ora</t>
        </is>
      </c>
      <c r="I998" s="10" t="n"/>
      <c r="J998" s="102" t="inlineStr">
        <is>
          <t>Risultato</t>
        </is>
      </c>
      <c r="K998" s="9" t="n"/>
      <c r="L998" s="10" t="n"/>
      <c r="M998" s="207" t="inlineStr">
        <is>
          <t>1o Arbitro</t>
        </is>
      </c>
      <c r="N998" s="207" t="inlineStr">
        <is>
          <t>2o Arbitro</t>
        </is>
      </c>
      <c r="O998" s="207" t="inlineStr">
        <is>
          <t>3o Arbitro/Tirocinante</t>
        </is>
      </c>
      <c r="P998" s="207" t="inlineStr">
        <is>
          <t>Referto</t>
        </is>
      </c>
      <c r="Q998" s="207" t="inlineStr">
        <is>
          <t>Cronometro</t>
        </is>
      </c>
      <c r="R998" s="207" t="inlineStr">
        <is>
          <t>Foglio Tiri</t>
        </is>
      </c>
    </row>
    <row r="999" ht="22" customHeight="1">
      <c r="A999" s="104">
        <f>IF('Calendario F'!A149="","",'Calendario F'!A149)</f>
        <v/>
      </c>
      <c r="B999" s="61">
        <f>IF('Calendario F'!B149="","",'Calendario F'!B149)</f>
        <v/>
      </c>
      <c r="C999" s="62">
        <f>IF('Calendario F'!C149="","",'Calendario F'!C149)</f>
        <v/>
      </c>
      <c r="D999" s="61">
        <f>IF('Calendario F'!D149="","",'Calendario F'!D149)</f>
        <v/>
      </c>
      <c r="E999" s="62">
        <f>IF('Calendario F'!E149="","",'Calendario F'!E149)</f>
        <v/>
      </c>
      <c r="F999" s="63">
        <f>IF('Calendario F'!F149="","",'Calendario F'!F149)</f>
        <v/>
      </c>
      <c r="G999" s="9" t="n"/>
      <c r="H999" s="9" t="n"/>
      <c r="I999" s="10" t="n"/>
      <c r="J999" s="195">
        <f>IF('Calendario F'!J149="","",'Calendario F'!J149)</f>
        <v/>
      </c>
      <c r="K999" s="64" t="inlineStr">
        <is>
          <t>-</t>
        </is>
      </c>
      <c r="L999" s="195">
        <f>IF('Calendario F'!L149="","",'Calendario F'!L149)</f>
        <v/>
      </c>
      <c r="M999" s="196" t="n"/>
      <c r="N999" s="196" t="n"/>
      <c r="O999" s="196" t="n"/>
      <c r="P999" s="196" t="n"/>
      <c r="Q999" s="196" t="n"/>
      <c r="R999" s="196" t="n"/>
    </row>
    <row r="1000" ht="15" customHeight="1">
      <c r="A1000" s="141" t="n"/>
      <c r="B1000" s="69">
        <f>IF('Calendario F'!B150="","",'Calendario F'!B150)</f>
        <v/>
      </c>
      <c r="C1000" s="9" t="n"/>
      <c r="D1000" s="9" t="n"/>
      <c r="E1000" s="9" t="n"/>
      <c r="F1000" s="9" t="n"/>
      <c r="G1000" s="9" t="n"/>
      <c r="H1000" s="10" t="n"/>
      <c r="I1000" s="62">
        <f>IF('Calendario F'!I150="","",'Calendario F'!I150)</f>
        <v/>
      </c>
      <c r="J1000" s="141" t="n"/>
      <c r="K1000" s="141" t="n"/>
      <c r="L1000" s="141" t="n"/>
      <c r="M1000" s="141" t="n"/>
      <c r="N1000" s="141" t="n"/>
      <c r="O1000" s="141" t="n"/>
      <c r="P1000" s="141" t="n"/>
      <c r="Q1000" s="141" t="n"/>
      <c r="R1000" s="141" t="n"/>
    </row>
    <row r="1001" ht="14" customHeight="1">
      <c r="A1001" s="102" t="inlineStr">
        <is>
          <t>Gara N.</t>
        </is>
      </c>
      <c r="B1001" s="102" t="inlineStr">
        <is>
          <t>Squadra A</t>
        </is>
      </c>
      <c r="C1001" s="10" t="n"/>
      <c r="D1001" s="102" t="inlineStr">
        <is>
          <t>Squadra B</t>
        </is>
      </c>
      <c r="E1001" s="10" t="n"/>
      <c r="F1001" s="102" t="inlineStr">
        <is>
          <t>Giorno</t>
        </is>
      </c>
      <c r="G1001" s="102" t="inlineStr">
        <is>
          <t>Data</t>
        </is>
      </c>
      <c r="H1001" s="102" t="inlineStr">
        <is>
          <t>Ora</t>
        </is>
      </c>
      <c r="I1001" s="10" t="n"/>
      <c r="J1001" s="102" t="inlineStr">
        <is>
          <t>Risultato</t>
        </is>
      </c>
      <c r="K1001" s="9" t="n"/>
      <c r="L1001" s="10" t="n"/>
      <c r="M1001" s="207" t="inlineStr">
        <is>
          <t>1o Arbitro</t>
        </is>
      </c>
      <c r="N1001" s="207" t="inlineStr">
        <is>
          <t>2o Arbitro</t>
        </is>
      </c>
      <c r="O1001" s="207" t="inlineStr">
        <is>
          <t>3o Arbitro/Tirocinante</t>
        </is>
      </c>
      <c r="P1001" s="207" t="inlineStr">
        <is>
          <t>Referto</t>
        </is>
      </c>
      <c r="Q1001" s="207" t="inlineStr">
        <is>
          <t>Cronometro</t>
        </is>
      </c>
      <c r="R1001" s="207" t="inlineStr">
        <is>
          <t>Foglio Tiri</t>
        </is>
      </c>
    </row>
    <row r="1002" ht="22" customHeight="1">
      <c r="A1002" s="104">
        <f>IF('Calendario F'!A152="","",'Calendario F'!A152)</f>
        <v/>
      </c>
      <c r="B1002" s="61">
        <f>IF('Calendario F'!B152="","",'Calendario F'!B152)</f>
        <v/>
      </c>
      <c r="C1002" s="62">
        <f>IF('Calendario F'!C152="","",'Calendario F'!C152)</f>
        <v/>
      </c>
      <c r="D1002" s="61">
        <f>IF('Calendario F'!D152="","",'Calendario F'!D152)</f>
        <v/>
      </c>
      <c r="E1002" s="62">
        <f>IF('Calendario F'!E152="","",'Calendario F'!E152)</f>
        <v/>
      </c>
      <c r="F1002" s="63">
        <f>IF('Calendario F'!F152="","",'Calendario F'!F152)</f>
        <v/>
      </c>
      <c r="G1002" s="9" t="n"/>
      <c r="H1002" s="9" t="n"/>
      <c r="I1002" s="10" t="n"/>
      <c r="J1002" s="195">
        <f>IF('Calendario F'!J152="","",'Calendario F'!J152)</f>
        <v/>
      </c>
      <c r="K1002" s="64" t="inlineStr">
        <is>
          <t>-</t>
        </is>
      </c>
      <c r="L1002" s="195">
        <f>IF('Calendario F'!L152="","",'Calendario F'!L152)</f>
        <v/>
      </c>
      <c r="M1002" s="196" t="n"/>
      <c r="N1002" s="196" t="n"/>
      <c r="O1002" s="196" t="n"/>
      <c r="P1002" s="196" t="n"/>
      <c r="Q1002" s="196" t="n"/>
      <c r="R1002" s="196" t="n"/>
    </row>
    <row r="1003" ht="15" customHeight="1">
      <c r="A1003" s="141" t="n"/>
      <c r="B1003" s="69">
        <f>IF('Calendario F'!B153="","",'Calendario F'!B153)</f>
        <v/>
      </c>
      <c r="C1003" s="9" t="n"/>
      <c r="D1003" s="9" t="n"/>
      <c r="E1003" s="9" t="n"/>
      <c r="F1003" s="9" t="n"/>
      <c r="G1003" s="9" t="n"/>
      <c r="H1003" s="10" t="n"/>
      <c r="I1003" s="62">
        <f>IF('Calendario F'!I153="","",'Calendario F'!I153)</f>
        <v/>
      </c>
      <c r="J1003" s="141" t="n"/>
      <c r="K1003" s="141" t="n"/>
      <c r="L1003" s="141" t="n"/>
      <c r="M1003" s="141" t="n"/>
      <c r="N1003" s="141" t="n"/>
      <c r="O1003" s="141" t="n"/>
      <c r="P1003" s="141" t="n"/>
      <c r="Q1003" s="141" t="n"/>
      <c r="R1003" s="141" t="n"/>
    </row>
    <row r="1004" ht="14" customHeight="1">
      <c r="A1004" s="102" t="inlineStr">
        <is>
          <t>Gara N.</t>
        </is>
      </c>
      <c r="B1004" s="102" t="inlineStr">
        <is>
          <t>Squadra A</t>
        </is>
      </c>
      <c r="C1004" s="10" t="n"/>
      <c r="D1004" s="102" t="inlineStr">
        <is>
          <t>Squadra B</t>
        </is>
      </c>
      <c r="E1004" s="10" t="n"/>
      <c r="F1004" s="102" t="inlineStr">
        <is>
          <t>Giorno</t>
        </is>
      </c>
      <c r="G1004" s="102" t="inlineStr">
        <is>
          <t>Data</t>
        </is>
      </c>
      <c r="H1004" s="102" t="inlineStr">
        <is>
          <t>Ora</t>
        </is>
      </c>
      <c r="I1004" s="10" t="n"/>
      <c r="J1004" s="102" t="inlineStr">
        <is>
          <t>Risultato</t>
        </is>
      </c>
      <c r="K1004" s="9" t="n"/>
      <c r="L1004" s="10" t="n"/>
      <c r="M1004" s="207" t="inlineStr">
        <is>
          <t>1o Arbitro</t>
        </is>
      </c>
      <c r="N1004" s="207" t="inlineStr">
        <is>
          <t>2o Arbitro</t>
        </is>
      </c>
      <c r="O1004" s="207" t="inlineStr">
        <is>
          <t>3o Arbitro/Tirocinante</t>
        </is>
      </c>
      <c r="P1004" s="207" t="inlineStr">
        <is>
          <t>Referto</t>
        </is>
      </c>
      <c r="Q1004" s="207" t="inlineStr">
        <is>
          <t>Cronometro</t>
        </is>
      </c>
      <c r="R1004" s="207" t="inlineStr">
        <is>
          <t>Foglio Tiri</t>
        </is>
      </c>
    </row>
    <row r="1005" ht="22" customHeight="1">
      <c r="A1005" s="104">
        <f>IF('Calendario F'!A155="","",'Calendario F'!A155)</f>
        <v/>
      </c>
      <c r="B1005" s="61">
        <f>IF('Calendario F'!B155="","",'Calendario F'!B155)</f>
        <v/>
      </c>
      <c r="C1005" s="62">
        <f>IF('Calendario F'!C155="","",'Calendario F'!C155)</f>
        <v/>
      </c>
      <c r="D1005" s="61">
        <f>IF('Calendario F'!D155="","",'Calendario F'!D155)</f>
        <v/>
      </c>
      <c r="E1005" s="62">
        <f>IF('Calendario F'!E155="","",'Calendario F'!E155)</f>
        <v/>
      </c>
      <c r="F1005" s="63">
        <f>IF('Calendario F'!F155="","",'Calendario F'!F155)</f>
        <v/>
      </c>
      <c r="G1005" s="9" t="n"/>
      <c r="H1005" s="9" t="n"/>
      <c r="I1005" s="10" t="n"/>
      <c r="J1005" s="195">
        <f>IF('Calendario F'!J155="","",'Calendario F'!J155)</f>
        <v/>
      </c>
      <c r="K1005" s="64" t="inlineStr">
        <is>
          <t>-</t>
        </is>
      </c>
      <c r="L1005" s="195">
        <f>IF('Calendario F'!L155="","",'Calendario F'!L155)</f>
        <v/>
      </c>
      <c r="M1005" s="196" t="n"/>
      <c r="N1005" s="196" t="n"/>
      <c r="O1005" s="196" t="n"/>
      <c r="P1005" s="196" t="n"/>
      <c r="Q1005" s="196" t="n"/>
      <c r="R1005" s="196" t="n"/>
    </row>
    <row r="1006" ht="15" customHeight="1">
      <c r="A1006" s="141" t="n"/>
      <c r="B1006" s="69">
        <f>IF('Calendario F'!B156="","",'Calendario F'!B156)</f>
        <v/>
      </c>
      <c r="C1006" s="9" t="n"/>
      <c r="D1006" s="9" t="n"/>
      <c r="E1006" s="9" t="n"/>
      <c r="F1006" s="9" t="n"/>
      <c r="G1006" s="9" t="n"/>
      <c r="H1006" s="10" t="n"/>
      <c r="I1006" s="62">
        <f>IF('Calendario F'!I156="","",'Calendario F'!I156)</f>
        <v/>
      </c>
      <c r="J1006" s="141" t="n"/>
      <c r="K1006" s="141" t="n"/>
      <c r="L1006" s="141" t="n"/>
      <c r="M1006" s="141" t="n"/>
      <c r="N1006" s="141" t="n"/>
      <c r="O1006" s="141" t="n"/>
      <c r="P1006" s="141" t="n"/>
      <c r="Q1006" s="141" t="n"/>
      <c r="R1006" s="141" t="n"/>
    </row>
    <row r="1007" ht="14" customHeight="1">
      <c r="A1007" s="102" t="inlineStr">
        <is>
          <t>Gara N.</t>
        </is>
      </c>
      <c r="B1007" s="102" t="inlineStr">
        <is>
          <t>Squadra A</t>
        </is>
      </c>
      <c r="C1007" s="10" t="n"/>
      <c r="D1007" s="102" t="inlineStr">
        <is>
          <t>Squadra B</t>
        </is>
      </c>
      <c r="E1007" s="10" t="n"/>
      <c r="F1007" s="102" t="inlineStr">
        <is>
          <t>Giorno</t>
        </is>
      </c>
      <c r="G1007" s="102" t="inlineStr">
        <is>
          <t>Data</t>
        </is>
      </c>
      <c r="H1007" s="102" t="inlineStr">
        <is>
          <t>Ora</t>
        </is>
      </c>
      <c r="I1007" s="10" t="n"/>
      <c r="J1007" s="102" t="inlineStr">
        <is>
          <t>Risultato</t>
        </is>
      </c>
      <c r="K1007" s="9" t="n"/>
      <c r="L1007" s="10" t="n"/>
      <c r="M1007" s="207" t="inlineStr">
        <is>
          <t>1o Arbitro</t>
        </is>
      </c>
      <c r="N1007" s="207" t="inlineStr">
        <is>
          <t>2o Arbitro</t>
        </is>
      </c>
      <c r="O1007" s="207" t="inlineStr">
        <is>
          <t>3o Arbitro/Tirocinante</t>
        </is>
      </c>
      <c r="P1007" s="207" t="inlineStr">
        <is>
          <t>Referto</t>
        </is>
      </c>
      <c r="Q1007" s="207" t="inlineStr">
        <is>
          <t>Cronometro</t>
        </is>
      </c>
      <c r="R1007" s="207" t="inlineStr">
        <is>
          <t>Foglio Tiri</t>
        </is>
      </c>
    </row>
    <row r="1008" ht="22" customHeight="1">
      <c r="A1008" s="104">
        <f>IF('Calendario F'!A158="","",'Calendario F'!A158)</f>
        <v/>
      </c>
      <c r="B1008" s="61">
        <f>IF('Calendario F'!B158="","",'Calendario F'!B158)</f>
        <v/>
      </c>
      <c r="C1008" s="62">
        <f>IF('Calendario F'!C158="","",'Calendario F'!C158)</f>
        <v/>
      </c>
      <c r="D1008" s="61">
        <f>IF('Calendario F'!D158="","",'Calendario F'!D158)</f>
        <v/>
      </c>
      <c r="E1008" s="62">
        <f>IF('Calendario F'!E158="","",'Calendario F'!E158)</f>
        <v/>
      </c>
      <c r="F1008" s="63">
        <f>IF('Calendario F'!F158="","",'Calendario F'!F158)</f>
        <v/>
      </c>
      <c r="G1008" s="9" t="n"/>
      <c r="H1008" s="9" t="n"/>
      <c r="I1008" s="10" t="n"/>
      <c r="J1008" s="195">
        <f>IF('Calendario F'!J158="","",'Calendario F'!J158)</f>
        <v/>
      </c>
      <c r="K1008" s="64" t="inlineStr">
        <is>
          <t>-</t>
        </is>
      </c>
      <c r="L1008" s="195">
        <f>IF('Calendario F'!L158="","",'Calendario F'!L158)</f>
        <v/>
      </c>
      <c r="M1008" s="196" t="n"/>
      <c r="N1008" s="196" t="n"/>
      <c r="O1008" s="196" t="n"/>
      <c r="P1008" s="196" t="n"/>
      <c r="Q1008" s="196" t="n"/>
      <c r="R1008" s="196" t="n"/>
    </row>
    <row r="1009" ht="15" customHeight="1">
      <c r="A1009" s="141" t="n"/>
      <c r="B1009" s="69">
        <f>IF('Calendario F'!B159="","",'Calendario F'!B159)</f>
        <v/>
      </c>
      <c r="C1009" s="9" t="n"/>
      <c r="D1009" s="9" t="n"/>
      <c r="E1009" s="9" t="n"/>
      <c r="F1009" s="9" t="n"/>
      <c r="G1009" s="9" t="n"/>
      <c r="H1009" s="10" t="n"/>
      <c r="I1009" s="62">
        <f>IF('Calendario F'!I159="","",'Calendario F'!I159)</f>
        <v/>
      </c>
      <c r="J1009" s="141" t="n"/>
      <c r="K1009" s="141" t="n"/>
      <c r="L1009" s="141" t="n"/>
      <c r="M1009" s="141" t="n"/>
      <c r="N1009" s="141" t="n"/>
      <c r="O1009" s="141" t="n"/>
      <c r="P1009" s="141" t="n"/>
      <c r="Q1009" s="141" t="n"/>
      <c r="R1009" s="141" t="n"/>
    </row>
    <row r="1028" ht="20" customHeight="1">
      <c r="A1028" s="106">
        <f>IF('Calendario G'!A8="","",'Calendario G'!A8)</f>
        <v/>
      </c>
      <c r="B1028" s="107">
        <f>IF('Calendario G'!B8="","",'Calendario G'!B8)</f>
        <v/>
      </c>
      <c r="C1028" s="9" t="n"/>
      <c r="D1028" s="9" t="n"/>
      <c r="E1028" s="9" t="n"/>
      <c r="F1028" s="9" t="n"/>
      <c r="G1028" s="9" t="n"/>
      <c r="H1028" s="9" t="n"/>
      <c r="I1028" s="9" t="n"/>
      <c r="J1028" s="9" t="n"/>
      <c r="K1028" s="9" t="n"/>
      <c r="L1028" s="10" t="n"/>
      <c r="M1028" s="208" t="inlineStr">
        <is>
          <t>ARBITRI</t>
        </is>
      </c>
      <c r="N1028" s="9" t="n"/>
      <c r="O1028" s="10" t="n"/>
      <c r="P1028" s="208" t="inlineStr">
        <is>
          <t>UFFICIALI DI CAMPO</t>
        </is>
      </c>
      <c r="Q1028" s="9" t="n"/>
      <c r="R1028" s="10" t="n"/>
    </row>
    <row r="1029" ht="14" customHeight="1">
      <c r="A1029" s="109" t="inlineStr">
        <is>
          <t>Gara N.</t>
        </is>
      </c>
      <c r="B1029" s="109" t="inlineStr">
        <is>
          <t>Squadra A</t>
        </is>
      </c>
      <c r="C1029" s="10" t="n"/>
      <c r="D1029" s="109" t="inlineStr">
        <is>
          <t>Squadra B</t>
        </is>
      </c>
      <c r="E1029" s="10" t="n"/>
      <c r="F1029" s="109" t="inlineStr">
        <is>
          <t>Giorno</t>
        </is>
      </c>
      <c r="G1029" s="109" t="inlineStr">
        <is>
          <t>Data</t>
        </is>
      </c>
      <c r="H1029" s="109" t="inlineStr">
        <is>
          <t>Ora</t>
        </is>
      </c>
      <c r="I1029" s="10" t="n"/>
      <c r="J1029" s="109" t="inlineStr">
        <is>
          <t>Risultato</t>
        </is>
      </c>
      <c r="K1029" s="9" t="n"/>
      <c r="L1029" s="10" t="n"/>
      <c r="M1029" s="209" t="inlineStr">
        <is>
          <t>1o Arbitro</t>
        </is>
      </c>
      <c r="N1029" s="209" t="inlineStr">
        <is>
          <t>2o Arbitro</t>
        </is>
      </c>
      <c r="O1029" s="209" t="inlineStr">
        <is>
          <t>3o Arbitro/Tirocinante</t>
        </is>
      </c>
      <c r="P1029" s="209" t="inlineStr">
        <is>
          <t>Referto</t>
        </is>
      </c>
      <c r="Q1029" s="209" t="inlineStr">
        <is>
          <t>Cronometro</t>
        </is>
      </c>
      <c r="R1029" s="209" t="inlineStr">
        <is>
          <t>Foglio Tiri</t>
        </is>
      </c>
    </row>
    <row r="1030" ht="22" customHeight="1">
      <c r="A1030" s="111">
        <f>IF('Calendario G'!A10="","",'Calendario G'!A10)</f>
        <v/>
      </c>
      <c r="B1030" s="61">
        <f>IF('Calendario G'!B10="","",'Calendario G'!B10)</f>
        <v/>
      </c>
      <c r="C1030" s="62">
        <f>IF('Calendario G'!C10="","",'Calendario G'!C10)</f>
        <v/>
      </c>
      <c r="D1030" s="61">
        <f>IF('Calendario G'!D10="","",'Calendario G'!D10)</f>
        <v/>
      </c>
      <c r="E1030" s="62">
        <f>IF('Calendario G'!E10="","",'Calendario G'!E10)</f>
        <v/>
      </c>
      <c r="F1030" s="63">
        <f>IF('Calendario G'!F10="","",'Calendario G'!F10)</f>
        <v/>
      </c>
      <c r="G1030" s="9" t="n"/>
      <c r="H1030" s="9" t="n"/>
      <c r="I1030" s="10" t="n"/>
      <c r="J1030" s="195">
        <f>IF('Calendario G'!J10="","",'Calendario G'!J10)</f>
        <v/>
      </c>
      <c r="K1030" s="64" t="inlineStr">
        <is>
          <t>-</t>
        </is>
      </c>
      <c r="L1030" s="195">
        <f>IF('Calendario G'!L10="","",'Calendario G'!L10)</f>
        <v/>
      </c>
      <c r="M1030" s="196" t="n"/>
      <c r="N1030" s="196" t="n"/>
      <c r="O1030" s="196" t="n"/>
      <c r="P1030" s="196" t="n"/>
      <c r="Q1030" s="196" t="n"/>
      <c r="R1030" s="196" t="n"/>
    </row>
    <row r="1031" ht="15" customHeight="1">
      <c r="A1031" s="141" t="n"/>
      <c r="B1031" s="69">
        <f>IF('Calendario G'!B11="","",'Calendario G'!B11)</f>
        <v/>
      </c>
      <c r="C1031" s="9" t="n"/>
      <c r="D1031" s="9" t="n"/>
      <c r="E1031" s="9" t="n"/>
      <c r="F1031" s="9" t="n"/>
      <c r="G1031" s="9" t="n"/>
      <c r="H1031" s="10" t="n"/>
      <c r="I1031" s="62">
        <f>IF('Calendario G'!I11="","",'Calendario G'!I11)</f>
        <v/>
      </c>
      <c r="J1031" s="141" t="n"/>
      <c r="K1031" s="141" t="n"/>
      <c r="L1031" s="141" t="n"/>
      <c r="M1031" s="141" t="n"/>
      <c r="N1031" s="141" t="n"/>
      <c r="O1031" s="141" t="n"/>
      <c r="P1031" s="141" t="n"/>
      <c r="Q1031" s="141" t="n"/>
      <c r="R1031" s="141" t="n"/>
    </row>
    <row r="1032" ht="14" customHeight="1">
      <c r="A1032" s="109" t="inlineStr">
        <is>
          <t>Gara N.</t>
        </is>
      </c>
      <c r="B1032" s="109" t="inlineStr">
        <is>
          <t>Squadra A</t>
        </is>
      </c>
      <c r="C1032" s="10" t="n"/>
      <c r="D1032" s="109" t="inlineStr">
        <is>
          <t>Squadra B</t>
        </is>
      </c>
      <c r="E1032" s="10" t="n"/>
      <c r="F1032" s="109" t="inlineStr">
        <is>
          <t>Giorno</t>
        </is>
      </c>
      <c r="G1032" s="109" t="inlineStr">
        <is>
          <t>Data</t>
        </is>
      </c>
      <c r="H1032" s="109" t="inlineStr">
        <is>
          <t>Ora</t>
        </is>
      </c>
      <c r="I1032" s="10" t="n"/>
      <c r="J1032" s="109" t="inlineStr">
        <is>
          <t>Risultato</t>
        </is>
      </c>
      <c r="K1032" s="9" t="n"/>
      <c r="L1032" s="10" t="n"/>
      <c r="M1032" s="209" t="inlineStr">
        <is>
          <t>1o Arbitro</t>
        </is>
      </c>
      <c r="N1032" s="209" t="inlineStr">
        <is>
          <t>2o Arbitro</t>
        </is>
      </c>
      <c r="O1032" s="209" t="inlineStr">
        <is>
          <t>3o Arbitro/Tirocinante</t>
        </is>
      </c>
      <c r="P1032" s="209" t="inlineStr">
        <is>
          <t>Referto</t>
        </is>
      </c>
      <c r="Q1032" s="209" t="inlineStr">
        <is>
          <t>Cronometro</t>
        </is>
      </c>
      <c r="R1032" s="209" t="inlineStr">
        <is>
          <t>Foglio Tiri</t>
        </is>
      </c>
    </row>
    <row r="1033" ht="22" customHeight="1">
      <c r="A1033" s="111">
        <f>IF('Calendario G'!A13="","",'Calendario G'!A13)</f>
        <v/>
      </c>
      <c r="B1033" s="61">
        <f>IF('Calendario G'!B13="","",'Calendario G'!B13)</f>
        <v/>
      </c>
      <c r="C1033" s="62">
        <f>IF('Calendario G'!C13="","",'Calendario G'!C13)</f>
        <v/>
      </c>
      <c r="D1033" s="61">
        <f>IF('Calendario G'!D13="","",'Calendario G'!D13)</f>
        <v/>
      </c>
      <c r="E1033" s="62">
        <f>IF('Calendario G'!E13="","",'Calendario G'!E13)</f>
        <v/>
      </c>
      <c r="F1033" s="63">
        <f>IF('Calendario G'!F13="","",'Calendario G'!F13)</f>
        <v/>
      </c>
      <c r="G1033" s="9" t="n"/>
      <c r="H1033" s="9" t="n"/>
      <c r="I1033" s="10" t="n"/>
      <c r="J1033" s="195">
        <f>IF('Calendario G'!J13="","",'Calendario G'!J13)</f>
        <v/>
      </c>
      <c r="K1033" s="64" t="inlineStr">
        <is>
          <t>-</t>
        </is>
      </c>
      <c r="L1033" s="195">
        <f>IF('Calendario G'!L13="","",'Calendario G'!L13)</f>
        <v/>
      </c>
      <c r="M1033" s="196" t="n"/>
      <c r="N1033" s="196" t="n"/>
      <c r="O1033" s="196" t="n"/>
      <c r="P1033" s="196" t="n"/>
      <c r="Q1033" s="196" t="n"/>
      <c r="R1033" s="196" t="n"/>
    </row>
    <row r="1034" ht="15" customHeight="1">
      <c r="A1034" s="141" t="n"/>
      <c r="B1034" s="69">
        <f>IF('Calendario G'!B14="","",'Calendario G'!B14)</f>
        <v/>
      </c>
      <c r="C1034" s="9" t="n"/>
      <c r="D1034" s="9" t="n"/>
      <c r="E1034" s="9" t="n"/>
      <c r="F1034" s="9" t="n"/>
      <c r="G1034" s="9" t="n"/>
      <c r="H1034" s="10" t="n"/>
      <c r="I1034" s="62">
        <f>IF('Calendario G'!I14="","",'Calendario G'!I14)</f>
        <v/>
      </c>
      <c r="J1034" s="141" t="n"/>
      <c r="K1034" s="141" t="n"/>
      <c r="L1034" s="141" t="n"/>
      <c r="M1034" s="141" t="n"/>
      <c r="N1034" s="141" t="n"/>
      <c r="O1034" s="141" t="n"/>
      <c r="P1034" s="141" t="n"/>
      <c r="Q1034" s="141" t="n"/>
      <c r="R1034" s="141" t="n"/>
    </row>
    <row r="1035" ht="14" customHeight="1">
      <c r="A1035" s="109" t="inlineStr">
        <is>
          <t>Gara N.</t>
        </is>
      </c>
      <c r="B1035" s="109" t="inlineStr">
        <is>
          <t>Squadra A</t>
        </is>
      </c>
      <c r="C1035" s="10" t="n"/>
      <c r="D1035" s="109" t="inlineStr">
        <is>
          <t>Squadra B</t>
        </is>
      </c>
      <c r="E1035" s="10" t="n"/>
      <c r="F1035" s="109" t="inlineStr">
        <is>
          <t>Giorno</t>
        </is>
      </c>
      <c r="G1035" s="109" t="inlineStr">
        <is>
          <t>Data</t>
        </is>
      </c>
      <c r="H1035" s="109" t="inlineStr">
        <is>
          <t>Ora</t>
        </is>
      </c>
      <c r="I1035" s="10" t="n"/>
      <c r="J1035" s="109" t="inlineStr">
        <is>
          <t>Risultato</t>
        </is>
      </c>
      <c r="K1035" s="9" t="n"/>
      <c r="L1035" s="10" t="n"/>
      <c r="M1035" s="209" t="inlineStr">
        <is>
          <t>1o Arbitro</t>
        </is>
      </c>
      <c r="N1035" s="209" t="inlineStr">
        <is>
          <t>2o Arbitro</t>
        </is>
      </c>
      <c r="O1035" s="209" t="inlineStr">
        <is>
          <t>3o Arbitro/Tirocinante</t>
        </is>
      </c>
      <c r="P1035" s="209" t="inlineStr">
        <is>
          <t>Referto</t>
        </is>
      </c>
      <c r="Q1035" s="209" t="inlineStr">
        <is>
          <t>Cronometro</t>
        </is>
      </c>
      <c r="R1035" s="209" t="inlineStr">
        <is>
          <t>Foglio Tiri</t>
        </is>
      </c>
    </row>
    <row r="1036" ht="22" customHeight="1">
      <c r="A1036" s="111">
        <f>IF('Calendario G'!A16="","",'Calendario G'!A16)</f>
        <v/>
      </c>
      <c r="B1036" s="61">
        <f>IF('Calendario G'!B16="","",'Calendario G'!B16)</f>
        <v/>
      </c>
      <c r="C1036" s="62">
        <f>IF('Calendario G'!C16="","",'Calendario G'!C16)</f>
        <v/>
      </c>
      <c r="D1036" s="61">
        <f>IF('Calendario G'!D16="","",'Calendario G'!D16)</f>
        <v/>
      </c>
      <c r="E1036" s="62">
        <f>IF('Calendario G'!E16="","",'Calendario G'!E16)</f>
        <v/>
      </c>
      <c r="F1036" s="63">
        <f>IF('Calendario G'!F16="","",'Calendario G'!F16)</f>
        <v/>
      </c>
      <c r="G1036" s="9" t="n"/>
      <c r="H1036" s="9" t="n"/>
      <c r="I1036" s="10" t="n"/>
      <c r="J1036" s="195">
        <f>IF('Calendario G'!J16="","",'Calendario G'!J16)</f>
        <v/>
      </c>
      <c r="K1036" s="64" t="inlineStr">
        <is>
          <t>-</t>
        </is>
      </c>
      <c r="L1036" s="195">
        <f>IF('Calendario G'!L16="","",'Calendario G'!L16)</f>
        <v/>
      </c>
      <c r="M1036" s="196" t="n"/>
      <c r="N1036" s="196" t="n"/>
      <c r="O1036" s="196" t="n"/>
      <c r="P1036" s="196" t="n"/>
      <c r="Q1036" s="196" t="n"/>
      <c r="R1036" s="196" t="n"/>
    </row>
    <row r="1037" ht="15" customHeight="1">
      <c r="A1037" s="141" t="n"/>
      <c r="B1037" s="69">
        <f>IF('Calendario G'!B17="","",'Calendario G'!B17)</f>
        <v/>
      </c>
      <c r="C1037" s="9" t="n"/>
      <c r="D1037" s="9" t="n"/>
      <c r="E1037" s="9" t="n"/>
      <c r="F1037" s="9" t="n"/>
      <c r="G1037" s="9" t="n"/>
      <c r="H1037" s="10" t="n"/>
      <c r="I1037" s="62">
        <f>IF('Calendario G'!I17="","",'Calendario G'!I17)</f>
        <v/>
      </c>
      <c r="J1037" s="141" t="n"/>
      <c r="K1037" s="141" t="n"/>
      <c r="L1037" s="141" t="n"/>
      <c r="M1037" s="141" t="n"/>
      <c r="N1037" s="141" t="n"/>
      <c r="O1037" s="141" t="n"/>
      <c r="P1037" s="141" t="n"/>
      <c r="Q1037" s="141" t="n"/>
      <c r="R1037" s="141" t="n"/>
    </row>
    <row r="1038" ht="14" customHeight="1">
      <c r="A1038" s="109" t="inlineStr">
        <is>
          <t>Gara N.</t>
        </is>
      </c>
      <c r="B1038" s="109" t="inlineStr">
        <is>
          <t>Squadra A</t>
        </is>
      </c>
      <c r="C1038" s="10" t="n"/>
      <c r="D1038" s="109" t="inlineStr">
        <is>
          <t>Squadra B</t>
        </is>
      </c>
      <c r="E1038" s="10" t="n"/>
      <c r="F1038" s="109" t="inlineStr">
        <is>
          <t>Giorno</t>
        </is>
      </c>
      <c r="G1038" s="109" t="inlineStr">
        <is>
          <t>Data</t>
        </is>
      </c>
      <c r="H1038" s="109" t="inlineStr">
        <is>
          <t>Ora</t>
        </is>
      </c>
      <c r="I1038" s="10" t="n"/>
      <c r="J1038" s="109" t="inlineStr">
        <is>
          <t>Risultato</t>
        </is>
      </c>
      <c r="K1038" s="9" t="n"/>
      <c r="L1038" s="10" t="n"/>
      <c r="M1038" s="209" t="inlineStr">
        <is>
          <t>1o Arbitro</t>
        </is>
      </c>
      <c r="N1038" s="209" t="inlineStr">
        <is>
          <t>2o Arbitro</t>
        </is>
      </c>
      <c r="O1038" s="209" t="inlineStr">
        <is>
          <t>3o Arbitro/Tirocinante</t>
        </is>
      </c>
      <c r="P1038" s="209" t="inlineStr">
        <is>
          <t>Referto</t>
        </is>
      </c>
      <c r="Q1038" s="209" t="inlineStr">
        <is>
          <t>Cronometro</t>
        </is>
      </c>
      <c r="R1038" s="209" t="inlineStr">
        <is>
          <t>Foglio Tiri</t>
        </is>
      </c>
    </row>
    <row r="1039" ht="22" customHeight="1">
      <c r="A1039" s="111">
        <f>IF('Calendario G'!A19="","",'Calendario G'!A19)</f>
        <v/>
      </c>
      <c r="B1039" s="61">
        <f>IF('Calendario G'!B19="","",'Calendario G'!B19)</f>
        <v/>
      </c>
      <c r="C1039" s="62">
        <f>IF('Calendario G'!C19="","",'Calendario G'!C19)</f>
        <v/>
      </c>
      <c r="D1039" s="61">
        <f>IF('Calendario G'!D19="","",'Calendario G'!D19)</f>
        <v/>
      </c>
      <c r="E1039" s="62">
        <f>IF('Calendario G'!E19="","",'Calendario G'!E19)</f>
        <v/>
      </c>
      <c r="F1039" s="63">
        <f>IF('Calendario G'!F19="","",'Calendario G'!F19)</f>
        <v/>
      </c>
      <c r="G1039" s="9" t="n"/>
      <c r="H1039" s="9" t="n"/>
      <c r="I1039" s="10" t="n"/>
      <c r="J1039" s="195">
        <f>IF('Calendario G'!J19="","",'Calendario G'!J19)</f>
        <v/>
      </c>
      <c r="K1039" s="64" t="inlineStr">
        <is>
          <t>-</t>
        </is>
      </c>
      <c r="L1039" s="195">
        <f>IF('Calendario G'!L19="","",'Calendario G'!L19)</f>
        <v/>
      </c>
      <c r="M1039" s="196" t="n"/>
      <c r="N1039" s="196" t="n"/>
      <c r="O1039" s="196" t="n"/>
      <c r="P1039" s="196" t="n"/>
      <c r="Q1039" s="196" t="n"/>
      <c r="R1039" s="196" t="n"/>
    </row>
    <row r="1040" ht="15" customHeight="1">
      <c r="A1040" s="141" t="n"/>
      <c r="B1040" s="69">
        <f>IF('Calendario G'!B20="","",'Calendario G'!B20)</f>
        <v/>
      </c>
      <c r="C1040" s="9" t="n"/>
      <c r="D1040" s="9" t="n"/>
      <c r="E1040" s="9" t="n"/>
      <c r="F1040" s="9" t="n"/>
      <c r="G1040" s="9" t="n"/>
      <c r="H1040" s="10" t="n"/>
      <c r="I1040" s="62">
        <f>IF('Calendario G'!I20="","",'Calendario G'!I20)</f>
        <v/>
      </c>
      <c r="J1040" s="141" t="n"/>
      <c r="K1040" s="141" t="n"/>
      <c r="L1040" s="141" t="n"/>
      <c r="M1040" s="141" t="n"/>
      <c r="N1040" s="141" t="n"/>
      <c r="O1040" s="141" t="n"/>
      <c r="P1040" s="141" t="n"/>
      <c r="Q1040" s="141" t="n"/>
      <c r="R1040" s="141" t="n"/>
    </row>
    <row r="1041" ht="14" customHeight="1">
      <c r="A1041" s="109" t="inlineStr">
        <is>
          <t>Gara N.</t>
        </is>
      </c>
      <c r="B1041" s="109" t="inlineStr">
        <is>
          <t>Squadra A</t>
        </is>
      </c>
      <c r="C1041" s="10" t="n"/>
      <c r="D1041" s="109" t="inlineStr">
        <is>
          <t>Squadra B</t>
        </is>
      </c>
      <c r="E1041" s="10" t="n"/>
      <c r="F1041" s="109" t="inlineStr">
        <is>
          <t>Giorno</t>
        </is>
      </c>
      <c r="G1041" s="109" t="inlineStr">
        <is>
          <t>Data</t>
        </is>
      </c>
      <c r="H1041" s="109" t="inlineStr">
        <is>
          <t>Ora</t>
        </is>
      </c>
      <c r="I1041" s="10" t="n"/>
      <c r="J1041" s="109" t="inlineStr">
        <is>
          <t>Risultato</t>
        </is>
      </c>
      <c r="K1041" s="9" t="n"/>
      <c r="L1041" s="10" t="n"/>
      <c r="M1041" s="209" t="inlineStr">
        <is>
          <t>1o Arbitro</t>
        </is>
      </c>
      <c r="N1041" s="209" t="inlineStr">
        <is>
          <t>2o Arbitro</t>
        </is>
      </c>
      <c r="O1041" s="209" t="inlineStr">
        <is>
          <t>3o Arbitro/Tirocinante</t>
        </is>
      </c>
      <c r="P1041" s="209" t="inlineStr">
        <is>
          <t>Referto</t>
        </is>
      </c>
      <c r="Q1041" s="209" t="inlineStr">
        <is>
          <t>Cronometro</t>
        </is>
      </c>
      <c r="R1041" s="209" t="inlineStr">
        <is>
          <t>Foglio Tiri</t>
        </is>
      </c>
    </row>
    <row r="1042" ht="22" customHeight="1">
      <c r="A1042" s="111">
        <f>IF('Calendario G'!A22="","",'Calendario G'!A22)</f>
        <v/>
      </c>
      <c r="B1042" s="61">
        <f>IF('Calendario G'!B22="","",'Calendario G'!B22)</f>
        <v/>
      </c>
      <c r="C1042" s="62">
        <f>IF('Calendario G'!C22="","",'Calendario G'!C22)</f>
        <v/>
      </c>
      <c r="D1042" s="61">
        <f>IF('Calendario G'!D22="","",'Calendario G'!D22)</f>
        <v/>
      </c>
      <c r="E1042" s="62">
        <f>IF('Calendario G'!E22="","",'Calendario G'!E22)</f>
        <v/>
      </c>
      <c r="F1042" s="63">
        <f>IF('Calendario G'!F22="","",'Calendario G'!F22)</f>
        <v/>
      </c>
      <c r="G1042" s="9" t="n"/>
      <c r="H1042" s="9" t="n"/>
      <c r="I1042" s="10" t="n"/>
      <c r="J1042" s="195">
        <f>IF('Calendario G'!J22="","",'Calendario G'!J22)</f>
        <v/>
      </c>
      <c r="K1042" s="64" t="inlineStr">
        <is>
          <t>-</t>
        </is>
      </c>
      <c r="L1042" s="195">
        <f>IF('Calendario G'!L22="","",'Calendario G'!L22)</f>
        <v/>
      </c>
      <c r="M1042" s="196" t="n"/>
      <c r="N1042" s="196" t="n"/>
      <c r="O1042" s="196" t="n"/>
      <c r="P1042" s="196" t="n"/>
      <c r="Q1042" s="196" t="n"/>
      <c r="R1042" s="196" t="n"/>
    </row>
    <row r="1043" ht="15" customHeight="1">
      <c r="A1043" s="141" t="n"/>
      <c r="B1043" s="69">
        <f>IF('Calendario G'!B23="","",'Calendario G'!B23)</f>
        <v/>
      </c>
      <c r="C1043" s="9" t="n"/>
      <c r="D1043" s="9" t="n"/>
      <c r="E1043" s="9" t="n"/>
      <c r="F1043" s="9" t="n"/>
      <c r="G1043" s="9" t="n"/>
      <c r="H1043" s="10" t="n"/>
      <c r="I1043" s="62">
        <f>IF('Calendario G'!I23="","",'Calendario G'!I23)</f>
        <v/>
      </c>
      <c r="J1043" s="141" t="n"/>
      <c r="K1043" s="141" t="n"/>
      <c r="L1043" s="141" t="n"/>
      <c r="M1043" s="141" t="n"/>
      <c r="N1043" s="141" t="n"/>
      <c r="O1043" s="141" t="n"/>
      <c r="P1043" s="141" t="n"/>
      <c r="Q1043" s="141" t="n"/>
      <c r="R1043" s="141" t="n"/>
    </row>
    <row r="1045" ht="20" customHeight="1">
      <c r="A1045" s="106">
        <f>IF('Calendario G'!A25="","",'Calendario G'!A25)</f>
        <v/>
      </c>
      <c r="B1045" s="107">
        <f>IF('Calendario G'!B25="","",'Calendario G'!B25)</f>
        <v/>
      </c>
      <c r="C1045" s="9" t="n"/>
      <c r="D1045" s="9" t="n"/>
      <c r="E1045" s="9" t="n"/>
      <c r="F1045" s="9" t="n"/>
      <c r="G1045" s="9" t="n"/>
      <c r="H1045" s="9" t="n"/>
      <c r="I1045" s="9" t="n"/>
      <c r="J1045" s="9" t="n"/>
      <c r="K1045" s="9" t="n"/>
      <c r="L1045" s="10" t="n"/>
      <c r="M1045" s="208" t="inlineStr">
        <is>
          <t>ARBITRI</t>
        </is>
      </c>
      <c r="N1045" s="9" t="n"/>
      <c r="O1045" s="10" t="n"/>
      <c r="P1045" s="208" t="inlineStr">
        <is>
          <t>UFFICIALI DI CAMPO</t>
        </is>
      </c>
      <c r="Q1045" s="9" t="n"/>
      <c r="R1045" s="10" t="n"/>
    </row>
    <row r="1046" ht="14" customHeight="1">
      <c r="A1046" s="109" t="inlineStr">
        <is>
          <t>Gara N.</t>
        </is>
      </c>
      <c r="B1046" s="109" t="inlineStr">
        <is>
          <t>Squadra A</t>
        </is>
      </c>
      <c r="C1046" s="10" t="n"/>
      <c r="D1046" s="109" t="inlineStr">
        <is>
          <t>Squadra B</t>
        </is>
      </c>
      <c r="E1046" s="10" t="n"/>
      <c r="F1046" s="109" t="inlineStr">
        <is>
          <t>Giorno</t>
        </is>
      </c>
      <c r="G1046" s="109" t="inlineStr">
        <is>
          <t>Data</t>
        </is>
      </c>
      <c r="H1046" s="109" t="inlineStr">
        <is>
          <t>Ora</t>
        </is>
      </c>
      <c r="I1046" s="10" t="n"/>
      <c r="J1046" s="109" t="inlineStr">
        <is>
          <t>Risultato</t>
        </is>
      </c>
      <c r="K1046" s="9" t="n"/>
      <c r="L1046" s="10" t="n"/>
      <c r="M1046" s="209" t="inlineStr">
        <is>
          <t>1o Arbitro</t>
        </is>
      </c>
      <c r="N1046" s="209" t="inlineStr">
        <is>
          <t>2o Arbitro</t>
        </is>
      </c>
      <c r="O1046" s="209" t="inlineStr">
        <is>
          <t>3o Arbitro/Tirocinante</t>
        </is>
      </c>
      <c r="P1046" s="209" t="inlineStr">
        <is>
          <t>Referto</t>
        </is>
      </c>
      <c r="Q1046" s="209" t="inlineStr">
        <is>
          <t>Cronometro</t>
        </is>
      </c>
      <c r="R1046" s="209" t="inlineStr">
        <is>
          <t>Foglio Tiri</t>
        </is>
      </c>
    </row>
    <row r="1047" ht="22" customHeight="1">
      <c r="A1047" s="111">
        <f>IF('Calendario G'!A27="","",'Calendario G'!A27)</f>
        <v/>
      </c>
      <c r="B1047" s="61">
        <f>IF('Calendario G'!B27="","",'Calendario G'!B27)</f>
        <v/>
      </c>
      <c r="C1047" s="62">
        <f>IF('Calendario G'!C27="","",'Calendario G'!C27)</f>
        <v/>
      </c>
      <c r="D1047" s="61">
        <f>IF('Calendario G'!D27="","",'Calendario G'!D27)</f>
        <v/>
      </c>
      <c r="E1047" s="62">
        <f>IF('Calendario G'!E27="","",'Calendario G'!E27)</f>
        <v/>
      </c>
      <c r="F1047" s="63">
        <f>IF('Calendario G'!F27="","",'Calendario G'!F27)</f>
        <v/>
      </c>
      <c r="G1047" s="9" t="n"/>
      <c r="H1047" s="9" t="n"/>
      <c r="I1047" s="10" t="n"/>
      <c r="J1047" s="195">
        <f>IF('Calendario G'!J27="","",'Calendario G'!J27)</f>
        <v/>
      </c>
      <c r="K1047" s="64" t="inlineStr">
        <is>
          <t>-</t>
        </is>
      </c>
      <c r="L1047" s="195">
        <f>IF('Calendario G'!L27="","",'Calendario G'!L27)</f>
        <v/>
      </c>
      <c r="M1047" s="196" t="n"/>
      <c r="N1047" s="196" t="n"/>
      <c r="O1047" s="196" t="n"/>
      <c r="P1047" s="196" t="n"/>
      <c r="Q1047" s="196" t="n"/>
      <c r="R1047" s="196" t="n"/>
    </row>
    <row r="1048" ht="15" customHeight="1">
      <c r="A1048" s="141" t="n"/>
      <c r="B1048" s="69">
        <f>IF('Calendario G'!B28="","",'Calendario G'!B28)</f>
        <v/>
      </c>
      <c r="C1048" s="9" t="n"/>
      <c r="D1048" s="9" t="n"/>
      <c r="E1048" s="9" t="n"/>
      <c r="F1048" s="9" t="n"/>
      <c r="G1048" s="9" t="n"/>
      <c r="H1048" s="10" t="n"/>
      <c r="I1048" s="62">
        <f>IF('Calendario G'!I28="","",'Calendario G'!I28)</f>
        <v/>
      </c>
      <c r="J1048" s="141" t="n"/>
      <c r="K1048" s="141" t="n"/>
      <c r="L1048" s="141" t="n"/>
      <c r="M1048" s="141" t="n"/>
      <c r="N1048" s="141" t="n"/>
      <c r="O1048" s="141" t="n"/>
      <c r="P1048" s="141" t="n"/>
      <c r="Q1048" s="141" t="n"/>
      <c r="R1048" s="141" t="n"/>
    </row>
    <row r="1049" ht="14" customHeight="1">
      <c r="A1049" s="109" t="inlineStr">
        <is>
          <t>Gara N.</t>
        </is>
      </c>
      <c r="B1049" s="109" t="inlineStr">
        <is>
          <t>Squadra A</t>
        </is>
      </c>
      <c r="C1049" s="10" t="n"/>
      <c r="D1049" s="109" t="inlineStr">
        <is>
          <t>Squadra B</t>
        </is>
      </c>
      <c r="E1049" s="10" t="n"/>
      <c r="F1049" s="109" t="inlineStr">
        <is>
          <t>Giorno</t>
        </is>
      </c>
      <c r="G1049" s="109" t="inlineStr">
        <is>
          <t>Data</t>
        </is>
      </c>
      <c r="H1049" s="109" t="inlineStr">
        <is>
          <t>Ora</t>
        </is>
      </c>
      <c r="I1049" s="10" t="n"/>
      <c r="J1049" s="109" t="inlineStr">
        <is>
          <t>Risultato</t>
        </is>
      </c>
      <c r="K1049" s="9" t="n"/>
      <c r="L1049" s="10" t="n"/>
      <c r="M1049" s="209" t="inlineStr">
        <is>
          <t>1o Arbitro</t>
        </is>
      </c>
      <c r="N1049" s="209" t="inlineStr">
        <is>
          <t>2o Arbitro</t>
        </is>
      </c>
      <c r="O1049" s="209" t="inlineStr">
        <is>
          <t>3o Arbitro/Tirocinante</t>
        </is>
      </c>
      <c r="P1049" s="209" t="inlineStr">
        <is>
          <t>Referto</t>
        </is>
      </c>
      <c r="Q1049" s="209" t="inlineStr">
        <is>
          <t>Cronometro</t>
        </is>
      </c>
      <c r="R1049" s="209" t="inlineStr">
        <is>
          <t>Foglio Tiri</t>
        </is>
      </c>
    </row>
    <row r="1050" ht="22" customHeight="1">
      <c r="A1050" s="111">
        <f>IF('Calendario G'!A30="","",'Calendario G'!A30)</f>
        <v/>
      </c>
      <c r="B1050" s="61">
        <f>IF('Calendario G'!B30="","",'Calendario G'!B30)</f>
        <v/>
      </c>
      <c r="C1050" s="62">
        <f>IF('Calendario G'!C30="","",'Calendario G'!C30)</f>
        <v/>
      </c>
      <c r="D1050" s="61">
        <f>IF('Calendario G'!D30="","",'Calendario G'!D30)</f>
        <v/>
      </c>
      <c r="E1050" s="62">
        <f>IF('Calendario G'!E30="","",'Calendario G'!E30)</f>
        <v/>
      </c>
      <c r="F1050" s="63">
        <f>IF('Calendario G'!F30="","",'Calendario G'!F30)</f>
        <v/>
      </c>
      <c r="G1050" s="9" t="n"/>
      <c r="H1050" s="9" t="n"/>
      <c r="I1050" s="10" t="n"/>
      <c r="J1050" s="195">
        <f>IF('Calendario G'!J30="","",'Calendario G'!J30)</f>
        <v/>
      </c>
      <c r="K1050" s="64" t="inlineStr">
        <is>
          <t>-</t>
        </is>
      </c>
      <c r="L1050" s="195">
        <f>IF('Calendario G'!L30="","",'Calendario G'!L30)</f>
        <v/>
      </c>
      <c r="M1050" s="196" t="n"/>
      <c r="N1050" s="196" t="n"/>
      <c r="O1050" s="196" t="n"/>
      <c r="P1050" s="196" t="n"/>
      <c r="Q1050" s="196" t="n"/>
      <c r="R1050" s="196" t="n"/>
    </row>
    <row r="1051" ht="15" customHeight="1">
      <c r="A1051" s="141" t="n"/>
      <c r="B1051" s="69">
        <f>IF('Calendario G'!B31="","",'Calendario G'!B31)</f>
        <v/>
      </c>
      <c r="C1051" s="9" t="n"/>
      <c r="D1051" s="9" t="n"/>
      <c r="E1051" s="9" t="n"/>
      <c r="F1051" s="9" t="n"/>
      <c r="G1051" s="9" t="n"/>
      <c r="H1051" s="10" t="n"/>
      <c r="I1051" s="62">
        <f>IF('Calendario G'!I31="","",'Calendario G'!I31)</f>
        <v/>
      </c>
      <c r="J1051" s="141" t="n"/>
      <c r="K1051" s="141" t="n"/>
      <c r="L1051" s="141" t="n"/>
      <c r="M1051" s="141" t="n"/>
      <c r="N1051" s="141" t="n"/>
      <c r="O1051" s="141" t="n"/>
      <c r="P1051" s="141" t="n"/>
      <c r="Q1051" s="141" t="n"/>
      <c r="R1051" s="141" t="n"/>
    </row>
    <row r="1052" ht="14" customHeight="1">
      <c r="A1052" s="109" t="inlineStr">
        <is>
          <t>Gara N.</t>
        </is>
      </c>
      <c r="B1052" s="109" t="inlineStr">
        <is>
          <t>Squadra A</t>
        </is>
      </c>
      <c r="C1052" s="10" t="n"/>
      <c r="D1052" s="109" t="inlineStr">
        <is>
          <t>Squadra B</t>
        </is>
      </c>
      <c r="E1052" s="10" t="n"/>
      <c r="F1052" s="109" t="inlineStr">
        <is>
          <t>Giorno</t>
        </is>
      </c>
      <c r="G1052" s="109" t="inlineStr">
        <is>
          <t>Data</t>
        </is>
      </c>
      <c r="H1052" s="109" t="inlineStr">
        <is>
          <t>Ora</t>
        </is>
      </c>
      <c r="I1052" s="10" t="n"/>
      <c r="J1052" s="109" t="inlineStr">
        <is>
          <t>Risultato</t>
        </is>
      </c>
      <c r="K1052" s="9" t="n"/>
      <c r="L1052" s="10" t="n"/>
      <c r="M1052" s="209" t="inlineStr">
        <is>
          <t>1o Arbitro</t>
        </is>
      </c>
      <c r="N1052" s="209" t="inlineStr">
        <is>
          <t>2o Arbitro</t>
        </is>
      </c>
      <c r="O1052" s="209" t="inlineStr">
        <is>
          <t>3o Arbitro/Tirocinante</t>
        </is>
      </c>
      <c r="P1052" s="209" t="inlineStr">
        <is>
          <t>Referto</t>
        </is>
      </c>
      <c r="Q1052" s="209" t="inlineStr">
        <is>
          <t>Cronometro</t>
        </is>
      </c>
      <c r="R1052" s="209" t="inlineStr">
        <is>
          <t>Foglio Tiri</t>
        </is>
      </c>
    </row>
    <row r="1053" ht="22" customHeight="1">
      <c r="A1053" s="111">
        <f>IF('Calendario G'!A33="","",'Calendario G'!A33)</f>
        <v/>
      </c>
      <c r="B1053" s="61">
        <f>IF('Calendario G'!B33="","",'Calendario G'!B33)</f>
        <v/>
      </c>
      <c r="C1053" s="62">
        <f>IF('Calendario G'!C33="","",'Calendario G'!C33)</f>
        <v/>
      </c>
      <c r="D1053" s="61">
        <f>IF('Calendario G'!D33="","",'Calendario G'!D33)</f>
        <v/>
      </c>
      <c r="E1053" s="62">
        <f>IF('Calendario G'!E33="","",'Calendario G'!E33)</f>
        <v/>
      </c>
      <c r="F1053" s="63">
        <f>IF('Calendario G'!F33="","",'Calendario G'!F33)</f>
        <v/>
      </c>
      <c r="G1053" s="9" t="n"/>
      <c r="H1053" s="9" t="n"/>
      <c r="I1053" s="10" t="n"/>
      <c r="J1053" s="195">
        <f>IF('Calendario G'!J33="","",'Calendario G'!J33)</f>
        <v/>
      </c>
      <c r="K1053" s="64" t="inlineStr">
        <is>
          <t>-</t>
        </is>
      </c>
      <c r="L1053" s="195">
        <f>IF('Calendario G'!L33="","",'Calendario G'!L33)</f>
        <v/>
      </c>
      <c r="M1053" s="196" t="n"/>
      <c r="N1053" s="196" t="n"/>
      <c r="O1053" s="196" t="n"/>
      <c r="P1053" s="196" t="n"/>
      <c r="Q1053" s="196" t="n"/>
      <c r="R1053" s="196" t="n"/>
    </row>
    <row r="1054" ht="15" customHeight="1">
      <c r="A1054" s="141" t="n"/>
      <c r="B1054" s="69">
        <f>IF('Calendario G'!B34="","",'Calendario G'!B34)</f>
        <v/>
      </c>
      <c r="C1054" s="9" t="n"/>
      <c r="D1054" s="9" t="n"/>
      <c r="E1054" s="9" t="n"/>
      <c r="F1054" s="9" t="n"/>
      <c r="G1054" s="9" t="n"/>
      <c r="H1054" s="10" t="n"/>
      <c r="I1054" s="62">
        <f>IF('Calendario G'!I34="","",'Calendario G'!I34)</f>
        <v/>
      </c>
      <c r="J1054" s="141" t="n"/>
      <c r="K1054" s="141" t="n"/>
      <c r="L1054" s="141" t="n"/>
      <c r="M1054" s="141" t="n"/>
      <c r="N1054" s="141" t="n"/>
      <c r="O1054" s="141" t="n"/>
      <c r="P1054" s="141" t="n"/>
      <c r="Q1054" s="141" t="n"/>
      <c r="R1054" s="141" t="n"/>
    </row>
    <row r="1055" ht="14" customHeight="1">
      <c r="A1055" s="109" t="inlineStr">
        <is>
          <t>Gara N.</t>
        </is>
      </c>
      <c r="B1055" s="109" t="inlineStr">
        <is>
          <t>Squadra A</t>
        </is>
      </c>
      <c r="C1055" s="10" t="n"/>
      <c r="D1055" s="109" t="inlineStr">
        <is>
          <t>Squadra B</t>
        </is>
      </c>
      <c r="E1055" s="10" t="n"/>
      <c r="F1055" s="109" t="inlineStr">
        <is>
          <t>Giorno</t>
        </is>
      </c>
      <c r="G1055" s="109" t="inlineStr">
        <is>
          <t>Data</t>
        </is>
      </c>
      <c r="H1055" s="109" t="inlineStr">
        <is>
          <t>Ora</t>
        </is>
      </c>
      <c r="I1055" s="10" t="n"/>
      <c r="J1055" s="109" t="inlineStr">
        <is>
          <t>Risultato</t>
        </is>
      </c>
      <c r="K1055" s="9" t="n"/>
      <c r="L1055" s="10" t="n"/>
      <c r="M1055" s="209" t="inlineStr">
        <is>
          <t>1o Arbitro</t>
        </is>
      </c>
      <c r="N1055" s="209" t="inlineStr">
        <is>
          <t>2o Arbitro</t>
        </is>
      </c>
      <c r="O1055" s="209" t="inlineStr">
        <is>
          <t>3o Arbitro/Tirocinante</t>
        </is>
      </c>
      <c r="P1055" s="209" t="inlineStr">
        <is>
          <t>Referto</t>
        </is>
      </c>
      <c r="Q1055" s="209" t="inlineStr">
        <is>
          <t>Cronometro</t>
        </is>
      </c>
      <c r="R1055" s="209" t="inlineStr">
        <is>
          <t>Foglio Tiri</t>
        </is>
      </c>
    </row>
    <row r="1056" ht="22" customHeight="1">
      <c r="A1056" s="111">
        <f>IF('Calendario G'!A36="","",'Calendario G'!A36)</f>
        <v/>
      </c>
      <c r="B1056" s="61">
        <f>IF('Calendario G'!B36="","",'Calendario G'!B36)</f>
        <v/>
      </c>
      <c r="C1056" s="62">
        <f>IF('Calendario G'!C36="","",'Calendario G'!C36)</f>
        <v/>
      </c>
      <c r="D1056" s="61">
        <f>IF('Calendario G'!D36="","",'Calendario G'!D36)</f>
        <v/>
      </c>
      <c r="E1056" s="62">
        <f>IF('Calendario G'!E36="","",'Calendario G'!E36)</f>
        <v/>
      </c>
      <c r="F1056" s="63">
        <f>IF('Calendario G'!F36="","",'Calendario G'!F36)</f>
        <v/>
      </c>
      <c r="G1056" s="9" t="n"/>
      <c r="H1056" s="9" t="n"/>
      <c r="I1056" s="10" t="n"/>
      <c r="J1056" s="195">
        <f>IF('Calendario G'!J36="","",'Calendario G'!J36)</f>
        <v/>
      </c>
      <c r="K1056" s="64" t="inlineStr">
        <is>
          <t>-</t>
        </is>
      </c>
      <c r="L1056" s="195">
        <f>IF('Calendario G'!L36="","",'Calendario G'!L36)</f>
        <v/>
      </c>
      <c r="M1056" s="196" t="n"/>
      <c r="N1056" s="196" t="n"/>
      <c r="O1056" s="196" t="n"/>
      <c r="P1056" s="196" t="n"/>
      <c r="Q1056" s="196" t="n"/>
      <c r="R1056" s="196" t="n"/>
    </row>
    <row r="1057" ht="15" customHeight="1">
      <c r="A1057" s="141" t="n"/>
      <c r="B1057" s="69">
        <f>IF('Calendario G'!B37="","",'Calendario G'!B37)</f>
        <v/>
      </c>
      <c r="C1057" s="9" t="n"/>
      <c r="D1057" s="9" t="n"/>
      <c r="E1057" s="9" t="n"/>
      <c r="F1057" s="9" t="n"/>
      <c r="G1057" s="9" t="n"/>
      <c r="H1057" s="10" t="n"/>
      <c r="I1057" s="62">
        <f>IF('Calendario G'!I37="","",'Calendario G'!I37)</f>
        <v/>
      </c>
      <c r="J1057" s="141" t="n"/>
      <c r="K1057" s="141" t="n"/>
      <c r="L1057" s="141" t="n"/>
      <c r="M1057" s="141" t="n"/>
      <c r="N1057" s="141" t="n"/>
      <c r="O1057" s="141" t="n"/>
      <c r="P1057" s="141" t="n"/>
      <c r="Q1057" s="141" t="n"/>
      <c r="R1057" s="141" t="n"/>
    </row>
    <row r="1058" ht="14" customHeight="1">
      <c r="A1058" s="109" t="inlineStr">
        <is>
          <t>Gara N.</t>
        </is>
      </c>
      <c r="B1058" s="109" t="inlineStr">
        <is>
          <t>Squadra A</t>
        </is>
      </c>
      <c r="C1058" s="10" t="n"/>
      <c r="D1058" s="109" t="inlineStr">
        <is>
          <t>Squadra B</t>
        </is>
      </c>
      <c r="E1058" s="10" t="n"/>
      <c r="F1058" s="109" t="inlineStr">
        <is>
          <t>Giorno</t>
        </is>
      </c>
      <c r="G1058" s="109" t="inlineStr">
        <is>
          <t>Data</t>
        </is>
      </c>
      <c r="H1058" s="109" t="inlineStr">
        <is>
          <t>Ora</t>
        </is>
      </c>
      <c r="I1058" s="10" t="n"/>
      <c r="J1058" s="109" t="inlineStr">
        <is>
          <t>Risultato</t>
        </is>
      </c>
      <c r="K1058" s="9" t="n"/>
      <c r="L1058" s="10" t="n"/>
      <c r="M1058" s="209" t="inlineStr">
        <is>
          <t>1o Arbitro</t>
        </is>
      </c>
      <c r="N1058" s="209" t="inlineStr">
        <is>
          <t>2o Arbitro</t>
        </is>
      </c>
      <c r="O1058" s="209" t="inlineStr">
        <is>
          <t>3o Arbitro/Tirocinante</t>
        </is>
      </c>
      <c r="P1058" s="209" t="inlineStr">
        <is>
          <t>Referto</t>
        </is>
      </c>
      <c r="Q1058" s="209" t="inlineStr">
        <is>
          <t>Cronometro</t>
        </is>
      </c>
      <c r="R1058" s="209" t="inlineStr">
        <is>
          <t>Foglio Tiri</t>
        </is>
      </c>
    </row>
    <row r="1059" ht="22" customHeight="1">
      <c r="A1059" s="111">
        <f>IF('Calendario G'!A39="","",'Calendario G'!A39)</f>
        <v/>
      </c>
      <c r="B1059" s="61">
        <f>IF('Calendario G'!B39="","",'Calendario G'!B39)</f>
        <v/>
      </c>
      <c r="C1059" s="62">
        <f>IF('Calendario G'!C39="","",'Calendario G'!C39)</f>
        <v/>
      </c>
      <c r="D1059" s="61">
        <f>IF('Calendario G'!D39="","",'Calendario G'!D39)</f>
        <v/>
      </c>
      <c r="E1059" s="62">
        <f>IF('Calendario G'!E39="","",'Calendario G'!E39)</f>
        <v/>
      </c>
      <c r="F1059" s="63">
        <f>IF('Calendario G'!F39="","",'Calendario G'!F39)</f>
        <v/>
      </c>
      <c r="G1059" s="9" t="n"/>
      <c r="H1059" s="9" t="n"/>
      <c r="I1059" s="10" t="n"/>
      <c r="J1059" s="195">
        <f>IF('Calendario G'!J39="","",'Calendario G'!J39)</f>
        <v/>
      </c>
      <c r="K1059" s="64" t="inlineStr">
        <is>
          <t>-</t>
        </is>
      </c>
      <c r="L1059" s="195">
        <f>IF('Calendario G'!L39="","",'Calendario G'!L39)</f>
        <v/>
      </c>
      <c r="M1059" s="196" t="n"/>
      <c r="N1059" s="196" t="n"/>
      <c r="O1059" s="196" t="n"/>
      <c r="P1059" s="196" t="n"/>
      <c r="Q1059" s="196" t="n"/>
      <c r="R1059" s="196" t="n"/>
    </row>
    <row r="1060" ht="15" customHeight="1">
      <c r="A1060" s="141" t="n"/>
      <c r="B1060" s="69">
        <f>IF('Calendario G'!B40="","",'Calendario G'!B40)</f>
        <v/>
      </c>
      <c r="C1060" s="9" t="n"/>
      <c r="D1060" s="9" t="n"/>
      <c r="E1060" s="9" t="n"/>
      <c r="F1060" s="9" t="n"/>
      <c r="G1060" s="9" t="n"/>
      <c r="H1060" s="10" t="n"/>
      <c r="I1060" s="62">
        <f>IF('Calendario G'!I40="","",'Calendario G'!I40)</f>
        <v/>
      </c>
      <c r="J1060" s="141" t="n"/>
      <c r="K1060" s="141" t="n"/>
      <c r="L1060" s="141" t="n"/>
      <c r="M1060" s="141" t="n"/>
      <c r="N1060" s="141" t="n"/>
      <c r="O1060" s="141" t="n"/>
      <c r="P1060" s="141" t="n"/>
      <c r="Q1060" s="141" t="n"/>
      <c r="R1060" s="141" t="n"/>
    </row>
    <row r="1062" ht="20" customHeight="1">
      <c r="A1062" s="106">
        <f>IF('Calendario G'!A42="","",'Calendario G'!A42)</f>
        <v/>
      </c>
      <c r="B1062" s="107">
        <f>IF('Calendario G'!B42="","",'Calendario G'!B42)</f>
        <v/>
      </c>
      <c r="C1062" s="9" t="n"/>
      <c r="D1062" s="9" t="n"/>
      <c r="E1062" s="9" t="n"/>
      <c r="F1062" s="9" t="n"/>
      <c r="G1062" s="9" t="n"/>
      <c r="H1062" s="9" t="n"/>
      <c r="I1062" s="9" t="n"/>
      <c r="J1062" s="9" t="n"/>
      <c r="K1062" s="9" t="n"/>
      <c r="L1062" s="10" t="n"/>
      <c r="M1062" s="208" t="inlineStr">
        <is>
          <t>ARBITRI</t>
        </is>
      </c>
      <c r="N1062" s="9" t="n"/>
      <c r="O1062" s="10" t="n"/>
      <c r="P1062" s="208" t="inlineStr">
        <is>
          <t>UFFICIALI DI CAMPO</t>
        </is>
      </c>
      <c r="Q1062" s="9" t="n"/>
      <c r="R1062" s="10" t="n"/>
    </row>
    <row r="1063" ht="14" customHeight="1">
      <c r="A1063" s="109" t="inlineStr">
        <is>
          <t>Gara N.</t>
        </is>
      </c>
      <c r="B1063" s="109" t="inlineStr">
        <is>
          <t>Squadra A</t>
        </is>
      </c>
      <c r="C1063" s="10" t="n"/>
      <c r="D1063" s="109" t="inlineStr">
        <is>
          <t>Squadra B</t>
        </is>
      </c>
      <c r="E1063" s="10" t="n"/>
      <c r="F1063" s="109" t="inlineStr">
        <is>
          <t>Giorno</t>
        </is>
      </c>
      <c r="G1063" s="109" t="inlineStr">
        <is>
          <t>Data</t>
        </is>
      </c>
      <c r="H1063" s="109" t="inlineStr">
        <is>
          <t>Ora</t>
        </is>
      </c>
      <c r="I1063" s="10" t="n"/>
      <c r="J1063" s="109" t="inlineStr">
        <is>
          <t>Risultato</t>
        </is>
      </c>
      <c r="K1063" s="9" t="n"/>
      <c r="L1063" s="10" t="n"/>
      <c r="M1063" s="209" t="inlineStr">
        <is>
          <t>1o Arbitro</t>
        </is>
      </c>
      <c r="N1063" s="209" t="inlineStr">
        <is>
          <t>2o Arbitro</t>
        </is>
      </c>
      <c r="O1063" s="209" t="inlineStr">
        <is>
          <t>3o Arbitro/Tirocinante</t>
        </is>
      </c>
      <c r="P1063" s="209" t="inlineStr">
        <is>
          <t>Referto</t>
        </is>
      </c>
      <c r="Q1063" s="209" t="inlineStr">
        <is>
          <t>Cronometro</t>
        </is>
      </c>
      <c r="R1063" s="209" t="inlineStr">
        <is>
          <t>Foglio Tiri</t>
        </is>
      </c>
    </row>
    <row r="1064" ht="22" customHeight="1">
      <c r="A1064" s="111">
        <f>IF('Calendario G'!A44="","",'Calendario G'!A44)</f>
        <v/>
      </c>
      <c r="B1064" s="61">
        <f>IF('Calendario G'!B44="","",'Calendario G'!B44)</f>
        <v/>
      </c>
      <c r="C1064" s="62">
        <f>IF('Calendario G'!C44="","",'Calendario G'!C44)</f>
        <v/>
      </c>
      <c r="D1064" s="61">
        <f>IF('Calendario G'!D44="","",'Calendario G'!D44)</f>
        <v/>
      </c>
      <c r="E1064" s="62">
        <f>IF('Calendario G'!E44="","",'Calendario G'!E44)</f>
        <v/>
      </c>
      <c r="F1064" s="63">
        <f>IF('Calendario G'!F44="","",'Calendario G'!F44)</f>
        <v/>
      </c>
      <c r="G1064" s="9" t="n"/>
      <c r="H1064" s="9" t="n"/>
      <c r="I1064" s="10" t="n"/>
      <c r="J1064" s="195">
        <f>IF('Calendario G'!J44="","",'Calendario G'!J44)</f>
        <v/>
      </c>
      <c r="K1064" s="64" t="inlineStr">
        <is>
          <t>-</t>
        </is>
      </c>
      <c r="L1064" s="195">
        <f>IF('Calendario G'!L44="","",'Calendario G'!L44)</f>
        <v/>
      </c>
      <c r="M1064" s="196" t="n"/>
      <c r="N1064" s="196" t="n"/>
      <c r="O1064" s="196" t="n"/>
      <c r="P1064" s="196" t="n"/>
      <c r="Q1064" s="196" t="n"/>
      <c r="R1064" s="196" t="n"/>
    </row>
    <row r="1065" ht="15" customHeight="1">
      <c r="A1065" s="141" t="n"/>
      <c r="B1065" s="69">
        <f>IF('Calendario G'!B45="","",'Calendario G'!B45)</f>
        <v/>
      </c>
      <c r="C1065" s="9" t="n"/>
      <c r="D1065" s="9" t="n"/>
      <c r="E1065" s="9" t="n"/>
      <c r="F1065" s="9" t="n"/>
      <c r="G1065" s="9" t="n"/>
      <c r="H1065" s="10" t="n"/>
      <c r="I1065" s="62">
        <f>IF('Calendario G'!I45="","",'Calendario G'!I45)</f>
        <v/>
      </c>
      <c r="J1065" s="141" t="n"/>
      <c r="K1065" s="141" t="n"/>
      <c r="L1065" s="141" t="n"/>
      <c r="M1065" s="141" t="n"/>
      <c r="N1065" s="141" t="n"/>
      <c r="O1065" s="141" t="n"/>
      <c r="P1065" s="141" t="n"/>
      <c r="Q1065" s="141" t="n"/>
      <c r="R1065" s="141" t="n"/>
    </row>
    <row r="1066" ht="14" customHeight="1">
      <c r="A1066" s="109" t="inlineStr">
        <is>
          <t>Gara N.</t>
        </is>
      </c>
      <c r="B1066" s="109" t="inlineStr">
        <is>
          <t>Squadra A</t>
        </is>
      </c>
      <c r="C1066" s="10" t="n"/>
      <c r="D1066" s="109" t="inlineStr">
        <is>
          <t>Squadra B</t>
        </is>
      </c>
      <c r="E1066" s="10" t="n"/>
      <c r="F1066" s="109" t="inlineStr">
        <is>
          <t>Giorno</t>
        </is>
      </c>
      <c r="G1066" s="109" t="inlineStr">
        <is>
          <t>Data</t>
        </is>
      </c>
      <c r="H1066" s="109" t="inlineStr">
        <is>
          <t>Ora</t>
        </is>
      </c>
      <c r="I1066" s="10" t="n"/>
      <c r="J1066" s="109" t="inlineStr">
        <is>
          <t>Risultato</t>
        </is>
      </c>
      <c r="K1066" s="9" t="n"/>
      <c r="L1066" s="10" t="n"/>
      <c r="M1066" s="209" t="inlineStr">
        <is>
          <t>1o Arbitro</t>
        </is>
      </c>
      <c r="N1066" s="209" t="inlineStr">
        <is>
          <t>2o Arbitro</t>
        </is>
      </c>
      <c r="O1066" s="209" t="inlineStr">
        <is>
          <t>3o Arbitro/Tirocinante</t>
        </is>
      </c>
      <c r="P1066" s="209" t="inlineStr">
        <is>
          <t>Referto</t>
        </is>
      </c>
      <c r="Q1066" s="209" t="inlineStr">
        <is>
          <t>Cronometro</t>
        </is>
      </c>
      <c r="R1066" s="209" t="inlineStr">
        <is>
          <t>Foglio Tiri</t>
        </is>
      </c>
    </row>
    <row r="1067" ht="22" customHeight="1">
      <c r="A1067" s="111">
        <f>IF('Calendario G'!A47="","",'Calendario G'!A47)</f>
        <v/>
      </c>
      <c r="B1067" s="61">
        <f>IF('Calendario G'!B47="","",'Calendario G'!B47)</f>
        <v/>
      </c>
      <c r="C1067" s="62">
        <f>IF('Calendario G'!C47="","",'Calendario G'!C47)</f>
        <v/>
      </c>
      <c r="D1067" s="61">
        <f>IF('Calendario G'!D47="","",'Calendario G'!D47)</f>
        <v/>
      </c>
      <c r="E1067" s="62">
        <f>IF('Calendario G'!E47="","",'Calendario G'!E47)</f>
        <v/>
      </c>
      <c r="F1067" s="63">
        <f>IF('Calendario G'!F47="","",'Calendario G'!F47)</f>
        <v/>
      </c>
      <c r="G1067" s="9" t="n"/>
      <c r="H1067" s="9" t="n"/>
      <c r="I1067" s="10" t="n"/>
      <c r="J1067" s="195">
        <f>IF('Calendario G'!J47="","",'Calendario G'!J47)</f>
        <v/>
      </c>
      <c r="K1067" s="64" t="inlineStr">
        <is>
          <t>-</t>
        </is>
      </c>
      <c r="L1067" s="195">
        <f>IF('Calendario G'!L47="","",'Calendario G'!L47)</f>
        <v/>
      </c>
      <c r="M1067" s="196" t="n"/>
      <c r="N1067" s="196" t="n"/>
      <c r="O1067" s="196" t="n"/>
      <c r="P1067" s="196" t="n"/>
      <c r="Q1067" s="196" t="n"/>
      <c r="R1067" s="196" t="n"/>
    </row>
    <row r="1068" ht="15" customHeight="1">
      <c r="A1068" s="141" t="n"/>
      <c r="B1068" s="69">
        <f>IF('Calendario G'!B48="","",'Calendario G'!B48)</f>
        <v/>
      </c>
      <c r="C1068" s="9" t="n"/>
      <c r="D1068" s="9" t="n"/>
      <c r="E1068" s="9" t="n"/>
      <c r="F1068" s="9" t="n"/>
      <c r="G1068" s="9" t="n"/>
      <c r="H1068" s="10" t="n"/>
      <c r="I1068" s="62">
        <f>IF('Calendario G'!I48="","",'Calendario G'!I48)</f>
        <v/>
      </c>
      <c r="J1068" s="141" t="n"/>
      <c r="K1068" s="141" t="n"/>
      <c r="L1068" s="141" t="n"/>
      <c r="M1068" s="141" t="n"/>
      <c r="N1068" s="141" t="n"/>
      <c r="O1068" s="141" t="n"/>
      <c r="P1068" s="141" t="n"/>
      <c r="Q1068" s="141" t="n"/>
      <c r="R1068" s="141" t="n"/>
    </row>
    <row r="1069" ht="14" customHeight="1">
      <c r="A1069" s="109" t="inlineStr">
        <is>
          <t>Gara N.</t>
        </is>
      </c>
      <c r="B1069" s="109" t="inlineStr">
        <is>
          <t>Squadra A</t>
        </is>
      </c>
      <c r="C1069" s="10" t="n"/>
      <c r="D1069" s="109" t="inlineStr">
        <is>
          <t>Squadra B</t>
        </is>
      </c>
      <c r="E1069" s="10" t="n"/>
      <c r="F1069" s="109" t="inlineStr">
        <is>
          <t>Giorno</t>
        </is>
      </c>
      <c r="G1069" s="109" t="inlineStr">
        <is>
          <t>Data</t>
        </is>
      </c>
      <c r="H1069" s="109" t="inlineStr">
        <is>
          <t>Ora</t>
        </is>
      </c>
      <c r="I1069" s="10" t="n"/>
      <c r="J1069" s="109" t="inlineStr">
        <is>
          <t>Risultato</t>
        </is>
      </c>
      <c r="K1069" s="9" t="n"/>
      <c r="L1069" s="10" t="n"/>
      <c r="M1069" s="209" t="inlineStr">
        <is>
          <t>1o Arbitro</t>
        </is>
      </c>
      <c r="N1069" s="209" t="inlineStr">
        <is>
          <t>2o Arbitro</t>
        </is>
      </c>
      <c r="O1069" s="209" t="inlineStr">
        <is>
          <t>3o Arbitro/Tirocinante</t>
        </is>
      </c>
      <c r="P1069" s="209" t="inlineStr">
        <is>
          <t>Referto</t>
        </is>
      </c>
      <c r="Q1069" s="209" t="inlineStr">
        <is>
          <t>Cronometro</t>
        </is>
      </c>
      <c r="R1069" s="209" t="inlineStr">
        <is>
          <t>Foglio Tiri</t>
        </is>
      </c>
    </row>
    <row r="1070" ht="22" customHeight="1">
      <c r="A1070" s="111">
        <f>IF('Calendario G'!A50="","",'Calendario G'!A50)</f>
        <v/>
      </c>
      <c r="B1070" s="61">
        <f>IF('Calendario G'!B50="","",'Calendario G'!B50)</f>
        <v/>
      </c>
      <c r="C1070" s="62">
        <f>IF('Calendario G'!C50="","",'Calendario G'!C50)</f>
        <v/>
      </c>
      <c r="D1070" s="61">
        <f>IF('Calendario G'!D50="","",'Calendario G'!D50)</f>
        <v/>
      </c>
      <c r="E1070" s="62">
        <f>IF('Calendario G'!E50="","",'Calendario G'!E50)</f>
        <v/>
      </c>
      <c r="F1070" s="63">
        <f>IF('Calendario G'!F50="","",'Calendario G'!F50)</f>
        <v/>
      </c>
      <c r="G1070" s="9" t="n"/>
      <c r="H1070" s="9" t="n"/>
      <c r="I1070" s="10" t="n"/>
      <c r="J1070" s="195">
        <f>IF('Calendario G'!J50="","",'Calendario G'!J50)</f>
        <v/>
      </c>
      <c r="K1070" s="64" t="inlineStr">
        <is>
          <t>-</t>
        </is>
      </c>
      <c r="L1070" s="195">
        <f>IF('Calendario G'!L50="","",'Calendario G'!L50)</f>
        <v/>
      </c>
      <c r="M1070" s="196" t="n"/>
      <c r="N1070" s="196" t="n"/>
      <c r="O1070" s="196" t="n"/>
      <c r="P1070" s="196" t="n"/>
      <c r="Q1070" s="196" t="n"/>
      <c r="R1070" s="196" t="n"/>
    </row>
    <row r="1071" ht="15" customHeight="1">
      <c r="A1071" s="141" t="n"/>
      <c r="B1071" s="69">
        <f>IF('Calendario G'!B51="","",'Calendario G'!B51)</f>
        <v/>
      </c>
      <c r="C1071" s="9" t="n"/>
      <c r="D1071" s="9" t="n"/>
      <c r="E1071" s="9" t="n"/>
      <c r="F1071" s="9" t="n"/>
      <c r="G1071" s="9" t="n"/>
      <c r="H1071" s="10" t="n"/>
      <c r="I1071" s="62">
        <f>IF('Calendario G'!I51="","",'Calendario G'!I51)</f>
        <v/>
      </c>
      <c r="J1071" s="141" t="n"/>
      <c r="K1071" s="141" t="n"/>
      <c r="L1071" s="141" t="n"/>
      <c r="M1071" s="141" t="n"/>
      <c r="N1071" s="141" t="n"/>
      <c r="O1071" s="141" t="n"/>
      <c r="P1071" s="141" t="n"/>
      <c r="Q1071" s="141" t="n"/>
      <c r="R1071" s="141" t="n"/>
    </row>
    <row r="1072" ht="14" customHeight="1">
      <c r="A1072" s="109" t="inlineStr">
        <is>
          <t>Gara N.</t>
        </is>
      </c>
      <c r="B1072" s="109" t="inlineStr">
        <is>
          <t>Squadra A</t>
        </is>
      </c>
      <c r="C1072" s="10" t="n"/>
      <c r="D1072" s="109" t="inlineStr">
        <is>
          <t>Squadra B</t>
        </is>
      </c>
      <c r="E1072" s="10" t="n"/>
      <c r="F1072" s="109" t="inlineStr">
        <is>
          <t>Giorno</t>
        </is>
      </c>
      <c r="G1072" s="109" t="inlineStr">
        <is>
          <t>Data</t>
        </is>
      </c>
      <c r="H1072" s="109" t="inlineStr">
        <is>
          <t>Ora</t>
        </is>
      </c>
      <c r="I1072" s="10" t="n"/>
      <c r="J1072" s="109" t="inlineStr">
        <is>
          <t>Risultato</t>
        </is>
      </c>
      <c r="K1072" s="9" t="n"/>
      <c r="L1072" s="10" t="n"/>
      <c r="M1072" s="209" t="inlineStr">
        <is>
          <t>1o Arbitro</t>
        </is>
      </c>
      <c r="N1072" s="209" t="inlineStr">
        <is>
          <t>2o Arbitro</t>
        </is>
      </c>
      <c r="O1072" s="209" t="inlineStr">
        <is>
          <t>3o Arbitro/Tirocinante</t>
        </is>
      </c>
      <c r="P1072" s="209" t="inlineStr">
        <is>
          <t>Referto</t>
        </is>
      </c>
      <c r="Q1072" s="209" t="inlineStr">
        <is>
          <t>Cronometro</t>
        </is>
      </c>
      <c r="R1072" s="209" t="inlineStr">
        <is>
          <t>Foglio Tiri</t>
        </is>
      </c>
    </row>
    <row r="1073" ht="22" customHeight="1">
      <c r="A1073" s="111">
        <f>IF('Calendario G'!A53="","",'Calendario G'!A53)</f>
        <v/>
      </c>
      <c r="B1073" s="61">
        <f>IF('Calendario G'!B53="","",'Calendario G'!B53)</f>
        <v/>
      </c>
      <c r="C1073" s="62">
        <f>IF('Calendario G'!C53="","",'Calendario G'!C53)</f>
        <v/>
      </c>
      <c r="D1073" s="61">
        <f>IF('Calendario G'!D53="","",'Calendario G'!D53)</f>
        <v/>
      </c>
      <c r="E1073" s="62">
        <f>IF('Calendario G'!E53="","",'Calendario G'!E53)</f>
        <v/>
      </c>
      <c r="F1073" s="63">
        <f>IF('Calendario G'!F53="","",'Calendario G'!F53)</f>
        <v/>
      </c>
      <c r="G1073" s="9" t="n"/>
      <c r="H1073" s="9" t="n"/>
      <c r="I1073" s="10" t="n"/>
      <c r="J1073" s="195">
        <f>IF('Calendario G'!J53="","",'Calendario G'!J53)</f>
        <v/>
      </c>
      <c r="K1073" s="64" t="inlineStr">
        <is>
          <t>-</t>
        </is>
      </c>
      <c r="L1073" s="195">
        <f>IF('Calendario G'!L53="","",'Calendario G'!L53)</f>
        <v/>
      </c>
      <c r="M1073" s="196" t="n"/>
      <c r="N1073" s="196" t="n"/>
      <c r="O1073" s="196" t="n"/>
      <c r="P1073" s="196" t="n"/>
      <c r="Q1073" s="196" t="n"/>
      <c r="R1073" s="196" t="n"/>
    </row>
    <row r="1074" ht="15" customHeight="1">
      <c r="A1074" s="141" t="n"/>
      <c r="B1074" s="69">
        <f>IF('Calendario G'!B54="","",'Calendario G'!B54)</f>
        <v/>
      </c>
      <c r="C1074" s="9" t="n"/>
      <c r="D1074" s="9" t="n"/>
      <c r="E1074" s="9" t="n"/>
      <c r="F1074" s="9" t="n"/>
      <c r="G1074" s="9" t="n"/>
      <c r="H1074" s="10" t="n"/>
      <c r="I1074" s="62">
        <f>IF('Calendario G'!I54="","",'Calendario G'!I54)</f>
        <v/>
      </c>
      <c r="J1074" s="141" t="n"/>
      <c r="K1074" s="141" t="n"/>
      <c r="L1074" s="141" t="n"/>
      <c r="M1074" s="141" t="n"/>
      <c r="N1074" s="141" t="n"/>
      <c r="O1074" s="141" t="n"/>
      <c r="P1074" s="141" t="n"/>
      <c r="Q1074" s="141" t="n"/>
      <c r="R1074" s="141" t="n"/>
    </row>
    <row r="1075" ht="14" customHeight="1">
      <c r="A1075" s="109" t="inlineStr">
        <is>
          <t>Gara N.</t>
        </is>
      </c>
      <c r="B1075" s="109" t="inlineStr">
        <is>
          <t>Squadra A</t>
        </is>
      </c>
      <c r="C1075" s="10" t="n"/>
      <c r="D1075" s="109" t="inlineStr">
        <is>
          <t>Squadra B</t>
        </is>
      </c>
      <c r="E1075" s="10" t="n"/>
      <c r="F1075" s="109" t="inlineStr">
        <is>
          <t>Giorno</t>
        </is>
      </c>
      <c r="G1075" s="109" t="inlineStr">
        <is>
          <t>Data</t>
        </is>
      </c>
      <c r="H1075" s="109" t="inlineStr">
        <is>
          <t>Ora</t>
        </is>
      </c>
      <c r="I1075" s="10" t="n"/>
      <c r="J1075" s="109" t="inlineStr">
        <is>
          <t>Risultato</t>
        </is>
      </c>
      <c r="K1075" s="9" t="n"/>
      <c r="L1075" s="10" t="n"/>
      <c r="M1075" s="209" t="inlineStr">
        <is>
          <t>1o Arbitro</t>
        </is>
      </c>
      <c r="N1075" s="209" t="inlineStr">
        <is>
          <t>2o Arbitro</t>
        </is>
      </c>
      <c r="O1075" s="209" t="inlineStr">
        <is>
          <t>3o Arbitro/Tirocinante</t>
        </is>
      </c>
      <c r="P1075" s="209" t="inlineStr">
        <is>
          <t>Referto</t>
        </is>
      </c>
      <c r="Q1075" s="209" t="inlineStr">
        <is>
          <t>Cronometro</t>
        </is>
      </c>
      <c r="R1075" s="209" t="inlineStr">
        <is>
          <t>Foglio Tiri</t>
        </is>
      </c>
    </row>
    <row r="1076" ht="22" customHeight="1">
      <c r="A1076" s="111">
        <f>IF('Calendario G'!A56="","",'Calendario G'!A56)</f>
        <v/>
      </c>
      <c r="B1076" s="61">
        <f>IF('Calendario G'!B56="","",'Calendario G'!B56)</f>
        <v/>
      </c>
      <c r="C1076" s="62">
        <f>IF('Calendario G'!C56="","",'Calendario G'!C56)</f>
        <v/>
      </c>
      <c r="D1076" s="61">
        <f>IF('Calendario G'!D56="","",'Calendario G'!D56)</f>
        <v/>
      </c>
      <c r="E1076" s="62">
        <f>IF('Calendario G'!E56="","",'Calendario G'!E56)</f>
        <v/>
      </c>
      <c r="F1076" s="63">
        <f>IF('Calendario G'!F56="","",'Calendario G'!F56)</f>
        <v/>
      </c>
      <c r="G1076" s="9" t="n"/>
      <c r="H1076" s="9" t="n"/>
      <c r="I1076" s="10" t="n"/>
      <c r="J1076" s="195">
        <f>IF('Calendario G'!J56="","",'Calendario G'!J56)</f>
        <v/>
      </c>
      <c r="K1076" s="64" t="inlineStr">
        <is>
          <t>-</t>
        </is>
      </c>
      <c r="L1076" s="195">
        <f>IF('Calendario G'!L56="","",'Calendario G'!L56)</f>
        <v/>
      </c>
      <c r="M1076" s="196" t="n"/>
      <c r="N1076" s="196" t="n"/>
      <c r="O1076" s="196" t="n"/>
      <c r="P1076" s="196" t="n"/>
      <c r="Q1076" s="196" t="n"/>
      <c r="R1076" s="196" t="n"/>
    </row>
    <row r="1077" ht="15" customHeight="1">
      <c r="A1077" s="141" t="n"/>
      <c r="B1077" s="69">
        <f>IF('Calendario G'!B57="","",'Calendario G'!B57)</f>
        <v/>
      </c>
      <c r="C1077" s="9" t="n"/>
      <c r="D1077" s="9" t="n"/>
      <c r="E1077" s="9" t="n"/>
      <c r="F1077" s="9" t="n"/>
      <c r="G1077" s="9" t="n"/>
      <c r="H1077" s="10" t="n"/>
      <c r="I1077" s="62">
        <f>IF('Calendario G'!I57="","",'Calendario G'!I57)</f>
        <v/>
      </c>
      <c r="J1077" s="141" t="n"/>
      <c r="K1077" s="141" t="n"/>
      <c r="L1077" s="141" t="n"/>
      <c r="M1077" s="141" t="n"/>
      <c r="N1077" s="141" t="n"/>
      <c r="O1077" s="141" t="n"/>
      <c r="P1077" s="141" t="n"/>
      <c r="Q1077" s="141" t="n"/>
      <c r="R1077" s="141" t="n"/>
    </row>
    <row r="1079" ht="20" customHeight="1">
      <c r="A1079" s="106">
        <f>IF('Calendario G'!A59="","",'Calendario G'!A59)</f>
        <v/>
      </c>
      <c r="B1079" s="107">
        <f>IF('Calendario G'!B59="","",'Calendario G'!B59)</f>
        <v/>
      </c>
      <c r="C1079" s="9" t="n"/>
      <c r="D1079" s="9" t="n"/>
      <c r="E1079" s="9" t="n"/>
      <c r="F1079" s="9" t="n"/>
      <c r="G1079" s="9" t="n"/>
      <c r="H1079" s="9" t="n"/>
      <c r="I1079" s="9" t="n"/>
      <c r="J1079" s="9" t="n"/>
      <c r="K1079" s="9" t="n"/>
      <c r="L1079" s="10" t="n"/>
      <c r="M1079" s="208" t="inlineStr">
        <is>
          <t>ARBITRI</t>
        </is>
      </c>
      <c r="N1079" s="9" t="n"/>
      <c r="O1079" s="10" t="n"/>
      <c r="P1079" s="208" t="inlineStr">
        <is>
          <t>UFFICIALI DI CAMPO</t>
        </is>
      </c>
      <c r="Q1079" s="9" t="n"/>
      <c r="R1079" s="10" t="n"/>
    </row>
    <row r="1080" ht="14" customHeight="1">
      <c r="A1080" s="109" t="inlineStr">
        <is>
          <t>Gara N.</t>
        </is>
      </c>
      <c r="B1080" s="109" t="inlineStr">
        <is>
          <t>Squadra A</t>
        </is>
      </c>
      <c r="C1080" s="10" t="n"/>
      <c r="D1080" s="109" t="inlineStr">
        <is>
          <t>Squadra B</t>
        </is>
      </c>
      <c r="E1080" s="10" t="n"/>
      <c r="F1080" s="109" t="inlineStr">
        <is>
          <t>Giorno</t>
        </is>
      </c>
      <c r="G1080" s="109" t="inlineStr">
        <is>
          <t>Data</t>
        </is>
      </c>
      <c r="H1080" s="109" t="inlineStr">
        <is>
          <t>Ora</t>
        </is>
      </c>
      <c r="I1080" s="10" t="n"/>
      <c r="J1080" s="109" t="inlineStr">
        <is>
          <t>Risultato</t>
        </is>
      </c>
      <c r="K1080" s="9" t="n"/>
      <c r="L1080" s="10" t="n"/>
      <c r="M1080" s="209" t="inlineStr">
        <is>
          <t>1o Arbitro</t>
        </is>
      </c>
      <c r="N1080" s="209" t="inlineStr">
        <is>
          <t>2o Arbitro</t>
        </is>
      </c>
      <c r="O1080" s="209" t="inlineStr">
        <is>
          <t>3o Arbitro/Tirocinante</t>
        </is>
      </c>
      <c r="P1080" s="209" t="inlineStr">
        <is>
          <t>Referto</t>
        </is>
      </c>
      <c r="Q1080" s="209" t="inlineStr">
        <is>
          <t>Cronometro</t>
        </is>
      </c>
      <c r="R1080" s="209" t="inlineStr">
        <is>
          <t>Foglio Tiri</t>
        </is>
      </c>
    </row>
    <row r="1081" ht="22" customHeight="1">
      <c r="A1081" s="111">
        <f>IF('Calendario G'!A61="","",'Calendario G'!A61)</f>
        <v/>
      </c>
      <c r="B1081" s="61">
        <f>IF('Calendario G'!B61="","",'Calendario G'!B61)</f>
        <v/>
      </c>
      <c r="C1081" s="62">
        <f>IF('Calendario G'!C61="","",'Calendario G'!C61)</f>
        <v/>
      </c>
      <c r="D1081" s="61">
        <f>IF('Calendario G'!D61="","",'Calendario G'!D61)</f>
        <v/>
      </c>
      <c r="E1081" s="62">
        <f>IF('Calendario G'!E61="","",'Calendario G'!E61)</f>
        <v/>
      </c>
      <c r="F1081" s="63">
        <f>IF('Calendario G'!F61="","",'Calendario G'!F61)</f>
        <v/>
      </c>
      <c r="G1081" s="9" t="n"/>
      <c r="H1081" s="9" t="n"/>
      <c r="I1081" s="10" t="n"/>
      <c r="J1081" s="195">
        <f>IF('Calendario G'!J61="","",'Calendario G'!J61)</f>
        <v/>
      </c>
      <c r="K1081" s="64" t="inlineStr">
        <is>
          <t>-</t>
        </is>
      </c>
      <c r="L1081" s="195">
        <f>IF('Calendario G'!L61="","",'Calendario G'!L61)</f>
        <v/>
      </c>
      <c r="M1081" s="196" t="n"/>
      <c r="N1081" s="196" t="n"/>
      <c r="O1081" s="196" t="n"/>
      <c r="P1081" s="196" t="n"/>
      <c r="Q1081" s="196" t="n"/>
      <c r="R1081" s="196" t="n"/>
    </row>
    <row r="1082" ht="15" customHeight="1">
      <c r="A1082" s="141" t="n"/>
      <c r="B1082" s="69">
        <f>IF('Calendario G'!B62="","",'Calendario G'!B62)</f>
        <v/>
      </c>
      <c r="C1082" s="9" t="n"/>
      <c r="D1082" s="9" t="n"/>
      <c r="E1082" s="9" t="n"/>
      <c r="F1082" s="9" t="n"/>
      <c r="G1082" s="9" t="n"/>
      <c r="H1082" s="10" t="n"/>
      <c r="I1082" s="62">
        <f>IF('Calendario G'!I62="","",'Calendario G'!I62)</f>
        <v/>
      </c>
      <c r="J1082" s="141" t="n"/>
      <c r="K1082" s="141" t="n"/>
      <c r="L1082" s="141" t="n"/>
      <c r="M1082" s="141" t="n"/>
      <c r="N1082" s="141" t="n"/>
      <c r="O1082" s="141" t="n"/>
      <c r="P1082" s="141" t="n"/>
      <c r="Q1082" s="141" t="n"/>
      <c r="R1082" s="141" t="n"/>
    </row>
    <row r="1083" ht="14" customHeight="1">
      <c r="A1083" s="109" t="inlineStr">
        <is>
          <t>Gara N.</t>
        </is>
      </c>
      <c r="B1083" s="109" t="inlineStr">
        <is>
          <t>Squadra A</t>
        </is>
      </c>
      <c r="C1083" s="10" t="n"/>
      <c r="D1083" s="109" t="inlineStr">
        <is>
          <t>Squadra B</t>
        </is>
      </c>
      <c r="E1083" s="10" t="n"/>
      <c r="F1083" s="109" t="inlineStr">
        <is>
          <t>Giorno</t>
        </is>
      </c>
      <c r="G1083" s="109" t="inlineStr">
        <is>
          <t>Data</t>
        </is>
      </c>
      <c r="H1083" s="109" t="inlineStr">
        <is>
          <t>Ora</t>
        </is>
      </c>
      <c r="I1083" s="10" t="n"/>
      <c r="J1083" s="109" t="inlineStr">
        <is>
          <t>Risultato</t>
        </is>
      </c>
      <c r="K1083" s="9" t="n"/>
      <c r="L1083" s="10" t="n"/>
      <c r="M1083" s="209" t="inlineStr">
        <is>
          <t>1o Arbitro</t>
        </is>
      </c>
      <c r="N1083" s="209" t="inlineStr">
        <is>
          <t>2o Arbitro</t>
        </is>
      </c>
      <c r="O1083" s="209" t="inlineStr">
        <is>
          <t>3o Arbitro/Tirocinante</t>
        </is>
      </c>
      <c r="P1083" s="209" t="inlineStr">
        <is>
          <t>Referto</t>
        </is>
      </c>
      <c r="Q1083" s="209" t="inlineStr">
        <is>
          <t>Cronometro</t>
        </is>
      </c>
      <c r="R1083" s="209" t="inlineStr">
        <is>
          <t>Foglio Tiri</t>
        </is>
      </c>
    </row>
    <row r="1084" ht="22" customHeight="1">
      <c r="A1084" s="111">
        <f>IF('Calendario G'!A64="","",'Calendario G'!A64)</f>
        <v/>
      </c>
      <c r="B1084" s="61">
        <f>IF('Calendario G'!B64="","",'Calendario G'!B64)</f>
        <v/>
      </c>
      <c r="C1084" s="62">
        <f>IF('Calendario G'!C64="","",'Calendario G'!C64)</f>
        <v/>
      </c>
      <c r="D1084" s="61">
        <f>IF('Calendario G'!D64="","",'Calendario G'!D64)</f>
        <v/>
      </c>
      <c r="E1084" s="62">
        <f>IF('Calendario G'!E64="","",'Calendario G'!E64)</f>
        <v/>
      </c>
      <c r="F1084" s="63">
        <f>IF('Calendario G'!F64="","",'Calendario G'!F64)</f>
        <v/>
      </c>
      <c r="G1084" s="9" t="n"/>
      <c r="H1084" s="9" t="n"/>
      <c r="I1084" s="10" t="n"/>
      <c r="J1084" s="195">
        <f>IF('Calendario G'!J64="","",'Calendario G'!J64)</f>
        <v/>
      </c>
      <c r="K1084" s="64" t="inlineStr">
        <is>
          <t>-</t>
        </is>
      </c>
      <c r="L1084" s="195">
        <f>IF('Calendario G'!L64="","",'Calendario G'!L64)</f>
        <v/>
      </c>
      <c r="M1084" s="196" t="n"/>
      <c r="N1084" s="196" t="n"/>
      <c r="O1084" s="196" t="n"/>
      <c r="P1084" s="196" t="n"/>
      <c r="Q1084" s="196" t="n"/>
      <c r="R1084" s="196" t="n"/>
    </row>
    <row r="1085" ht="15" customHeight="1">
      <c r="A1085" s="141" t="n"/>
      <c r="B1085" s="69">
        <f>IF('Calendario G'!B65="","",'Calendario G'!B65)</f>
        <v/>
      </c>
      <c r="C1085" s="9" t="n"/>
      <c r="D1085" s="9" t="n"/>
      <c r="E1085" s="9" t="n"/>
      <c r="F1085" s="9" t="n"/>
      <c r="G1085" s="9" t="n"/>
      <c r="H1085" s="10" t="n"/>
      <c r="I1085" s="62">
        <f>IF('Calendario G'!I65="","",'Calendario G'!I65)</f>
        <v/>
      </c>
      <c r="J1085" s="141" t="n"/>
      <c r="K1085" s="141" t="n"/>
      <c r="L1085" s="141" t="n"/>
      <c r="M1085" s="141" t="n"/>
      <c r="N1085" s="141" t="n"/>
      <c r="O1085" s="141" t="n"/>
      <c r="P1085" s="141" t="n"/>
      <c r="Q1085" s="141" t="n"/>
      <c r="R1085" s="141" t="n"/>
    </row>
    <row r="1086" ht="14" customHeight="1">
      <c r="A1086" s="109" t="inlineStr">
        <is>
          <t>Gara N.</t>
        </is>
      </c>
      <c r="B1086" s="109" t="inlineStr">
        <is>
          <t>Squadra A</t>
        </is>
      </c>
      <c r="C1086" s="10" t="n"/>
      <c r="D1086" s="109" t="inlineStr">
        <is>
          <t>Squadra B</t>
        </is>
      </c>
      <c r="E1086" s="10" t="n"/>
      <c r="F1086" s="109" t="inlineStr">
        <is>
          <t>Giorno</t>
        </is>
      </c>
      <c r="G1086" s="109" t="inlineStr">
        <is>
          <t>Data</t>
        </is>
      </c>
      <c r="H1086" s="109" t="inlineStr">
        <is>
          <t>Ora</t>
        </is>
      </c>
      <c r="I1086" s="10" t="n"/>
      <c r="J1086" s="109" t="inlineStr">
        <is>
          <t>Risultato</t>
        </is>
      </c>
      <c r="K1086" s="9" t="n"/>
      <c r="L1086" s="10" t="n"/>
      <c r="M1086" s="209" t="inlineStr">
        <is>
          <t>1o Arbitro</t>
        </is>
      </c>
      <c r="N1086" s="209" t="inlineStr">
        <is>
          <t>2o Arbitro</t>
        </is>
      </c>
      <c r="O1086" s="209" t="inlineStr">
        <is>
          <t>3o Arbitro/Tirocinante</t>
        </is>
      </c>
      <c r="P1086" s="209" t="inlineStr">
        <is>
          <t>Referto</t>
        </is>
      </c>
      <c r="Q1086" s="209" t="inlineStr">
        <is>
          <t>Cronometro</t>
        </is>
      </c>
      <c r="R1086" s="209" t="inlineStr">
        <is>
          <t>Foglio Tiri</t>
        </is>
      </c>
    </row>
    <row r="1087" ht="22" customHeight="1">
      <c r="A1087" s="111">
        <f>IF('Calendario G'!A67="","",'Calendario G'!A67)</f>
        <v/>
      </c>
      <c r="B1087" s="61">
        <f>IF('Calendario G'!B67="","",'Calendario G'!B67)</f>
        <v/>
      </c>
      <c r="C1087" s="62">
        <f>IF('Calendario G'!C67="","",'Calendario G'!C67)</f>
        <v/>
      </c>
      <c r="D1087" s="61">
        <f>IF('Calendario G'!D67="","",'Calendario G'!D67)</f>
        <v/>
      </c>
      <c r="E1087" s="62">
        <f>IF('Calendario G'!E67="","",'Calendario G'!E67)</f>
        <v/>
      </c>
      <c r="F1087" s="63">
        <f>IF('Calendario G'!F67="","",'Calendario G'!F67)</f>
        <v/>
      </c>
      <c r="G1087" s="9" t="n"/>
      <c r="H1087" s="9" t="n"/>
      <c r="I1087" s="10" t="n"/>
      <c r="J1087" s="195">
        <f>IF('Calendario G'!J67="","",'Calendario G'!J67)</f>
        <v/>
      </c>
      <c r="K1087" s="64" t="inlineStr">
        <is>
          <t>-</t>
        </is>
      </c>
      <c r="L1087" s="195">
        <f>IF('Calendario G'!L67="","",'Calendario G'!L67)</f>
        <v/>
      </c>
      <c r="M1087" s="196" t="n"/>
      <c r="N1087" s="196" t="n"/>
      <c r="O1087" s="196" t="n"/>
      <c r="P1087" s="196" t="n"/>
      <c r="Q1087" s="196" t="n"/>
      <c r="R1087" s="196" t="n"/>
    </row>
    <row r="1088" ht="15" customHeight="1">
      <c r="A1088" s="141" t="n"/>
      <c r="B1088" s="69">
        <f>IF('Calendario G'!B68="","",'Calendario G'!B68)</f>
        <v/>
      </c>
      <c r="C1088" s="9" t="n"/>
      <c r="D1088" s="9" t="n"/>
      <c r="E1088" s="9" t="n"/>
      <c r="F1088" s="9" t="n"/>
      <c r="G1088" s="9" t="n"/>
      <c r="H1088" s="10" t="n"/>
      <c r="I1088" s="62">
        <f>IF('Calendario G'!I68="","",'Calendario G'!I68)</f>
        <v/>
      </c>
      <c r="J1088" s="141" t="n"/>
      <c r="K1088" s="141" t="n"/>
      <c r="L1088" s="141" t="n"/>
      <c r="M1088" s="141" t="n"/>
      <c r="N1088" s="141" t="n"/>
      <c r="O1088" s="141" t="n"/>
      <c r="P1088" s="141" t="n"/>
      <c r="Q1088" s="141" t="n"/>
      <c r="R1088" s="141" t="n"/>
    </row>
    <row r="1089" ht="14" customHeight="1">
      <c r="A1089" s="109" t="inlineStr">
        <is>
          <t>Gara N.</t>
        </is>
      </c>
      <c r="B1089" s="109" t="inlineStr">
        <is>
          <t>Squadra A</t>
        </is>
      </c>
      <c r="C1089" s="10" t="n"/>
      <c r="D1089" s="109" t="inlineStr">
        <is>
          <t>Squadra B</t>
        </is>
      </c>
      <c r="E1089" s="10" t="n"/>
      <c r="F1089" s="109" t="inlineStr">
        <is>
          <t>Giorno</t>
        </is>
      </c>
      <c r="G1089" s="109" t="inlineStr">
        <is>
          <t>Data</t>
        </is>
      </c>
      <c r="H1089" s="109" t="inlineStr">
        <is>
          <t>Ora</t>
        </is>
      </c>
      <c r="I1089" s="10" t="n"/>
      <c r="J1089" s="109" t="inlineStr">
        <is>
          <t>Risultato</t>
        </is>
      </c>
      <c r="K1089" s="9" t="n"/>
      <c r="L1089" s="10" t="n"/>
      <c r="M1089" s="209" t="inlineStr">
        <is>
          <t>1o Arbitro</t>
        </is>
      </c>
      <c r="N1089" s="209" t="inlineStr">
        <is>
          <t>2o Arbitro</t>
        </is>
      </c>
      <c r="O1089" s="209" t="inlineStr">
        <is>
          <t>3o Arbitro/Tirocinante</t>
        </is>
      </c>
      <c r="P1089" s="209" t="inlineStr">
        <is>
          <t>Referto</t>
        </is>
      </c>
      <c r="Q1089" s="209" t="inlineStr">
        <is>
          <t>Cronometro</t>
        </is>
      </c>
      <c r="R1089" s="209" t="inlineStr">
        <is>
          <t>Foglio Tiri</t>
        </is>
      </c>
    </row>
    <row r="1090" ht="22" customHeight="1">
      <c r="A1090" s="111">
        <f>IF('Calendario G'!A70="","",'Calendario G'!A70)</f>
        <v/>
      </c>
      <c r="B1090" s="61">
        <f>IF('Calendario G'!B70="","",'Calendario G'!B70)</f>
        <v/>
      </c>
      <c r="C1090" s="62">
        <f>IF('Calendario G'!C70="","",'Calendario G'!C70)</f>
        <v/>
      </c>
      <c r="D1090" s="61">
        <f>IF('Calendario G'!D70="","",'Calendario G'!D70)</f>
        <v/>
      </c>
      <c r="E1090" s="62">
        <f>IF('Calendario G'!E70="","",'Calendario G'!E70)</f>
        <v/>
      </c>
      <c r="F1090" s="63">
        <f>IF('Calendario G'!F70="","",'Calendario G'!F70)</f>
        <v/>
      </c>
      <c r="G1090" s="9" t="n"/>
      <c r="H1090" s="9" t="n"/>
      <c r="I1090" s="10" t="n"/>
      <c r="J1090" s="195">
        <f>IF('Calendario G'!J70="","",'Calendario G'!J70)</f>
        <v/>
      </c>
      <c r="K1090" s="64" t="inlineStr">
        <is>
          <t>-</t>
        </is>
      </c>
      <c r="L1090" s="195">
        <f>IF('Calendario G'!L70="","",'Calendario G'!L70)</f>
        <v/>
      </c>
      <c r="M1090" s="196" t="n"/>
      <c r="N1090" s="196" t="n"/>
      <c r="O1090" s="196" t="n"/>
      <c r="P1090" s="196" t="n"/>
      <c r="Q1090" s="196" t="n"/>
      <c r="R1090" s="196" t="n"/>
    </row>
    <row r="1091" ht="15" customHeight="1">
      <c r="A1091" s="141" t="n"/>
      <c r="B1091" s="69">
        <f>IF('Calendario G'!B71="","",'Calendario G'!B71)</f>
        <v/>
      </c>
      <c r="C1091" s="9" t="n"/>
      <c r="D1091" s="9" t="n"/>
      <c r="E1091" s="9" t="n"/>
      <c r="F1091" s="9" t="n"/>
      <c r="G1091" s="9" t="n"/>
      <c r="H1091" s="10" t="n"/>
      <c r="I1091" s="62">
        <f>IF('Calendario G'!I71="","",'Calendario G'!I71)</f>
        <v/>
      </c>
      <c r="J1091" s="141" t="n"/>
      <c r="K1091" s="141" t="n"/>
      <c r="L1091" s="141" t="n"/>
      <c r="M1091" s="141" t="n"/>
      <c r="N1091" s="141" t="n"/>
      <c r="O1091" s="141" t="n"/>
      <c r="P1091" s="141" t="n"/>
      <c r="Q1091" s="141" t="n"/>
      <c r="R1091" s="141" t="n"/>
    </row>
    <row r="1092" ht="14" customHeight="1">
      <c r="A1092" s="109" t="inlineStr">
        <is>
          <t>Gara N.</t>
        </is>
      </c>
      <c r="B1092" s="109" t="inlineStr">
        <is>
          <t>Squadra A</t>
        </is>
      </c>
      <c r="C1092" s="10" t="n"/>
      <c r="D1092" s="109" t="inlineStr">
        <is>
          <t>Squadra B</t>
        </is>
      </c>
      <c r="E1092" s="10" t="n"/>
      <c r="F1092" s="109" t="inlineStr">
        <is>
          <t>Giorno</t>
        </is>
      </c>
      <c r="G1092" s="109" t="inlineStr">
        <is>
          <t>Data</t>
        </is>
      </c>
      <c r="H1092" s="109" t="inlineStr">
        <is>
          <t>Ora</t>
        </is>
      </c>
      <c r="I1092" s="10" t="n"/>
      <c r="J1092" s="109" t="inlineStr">
        <is>
          <t>Risultato</t>
        </is>
      </c>
      <c r="K1092" s="9" t="n"/>
      <c r="L1092" s="10" t="n"/>
      <c r="M1092" s="209" t="inlineStr">
        <is>
          <t>1o Arbitro</t>
        </is>
      </c>
      <c r="N1092" s="209" t="inlineStr">
        <is>
          <t>2o Arbitro</t>
        </is>
      </c>
      <c r="O1092" s="209" t="inlineStr">
        <is>
          <t>3o Arbitro/Tirocinante</t>
        </is>
      </c>
      <c r="P1092" s="209" t="inlineStr">
        <is>
          <t>Referto</t>
        </is>
      </c>
      <c r="Q1092" s="209" t="inlineStr">
        <is>
          <t>Cronometro</t>
        </is>
      </c>
      <c r="R1092" s="209" t="inlineStr">
        <is>
          <t>Foglio Tiri</t>
        </is>
      </c>
    </row>
    <row r="1093" ht="22" customHeight="1">
      <c r="A1093" s="111">
        <f>IF('Calendario G'!A73="","",'Calendario G'!A73)</f>
        <v/>
      </c>
      <c r="B1093" s="61">
        <f>IF('Calendario G'!B73="","",'Calendario G'!B73)</f>
        <v/>
      </c>
      <c r="C1093" s="62">
        <f>IF('Calendario G'!C73="","",'Calendario G'!C73)</f>
        <v/>
      </c>
      <c r="D1093" s="61">
        <f>IF('Calendario G'!D73="","",'Calendario G'!D73)</f>
        <v/>
      </c>
      <c r="E1093" s="62">
        <f>IF('Calendario G'!E73="","",'Calendario G'!E73)</f>
        <v/>
      </c>
      <c r="F1093" s="63">
        <f>IF('Calendario G'!F73="","",'Calendario G'!F73)</f>
        <v/>
      </c>
      <c r="G1093" s="9" t="n"/>
      <c r="H1093" s="9" t="n"/>
      <c r="I1093" s="10" t="n"/>
      <c r="J1093" s="195">
        <f>IF('Calendario G'!J73="","",'Calendario G'!J73)</f>
        <v/>
      </c>
      <c r="K1093" s="64" t="inlineStr">
        <is>
          <t>-</t>
        </is>
      </c>
      <c r="L1093" s="195">
        <f>IF('Calendario G'!L73="","",'Calendario G'!L73)</f>
        <v/>
      </c>
      <c r="M1093" s="196" t="n"/>
      <c r="N1093" s="196" t="n"/>
      <c r="O1093" s="196" t="n"/>
      <c r="P1093" s="196" t="n"/>
      <c r="Q1093" s="196" t="n"/>
      <c r="R1093" s="196" t="n"/>
    </row>
    <row r="1094" ht="15" customHeight="1">
      <c r="A1094" s="141" t="n"/>
      <c r="B1094" s="69">
        <f>IF('Calendario G'!B74="","",'Calendario G'!B74)</f>
        <v/>
      </c>
      <c r="C1094" s="9" t="n"/>
      <c r="D1094" s="9" t="n"/>
      <c r="E1094" s="9" t="n"/>
      <c r="F1094" s="9" t="n"/>
      <c r="G1094" s="9" t="n"/>
      <c r="H1094" s="10" t="n"/>
      <c r="I1094" s="62">
        <f>IF('Calendario G'!I74="","",'Calendario G'!I74)</f>
        <v/>
      </c>
      <c r="J1094" s="141" t="n"/>
      <c r="K1094" s="141" t="n"/>
      <c r="L1094" s="141" t="n"/>
      <c r="M1094" s="141" t="n"/>
      <c r="N1094" s="141" t="n"/>
      <c r="O1094" s="141" t="n"/>
      <c r="P1094" s="141" t="n"/>
      <c r="Q1094" s="141" t="n"/>
      <c r="R1094" s="141" t="n"/>
    </row>
    <row r="1096" ht="20" customHeight="1">
      <c r="A1096" s="106">
        <f>IF('Calendario G'!A76="","",'Calendario G'!A76)</f>
        <v/>
      </c>
      <c r="B1096" s="107">
        <f>IF('Calendario G'!B76="","",'Calendario G'!B76)</f>
        <v/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10" t="n"/>
      <c r="M1096" s="208" t="inlineStr">
        <is>
          <t>ARBITRI</t>
        </is>
      </c>
      <c r="N1096" s="9" t="n"/>
      <c r="O1096" s="10" t="n"/>
      <c r="P1096" s="208" t="inlineStr">
        <is>
          <t>UFFICIALI DI CAMPO</t>
        </is>
      </c>
      <c r="Q1096" s="9" t="n"/>
      <c r="R1096" s="10" t="n"/>
    </row>
    <row r="1097" ht="14" customHeight="1">
      <c r="A1097" s="109" t="inlineStr">
        <is>
          <t>Gara N.</t>
        </is>
      </c>
      <c r="B1097" s="109" t="inlineStr">
        <is>
          <t>Squadra A</t>
        </is>
      </c>
      <c r="C1097" s="10" t="n"/>
      <c r="D1097" s="109" t="inlineStr">
        <is>
          <t>Squadra B</t>
        </is>
      </c>
      <c r="E1097" s="10" t="n"/>
      <c r="F1097" s="109" t="inlineStr">
        <is>
          <t>Giorno</t>
        </is>
      </c>
      <c r="G1097" s="109" t="inlineStr">
        <is>
          <t>Data</t>
        </is>
      </c>
      <c r="H1097" s="109" t="inlineStr">
        <is>
          <t>Ora</t>
        </is>
      </c>
      <c r="I1097" s="10" t="n"/>
      <c r="J1097" s="109" t="inlineStr">
        <is>
          <t>Risultato</t>
        </is>
      </c>
      <c r="K1097" s="9" t="n"/>
      <c r="L1097" s="10" t="n"/>
      <c r="M1097" s="209" t="inlineStr">
        <is>
          <t>1o Arbitro</t>
        </is>
      </c>
      <c r="N1097" s="209" t="inlineStr">
        <is>
          <t>2o Arbitro</t>
        </is>
      </c>
      <c r="O1097" s="209" t="inlineStr">
        <is>
          <t>3o Arbitro/Tirocinante</t>
        </is>
      </c>
      <c r="P1097" s="209" t="inlineStr">
        <is>
          <t>Referto</t>
        </is>
      </c>
      <c r="Q1097" s="209" t="inlineStr">
        <is>
          <t>Cronometro</t>
        </is>
      </c>
      <c r="R1097" s="209" t="inlineStr">
        <is>
          <t>Foglio Tiri</t>
        </is>
      </c>
    </row>
    <row r="1098" ht="22" customHeight="1">
      <c r="A1098" s="111">
        <f>IF('Calendario G'!A78="","",'Calendario G'!A78)</f>
        <v/>
      </c>
      <c r="B1098" s="61">
        <f>IF('Calendario G'!B78="","",'Calendario G'!B78)</f>
        <v/>
      </c>
      <c r="C1098" s="62">
        <f>IF('Calendario G'!C78="","",'Calendario G'!C78)</f>
        <v/>
      </c>
      <c r="D1098" s="61">
        <f>IF('Calendario G'!D78="","",'Calendario G'!D78)</f>
        <v/>
      </c>
      <c r="E1098" s="62">
        <f>IF('Calendario G'!E78="","",'Calendario G'!E78)</f>
        <v/>
      </c>
      <c r="F1098" s="63">
        <f>IF('Calendario G'!F78="","",'Calendario G'!F78)</f>
        <v/>
      </c>
      <c r="G1098" s="9" t="n"/>
      <c r="H1098" s="9" t="n"/>
      <c r="I1098" s="10" t="n"/>
      <c r="J1098" s="195">
        <f>IF('Calendario G'!J78="","",'Calendario G'!J78)</f>
        <v/>
      </c>
      <c r="K1098" s="64" t="inlineStr">
        <is>
          <t>-</t>
        </is>
      </c>
      <c r="L1098" s="195">
        <f>IF('Calendario G'!L78="","",'Calendario G'!L78)</f>
        <v/>
      </c>
      <c r="M1098" s="196" t="n"/>
      <c r="N1098" s="196" t="n"/>
      <c r="O1098" s="196" t="n"/>
      <c r="P1098" s="196" t="n"/>
      <c r="Q1098" s="196" t="n"/>
      <c r="R1098" s="196" t="n"/>
    </row>
    <row r="1099" ht="15" customHeight="1">
      <c r="A1099" s="141" t="n"/>
      <c r="B1099" s="69">
        <f>IF('Calendario G'!B79="","",'Calendario G'!B79)</f>
        <v/>
      </c>
      <c r="C1099" s="9" t="n"/>
      <c r="D1099" s="9" t="n"/>
      <c r="E1099" s="9" t="n"/>
      <c r="F1099" s="9" t="n"/>
      <c r="G1099" s="9" t="n"/>
      <c r="H1099" s="10" t="n"/>
      <c r="I1099" s="62">
        <f>IF('Calendario G'!I79="","",'Calendario G'!I79)</f>
        <v/>
      </c>
      <c r="J1099" s="141" t="n"/>
      <c r="K1099" s="141" t="n"/>
      <c r="L1099" s="141" t="n"/>
      <c r="M1099" s="141" t="n"/>
      <c r="N1099" s="141" t="n"/>
      <c r="O1099" s="141" t="n"/>
      <c r="P1099" s="141" t="n"/>
      <c r="Q1099" s="141" t="n"/>
      <c r="R1099" s="141" t="n"/>
    </row>
    <row r="1100" ht="14" customHeight="1">
      <c r="A1100" s="109" t="inlineStr">
        <is>
          <t>Gara N.</t>
        </is>
      </c>
      <c r="B1100" s="109" t="inlineStr">
        <is>
          <t>Squadra A</t>
        </is>
      </c>
      <c r="C1100" s="10" t="n"/>
      <c r="D1100" s="109" t="inlineStr">
        <is>
          <t>Squadra B</t>
        </is>
      </c>
      <c r="E1100" s="10" t="n"/>
      <c r="F1100" s="109" t="inlineStr">
        <is>
          <t>Giorno</t>
        </is>
      </c>
      <c r="G1100" s="109" t="inlineStr">
        <is>
          <t>Data</t>
        </is>
      </c>
      <c r="H1100" s="109" t="inlineStr">
        <is>
          <t>Ora</t>
        </is>
      </c>
      <c r="I1100" s="10" t="n"/>
      <c r="J1100" s="109" t="inlineStr">
        <is>
          <t>Risultato</t>
        </is>
      </c>
      <c r="K1100" s="9" t="n"/>
      <c r="L1100" s="10" t="n"/>
      <c r="M1100" s="209" t="inlineStr">
        <is>
          <t>1o Arbitro</t>
        </is>
      </c>
      <c r="N1100" s="209" t="inlineStr">
        <is>
          <t>2o Arbitro</t>
        </is>
      </c>
      <c r="O1100" s="209" t="inlineStr">
        <is>
          <t>3o Arbitro/Tirocinante</t>
        </is>
      </c>
      <c r="P1100" s="209" t="inlineStr">
        <is>
          <t>Referto</t>
        </is>
      </c>
      <c r="Q1100" s="209" t="inlineStr">
        <is>
          <t>Cronometro</t>
        </is>
      </c>
      <c r="R1100" s="209" t="inlineStr">
        <is>
          <t>Foglio Tiri</t>
        </is>
      </c>
    </row>
    <row r="1101" ht="22" customHeight="1">
      <c r="A1101" s="111">
        <f>IF('Calendario G'!A81="","",'Calendario G'!A81)</f>
        <v/>
      </c>
      <c r="B1101" s="61">
        <f>IF('Calendario G'!B81="","",'Calendario G'!B81)</f>
        <v/>
      </c>
      <c r="C1101" s="62">
        <f>IF('Calendario G'!C81="","",'Calendario G'!C81)</f>
        <v/>
      </c>
      <c r="D1101" s="61">
        <f>IF('Calendario G'!D81="","",'Calendario G'!D81)</f>
        <v/>
      </c>
      <c r="E1101" s="62">
        <f>IF('Calendario G'!E81="","",'Calendario G'!E81)</f>
        <v/>
      </c>
      <c r="F1101" s="63">
        <f>IF('Calendario G'!F81="","",'Calendario G'!F81)</f>
        <v/>
      </c>
      <c r="G1101" s="9" t="n"/>
      <c r="H1101" s="9" t="n"/>
      <c r="I1101" s="10" t="n"/>
      <c r="J1101" s="195">
        <f>IF('Calendario G'!J81="","",'Calendario G'!J81)</f>
        <v/>
      </c>
      <c r="K1101" s="64" t="inlineStr">
        <is>
          <t>-</t>
        </is>
      </c>
      <c r="L1101" s="195">
        <f>IF('Calendario G'!L81="","",'Calendario G'!L81)</f>
        <v/>
      </c>
      <c r="M1101" s="196" t="n"/>
      <c r="N1101" s="196" t="n"/>
      <c r="O1101" s="196" t="n"/>
      <c r="P1101" s="196" t="n"/>
      <c r="Q1101" s="196" t="n"/>
      <c r="R1101" s="196" t="n"/>
    </row>
    <row r="1102" ht="15" customHeight="1">
      <c r="A1102" s="141" t="n"/>
      <c r="B1102" s="69">
        <f>IF('Calendario G'!B82="","",'Calendario G'!B82)</f>
        <v/>
      </c>
      <c r="C1102" s="9" t="n"/>
      <c r="D1102" s="9" t="n"/>
      <c r="E1102" s="9" t="n"/>
      <c r="F1102" s="9" t="n"/>
      <c r="G1102" s="9" t="n"/>
      <c r="H1102" s="10" t="n"/>
      <c r="I1102" s="62">
        <f>IF('Calendario G'!I82="","",'Calendario G'!I82)</f>
        <v/>
      </c>
      <c r="J1102" s="141" t="n"/>
      <c r="K1102" s="141" t="n"/>
      <c r="L1102" s="141" t="n"/>
      <c r="M1102" s="141" t="n"/>
      <c r="N1102" s="141" t="n"/>
      <c r="O1102" s="141" t="n"/>
      <c r="P1102" s="141" t="n"/>
      <c r="Q1102" s="141" t="n"/>
      <c r="R1102" s="141" t="n"/>
    </row>
    <row r="1103" ht="14" customHeight="1">
      <c r="A1103" s="109" t="inlineStr">
        <is>
          <t>Gara N.</t>
        </is>
      </c>
      <c r="B1103" s="109" t="inlineStr">
        <is>
          <t>Squadra A</t>
        </is>
      </c>
      <c r="C1103" s="10" t="n"/>
      <c r="D1103" s="109" t="inlineStr">
        <is>
          <t>Squadra B</t>
        </is>
      </c>
      <c r="E1103" s="10" t="n"/>
      <c r="F1103" s="109" t="inlineStr">
        <is>
          <t>Giorno</t>
        </is>
      </c>
      <c r="G1103" s="109" t="inlineStr">
        <is>
          <t>Data</t>
        </is>
      </c>
      <c r="H1103" s="109" t="inlineStr">
        <is>
          <t>Ora</t>
        </is>
      </c>
      <c r="I1103" s="10" t="n"/>
      <c r="J1103" s="109" t="inlineStr">
        <is>
          <t>Risultato</t>
        </is>
      </c>
      <c r="K1103" s="9" t="n"/>
      <c r="L1103" s="10" t="n"/>
      <c r="M1103" s="209" t="inlineStr">
        <is>
          <t>1o Arbitro</t>
        </is>
      </c>
      <c r="N1103" s="209" t="inlineStr">
        <is>
          <t>2o Arbitro</t>
        </is>
      </c>
      <c r="O1103" s="209" t="inlineStr">
        <is>
          <t>3o Arbitro/Tirocinante</t>
        </is>
      </c>
      <c r="P1103" s="209" t="inlineStr">
        <is>
          <t>Referto</t>
        </is>
      </c>
      <c r="Q1103" s="209" t="inlineStr">
        <is>
          <t>Cronometro</t>
        </is>
      </c>
      <c r="R1103" s="209" t="inlineStr">
        <is>
          <t>Foglio Tiri</t>
        </is>
      </c>
    </row>
    <row r="1104" ht="22" customHeight="1">
      <c r="A1104" s="111">
        <f>IF('Calendario G'!A84="","",'Calendario G'!A84)</f>
        <v/>
      </c>
      <c r="B1104" s="61">
        <f>IF('Calendario G'!B84="","",'Calendario G'!B84)</f>
        <v/>
      </c>
      <c r="C1104" s="62">
        <f>IF('Calendario G'!C84="","",'Calendario G'!C84)</f>
        <v/>
      </c>
      <c r="D1104" s="61">
        <f>IF('Calendario G'!D84="","",'Calendario G'!D84)</f>
        <v/>
      </c>
      <c r="E1104" s="62">
        <f>IF('Calendario G'!E84="","",'Calendario G'!E84)</f>
        <v/>
      </c>
      <c r="F1104" s="63">
        <f>IF('Calendario G'!F84="","",'Calendario G'!F84)</f>
        <v/>
      </c>
      <c r="G1104" s="9" t="n"/>
      <c r="H1104" s="9" t="n"/>
      <c r="I1104" s="10" t="n"/>
      <c r="J1104" s="195">
        <f>IF('Calendario G'!J84="","",'Calendario G'!J84)</f>
        <v/>
      </c>
      <c r="K1104" s="64" t="inlineStr">
        <is>
          <t>-</t>
        </is>
      </c>
      <c r="L1104" s="195">
        <f>IF('Calendario G'!L84="","",'Calendario G'!L84)</f>
        <v/>
      </c>
      <c r="M1104" s="196" t="n"/>
      <c r="N1104" s="196" t="n"/>
      <c r="O1104" s="196" t="n"/>
      <c r="P1104" s="196" t="n"/>
      <c r="Q1104" s="196" t="n"/>
      <c r="R1104" s="196" t="n"/>
    </row>
    <row r="1105" ht="15" customHeight="1">
      <c r="A1105" s="141" t="n"/>
      <c r="B1105" s="69">
        <f>IF('Calendario G'!B85="","",'Calendario G'!B85)</f>
        <v/>
      </c>
      <c r="C1105" s="9" t="n"/>
      <c r="D1105" s="9" t="n"/>
      <c r="E1105" s="9" t="n"/>
      <c r="F1105" s="9" t="n"/>
      <c r="G1105" s="9" t="n"/>
      <c r="H1105" s="10" t="n"/>
      <c r="I1105" s="62">
        <f>IF('Calendario G'!I85="","",'Calendario G'!I85)</f>
        <v/>
      </c>
      <c r="J1105" s="141" t="n"/>
      <c r="K1105" s="141" t="n"/>
      <c r="L1105" s="141" t="n"/>
      <c r="M1105" s="141" t="n"/>
      <c r="N1105" s="141" t="n"/>
      <c r="O1105" s="141" t="n"/>
      <c r="P1105" s="141" t="n"/>
      <c r="Q1105" s="141" t="n"/>
      <c r="R1105" s="141" t="n"/>
    </row>
    <row r="1106" ht="14" customHeight="1">
      <c r="A1106" s="109" t="inlineStr">
        <is>
          <t>Gara N.</t>
        </is>
      </c>
      <c r="B1106" s="109" t="inlineStr">
        <is>
          <t>Squadra A</t>
        </is>
      </c>
      <c r="C1106" s="10" t="n"/>
      <c r="D1106" s="109" t="inlineStr">
        <is>
          <t>Squadra B</t>
        </is>
      </c>
      <c r="E1106" s="10" t="n"/>
      <c r="F1106" s="109" t="inlineStr">
        <is>
          <t>Giorno</t>
        </is>
      </c>
      <c r="G1106" s="109" t="inlineStr">
        <is>
          <t>Data</t>
        </is>
      </c>
      <c r="H1106" s="109" t="inlineStr">
        <is>
          <t>Ora</t>
        </is>
      </c>
      <c r="I1106" s="10" t="n"/>
      <c r="J1106" s="109" t="inlineStr">
        <is>
          <t>Risultato</t>
        </is>
      </c>
      <c r="K1106" s="9" t="n"/>
      <c r="L1106" s="10" t="n"/>
      <c r="M1106" s="209" t="inlineStr">
        <is>
          <t>1o Arbitro</t>
        </is>
      </c>
      <c r="N1106" s="209" t="inlineStr">
        <is>
          <t>2o Arbitro</t>
        </is>
      </c>
      <c r="O1106" s="209" t="inlineStr">
        <is>
          <t>3o Arbitro/Tirocinante</t>
        </is>
      </c>
      <c r="P1106" s="209" t="inlineStr">
        <is>
          <t>Referto</t>
        </is>
      </c>
      <c r="Q1106" s="209" t="inlineStr">
        <is>
          <t>Cronometro</t>
        </is>
      </c>
      <c r="R1106" s="209" t="inlineStr">
        <is>
          <t>Foglio Tiri</t>
        </is>
      </c>
    </row>
    <row r="1107" ht="22" customHeight="1">
      <c r="A1107" s="111">
        <f>IF('Calendario G'!A87="","",'Calendario G'!A87)</f>
        <v/>
      </c>
      <c r="B1107" s="61">
        <f>IF('Calendario G'!B87="","",'Calendario G'!B87)</f>
        <v/>
      </c>
      <c r="C1107" s="62">
        <f>IF('Calendario G'!C87="","",'Calendario G'!C87)</f>
        <v/>
      </c>
      <c r="D1107" s="61">
        <f>IF('Calendario G'!D87="","",'Calendario G'!D87)</f>
        <v/>
      </c>
      <c r="E1107" s="62">
        <f>IF('Calendario G'!E87="","",'Calendario G'!E87)</f>
        <v/>
      </c>
      <c r="F1107" s="63">
        <f>IF('Calendario G'!F87="","",'Calendario G'!F87)</f>
        <v/>
      </c>
      <c r="G1107" s="9" t="n"/>
      <c r="H1107" s="9" t="n"/>
      <c r="I1107" s="10" t="n"/>
      <c r="J1107" s="195">
        <f>IF('Calendario G'!J87="","",'Calendario G'!J87)</f>
        <v/>
      </c>
      <c r="K1107" s="64" t="inlineStr">
        <is>
          <t>-</t>
        </is>
      </c>
      <c r="L1107" s="195">
        <f>IF('Calendario G'!L87="","",'Calendario G'!L87)</f>
        <v/>
      </c>
      <c r="M1107" s="196" t="n"/>
      <c r="N1107" s="196" t="n"/>
      <c r="O1107" s="196" t="n"/>
      <c r="P1107" s="196" t="n"/>
      <c r="Q1107" s="196" t="n"/>
      <c r="R1107" s="196" t="n"/>
    </row>
    <row r="1108" ht="15" customHeight="1">
      <c r="A1108" s="141" t="n"/>
      <c r="B1108" s="69">
        <f>IF('Calendario G'!B88="","",'Calendario G'!B88)</f>
        <v/>
      </c>
      <c r="C1108" s="9" t="n"/>
      <c r="D1108" s="9" t="n"/>
      <c r="E1108" s="9" t="n"/>
      <c r="F1108" s="9" t="n"/>
      <c r="G1108" s="9" t="n"/>
      <c r="H1108" s="10" t="n"/>
      <c r="I1108" s="62">
        <f>IF('Calendario G'!I88="","",'Calendario G'!I88)</f>
        <v/>
      </c>
      <c r="J1108" s="141" t="n"/>
      <c r="K1108" s="141" t="n"/>
      <c r="L1108" s="141" t="n"/>
      <c r="M1108" s="141" t="n"/>
      <c r="N1108" s="141" t="n"/>
      <c r="O1108" s="141" t="n"/>
      <c r="P1108" s="141" t="n"/>
      <c r="Q1108" s="141" t="n"/>
      <c r="R1108" s="141" t="n"/>
    </row>
    <row r="1109" ht="14" customHeight="1">
      <c r="A1109" s="109" t="inlineStr">
        <is>
          <t>Gara N.</t>
        </is>
      </c>
      <c r="B1109" s="109" t="inlineStr">
        <is>
          <t>Squadra A</t>
        </is>
      </c>
      <c r="C1109" s="10" t="n"/>
      <c r="D1109" s="109" t="inlineStr">
        <is>
          <t>Squadra B</t>
        </is>
      </c>
      <c r="E1109" s="10" t="n"/>
      <c r="F1109" s="109" t="inlineStr">
        <is>
          <t>Giorno</t>
        </is>
      </c>
      <c r="G1109" s="109" t="inlineStr">
        <is>
          <t>Data</t>
        </is>
      </c>
      <c r="H1109" s="109" t="inlineStr">
        <is>
          <t>Ora</t>
        </is>
      </c>
      <c r="I1109" s="10" t="n"/>
      <c r="J1109" s="109" t="inlineStr">
        <is>
          <t>Risultato</t>
        </is>
      </c>
      <c r="K1109" s="9" t="n"/>
      <c r="L1109" s="10" t="n"/>
      <c r="M1109" s="209" t="inlineStr">
        <is>
          <t>1o Arbitro</t>
        </is>
      </c>
      <c r="N1109" s="209" t="inlineStr">
        <is>
          <t>2o Arbitro</t>
        </is>
      </c>
      <c r="O1109" s="209" t="inlineStr">
        <is>
          <t>3o Arbitro/Tirocinante</t>
        </is>
      </c>
      <c r="P1109" s="209" t="inlineStr">
        <is>
          <t>Referto</t>
        </is>
      </c>
      <c r="Q1109" s="209" t="inlineStr">
        <is>
          <t>Cronometro</t>
        </is>
      </c>
      <c r="R1109" s="209" t="inlineStr">
        <is>
          <t>Foglio Tiri</t>
        </is>
      </c>
    </row>
    <row r="1110" ht="22" customHeight="1">
      <c r="A1110" s="111">
        <f>IF('Calendario G'!A90="","",'Calendario G'!A90)</f>
        <v/>
      </c>
      <c r="B1110" s="61">
        <f>IF('Calendario G'!B90="","",'Calendario G'!B90)</f>
        <v/>
      </c>
      <c r="C1110" s="62">
        <f>IF('Calendario G'!C90="","",'Calendario G'!C90)</f>
        <v/>
      </c>
      <c r="D1110" s="61">
        <f>IF('Calendario G'!D90="","",'Calendario G'!D90)</f>
        <v/>
      </c>
      <c r="E1110" s="62">
        <f>IF('Calendario G'!E90="","",'Calendario G'!E90)</f>
        <v/>
      </c>
      <c r="F1110" s="63">
        <f>IF('Calendario G'!F90="","",'Calendario G'!F90)</f>
        <v/>
      </c>
      <c r="G1110" s="9" t="n"/>
      <c r="H1110" s="9" t="n"/>
      <c r="I1110" s="10" t="n"/>
      <c r="J1110" s="195">
        <f>IF('Calendario G'!J90="","",'Calendario G'!J90)</f>
        <v/>
      </c>
      <c r="K1110" s="64" t="inlineStr">
        <is>
          <t>-</t>
        </is>
      </c>
      <c r="L1110" s="195">
        <f>IF('Calendario G'!L90="","",'Calendario G'!L90)</f>
        <v/>
      </c>
      <c r="M1110" s="196" t="n"/>
      <c r="N1110" s="196" t="n"/>
      <c r="O1110" s="196" t="n"/>
      <c r="P1110" s="196" t="n"/>
      <c r="Q1110" s="196" t="n"/>
      <c r="R1110" s="196" t="n"/>
    </row>
    <row r="1111" ht="15" customHeight="1">
      <c r="A1111" s="141" t="n"/>
      <c r="B1111" s="69">
        <f>IF('Calendario G'!B91="","",'Calendario G'!B91)</f>
        <v/>
      </c>
      <c r="C1111" s="9" t="n"/>
      <c r="D1111" s="9" t="n"/>
      <c r="E1111" s="9" t="n"/>
      <c r="F1111" s="9" t="n"/>
      <c r="G1111" s="9" t="n"/>
      <c r="H1111" s="10" t="n"/>
      <c r="I1111" s="62">
        <f>IF('Calendario G'!I91="","",'Calendario G'!I91)</f>
        <v/>
      </c>
      <c r="J1111" s="141" t="n"/>
      <c r="K1111" s="141" t="n"/>
      <c r="L1111" s="141" t="n"/>
      <c r="M1111" s="141" t="n"/>
      <c r="N1111" s="141" t="n"/>
      <c r="O1111" s="141" t="n"/>
      <c r="P1111" s="141" t="n"/>
      <c r="Q1111" s="141" t="n"/>
      <c r="R1111" s="141" t="n"/>
    </row>
    <row r="1113" ht="20" customHeight="1">
      <c r="A1113" s="106">
        <f>IF('Calendario G'!A93="","",'Calendario G'!A93)</f>
        <v/>
      </c>
      <c r="B1113" s="107">
        <f>IF('Calendario G'!B93="","",'Calendario G'!B93)</f>
        <v/>
      </c>
      <c r="C1113" s="9" t="n"/>
      <c r="D1113" s="9" t="n"/>
      <c r="E1113" s="9" t="n"/>
      <c r="F1113" s="9" t="n"/>
      <c r="G1113" s="9" t="n"/>
      <c r="H1113" s="9" t="n"/>
      <c r="I1113" s="9" t="n"/>
      <c r="J1113" s="9" t="n"/>
      <c r="K1113" s="9" t="n"/>
      <c r="L1113" s="10" t="n"/>
      <c r="M1113" s="208" t="inlineStr">
        <is>
          <t>ARBITRI</t>
        </is>
      </c>
      <c r="N1113" s="9" t="n"/>
      <c r="O1113" s="10" t="n"/>
      <c r="P1113" s="208" t="inlineStr">
        <is>
          <t>UFFICIALI DI CAMPO</t>
        </is>
      </c>
      <c r="Q1113" s="9" t="n"/>
      <c r="R1113" s="10" t="n"/>
    </row>
    <row r="1114" ht="14" customHeight="1">
      <c r="A1114" s="109" t="inlineStr">
        <is>
          <t>Gara N.</t>
        </is>
      </c>
      <c r="B1114" s="109" t="inlineStr">
        <is>
          <t>Squadra A</t>
        </is>
      </c>
      <c r="C1114" s="10" t="n"/>
      <c r="D1114" s="109" t="inlineStr">
        <is>
          <t>Squadra B</t>
        </is>
      </c>
      <c r="E1114" s="10" t="n"/>
      <c r="F1114" s="109" t="inlineStr">
        <is>
          <t>Giorno</t>
        </is>
      </c>
      <c r="G1114" s="109" t="inlineStr">
        <is>
          <t>Data</t>
        </is>
      </c>
      <c r="H1114" s="109" t="inlineStr">
        <is>
          <t>Ora</t>
        </is>
      </c>
      <c r="I1114" s="10" t="n"/>
      <c r="J1114" s="109" t="inlineStr">
        <is>
          <t>Risultato</t>
        </is>
      </c>
      <c r="K1114" s="9" t="n"/>
      <c r="L1114" s="10" t="n"/>
      <c r="M1114" s="209" t="inlineStr">
        <is>
          <t>1o Arbitro</t>
        </is>
      </c>
      <c r="N1114" s="209" t="inlineStr">
        <is>
          <t>2o Arbitro</t>
        </is>
      </c>
      <c r="O1114" s="209" t="inlineStr">
        <is>
          <t>3o Arbitro/Tirocinante</t>
        </is>
      </c>
      <c r="P1114" s="209" t="inlineStr">
        <is>
          <t>Referto</t>
        </is>
      </c>
      <c r="Q1114" s="209" t="inlineStr">
        <is>
          <t>Cronometro</t>
        </is>
      </c>
      <c r="R1114" s="209" t="inlineStr">
        <is>
          <t>Foglio Tiri</t>
        </is>
      </c>
    </row>
    <row r="1115" ht="22" customHeight="1">
      <c r="A1115" s="111">
        <f>IF('Calendario G'!A95="","",'Calendario G'!A95)</f>
        <v/>
      </c>
      <c r="B1115" s="61">
        <f>IF('Calendario G'!B95="","",'Calendario G'!B95)</f>
        <v/>
      </c>
      <c r="C1115" s="62">
        <f>IF('Calendario G'!C95="","",'Calendario G'!C95)</f>
        <v/>
      </c>
      <c r="D1115" s="61">
        <f>IF('Calendario G'!D95="","",'Calendario G'!D95)</f>
        <v/>
      </c>
      <c r="E1115" s="62">
        <f>IF('Calendario G'!E95="","",'Calendario G'!E95)</f>
        <v/>
      </c>
      <c r="F1115" s="63">
        <f>IF('Calendario G'!F95="","",'Calendario G'!F95)</f>
        <v/>
      </c>
      <c r="G1115" s="9" t="n"/>
      <c r="H1115" s="9" t="n"/>
      <c r="I1115" s="10" t="n"/>
      <c r="J1115" s="195">
        <f>IF('Calendario G'!J95="","",'Calendario G'!J95)</f>
        <v/>
      </c>
      <c r="K1115" s="64" t="inlineStr">
        <is>
          <t>-</t>
        </is>
      </c>
      <c r="L1115" s="195">
        <f>IF('Calendario G'!L95="","",'Calendario G'!L95)</f>
        <v/>
      </c>
      <c r="M1115" s="196" t="n"/>
      <c r="N1115" s="196" t="n"/>
      <c r="O1115" s="196" t="n"/>
      <c r="P1115" s="196" t="n"/>
      <c r="Q1115" s="196" t="n"/>
      <c r="R1115" s="196" t="n"/>
    </row>
    <row r="1116" ht="15" customHeight="1">
      <c r="A1116" s="141" t="n"/>
      <c r="B1116" s="69">
        <f>IF('Calendario G'!B96="","",'Calendario G'!B96)</f>
        <v/>
      </c>
      <c r="C1116" s="9" t="n"/>
      <c r="D1116" s="9" t="n"/>
      <c r="E1116" s="9" t="n"/>
      <c r="F1116" s="9" t="n"/>
      <c r="G1116" s="9" t="n"/>
      <c r="H1116" s="10" t="n"/>
      <c r="I1116" s="62">
        <f>IF('Calendario G'!I96="","",'Calendario G'!I96)</f>
        <v/>
      </c>
      <c r="J1116" s="141" t="n"/>
      <c r="K1116" s="141" t="n"/>
      <c r="L1116" s="141" t="n"/>
      <c r="M1116" s="141" t="n"/>
      <c r="N1116" s="141" t="n"/>
      <c r="O1116" s="141" t="n"/>
      <c r="P1116" s="141" t="n"/>
      <c r="Q1116" s="141" t="n"/>
      <c r="R1116" s="141" t="n"/>
    </row>
    <row r="1117" ht="14" customHeight="1">
      <c r="A1117" s="109" t="inlineStr">
        <is>
          <t>Gara N.</t>
        </is>
      </c>
      <c r="B1117" s="109" t="inlineStr">
        <is>
          <t>Squadra A</t>
        </is>
      </c>
      <c r="C1117" s="10" t="n"/>
      <c r="D1117" s="109" t="inlineStr">
        <is>
          <t>Squadra B</t>
        </is>
      </c>
      <c r="E1117" s="10" t="n"/>
      <c r="F1117" s="109" t="inlineStr">
        <is>
          <t>Giorno</t>
        </is>
      </c>
      <c r="G1117" s="109" t="inlineStr">
        <is>
          <t>Data</t>
        </is>
      </c>
      <c r="H1117" s="109" t="inlineStr">
        <is>
          <t>Ora</t>
        </is>
      </c>
      <c r="I1117" s="10" t="n"/>
      <c r="J1117" s="109" t="inlineStr">
        <is>
          <t>Risultato</t>
        </is>
      </c>
      <c r="K1117" s="9" t="n"/>
      <c r="L1117" s="10" t="n"/>
      <c r="M1117" s="209" t="inlineStr">
        <is>
          <t>1o Arbitro</t>
        </is>
      </c>
      <c r="N1117" s="209" t="inlineStr">
        <is>
          <t>2o Arbitro</t>
        </is>
      </c>
      <c r="O1117" s="209" t="inlineStr">
        <is>
          <t>3o Arbitro/Tirocinante</t>
        </is>
      </c>
      <c r="P1117" s="209" t="inlineStr">
        <is>
          <t>Referto</t>
        </is>
      </c>
      <c r="Q1117" s="209" t="inlineStr">
        <is>
          <t>Cronometro</t>
        </is>
      </c>
      <c r="R1117" s="209" t="inlineStr">
        <is>
          <t>Foglio Tiri</t>
        </is>
      </c>
    </row>
    <row r="1118" ht="22" customHeight="1">
      <c r="A1118" s="111">
        <f>IF('Calendario G'!A98="","",'Calendario G'!A98)</f>
        <v/>
      </c>
      <c r="B1118" s="61">
        <f>IF('Calendario G'!B98="","",'Calendario G'!B98)</f>
        <v/>
      </c>
      <c r="C1118" s="62">
        <f>IF('Calendario G'!C98="","",'Calendario G'!C98)</f>
        <v/>
      </c>
      <c r="D1118" s="61">
        <f>IF('Calendario G'!D98="","",'Calendario G'!D98)</f>
        <v/>
      </c>
      <c r="E1118" s="62">
        <f>IF('Calendario G'!E98="","",'Calendario G'!E98)</f>
        <v/>
      </c>
      <c r="F1118" s="63">
        <f>IF('Calendario G'!F98="","",'Calendario G'!F98)</f>
        <v/>
      </c>
      <c r="G1118" s="9" t="n"/>
      <c r="H1118" s="9" t="n"/>
      <c r="I1118" s="10" t="n"/>
      <c r="J1118" s="195">
        <f>IF('Calendario G'!J98="","",'Calendario G'!J98)</f>
        <v/>
      </c>
      <c r="K1118" s="64" t="inlineStr">
        <is>
          <t>-</t>
        </is>
      </c>
      <c r="L1118" s="195">
        <f>IF('Calendario G'!L98="","",'Calendario G'!L98)</f>
        <v/>
      </c>
      <c r="M1118" s="196" t="n"/>
      <c r="N1118" s="196" t="n"/>
      <c r="O1118" s="196" t="n"/>
      <c r="P1118" s="196" t="n"/>
      <c r="Q1118" s="196" t="n"/>
      <c r="R1118" s="196" t="n"/>
    </row>
    <row r="1119" ht="15" customHeight="1">
      <c r="A1119" s="141" t="n"/>
      <c r="B1119" s="69">
        <f>IF('Calendario G'!B99="","",'Calendario G'!B99)</f>
        <v/>
      </c>
      <c r="C1119" s="9" t="n"/>
      <c r="D1119" s="9" t="n"/>
      <c r="E1119" s="9" t="n"/>
      <c r="F1119" s="9" t="n"/>
      <c r="G1119" s="9" t="n"/>
      <c r="H1119" s="10" t="n"/>
      <c r="I1119" s="62">
        <f>IF('Calendario G'!I99="","",'Calendario G'!I99)</f>
        <v/>
      </c>
      <c r="J1119" s="141" t="n"/>
      <c r="K1119" s="141" t="n"/>
      <c r="L1119" s="141" t="n"/>
      <c r="M1119" s="141" t="n"/>
      <c r="N1119" s="141" t="n"/>
      <c r="O1119" s="141" t="n"/>
      <c r="P1119" s="141" t="n"/>
      <c r="Q1119" s="141" t="n"/>
      <c r="R1119" s="141" t="n"/>
    </row>
    <row r="1120" ht="14" customHeight="1">
      <c r="A1120" s="109" t="inlineStr">
        <is>
          <t>Gara N.</t>
        </is>
      </c>
      <c r="B1120" s="109" t="inlineStr">
        <is>
          <t>Squadra A</t>
        </is>
      </c>
      <c r="C1120" s="10" t="n"/>
      <c r="D1120" s="109" t="inlineStr">
        <is>
          <t>Squadra B</t>
        </is>
      </c>
      <c r="E1120" s="10" t="n"/>
      <c r="F1120" s="109" t="inlineStr">
        <is>
          <t>Giorno</t>
        </is>
      </c>
      <c r="G1120" s="109" t="inlineStr">
        <is>
          <t>Data</t>
        </is>
      </c>
      <c r="H1120" s="109" t="inlineStr">
        <is>
          <t>Ora</t>
        </is>
      </c>
      <c r="I1120" s="10" t="n"/>
      <c r="J1120" s="109" t="inlineStr">
        <is>
          <t>Risultato</t>
        </is>
      </c>
      <c r="K1120" s="9" t="n"/>
      <c r="L1120" s="10" t="n"/>
      <c r="M1120" s="209" t="inlineStr">
        <is>
          <t>1o Arbitro</t>
        </is>
      </c>
      <c r="N1120" s="209" t="inlineStr">
        <is>
          <t>2o Arbitro</t>
        </is>
      </c>
      <c r="O1120" s="209" t="inlineStr">
        <is>
          <t>3o Arbitro/Tirocinante</t>
        </is>
      </c>
      <c r="P1120" s="209" t="inlineStr">
        <is>
          <t>Referto</t>
        </is>
      </c>
      <c r="Q1120" s="209" t="inlineStr">
        <is>
          <t>Cronometro</t>
        </is>
      </c>
      <c r="R1120" s="209" t="inlineStr">
        <is>
          <t>Foglio Tiri</t>
        </is>
      </c>
    </row>
    <row r="1121" ht="22" customHeight="1">
      <c r="A1121" s="111">
        <f>IF('Calendario G'!A101="","",'Calendario G'!A101)</f>
        <v/>
      </c>
      <c r="B1121" s="61">
        <f>IF('Calendario G'!B101="","",'Calendario G'!B101)</f>
        <v/>
      </c>
      <c r="C1121" s="62">
        <f>IF('Calendario G'!C101="","",'Calendario G'!C101)</f>
        <v/>
      </c>
      <c r="D1121" s="61">
        <f>IF('Calendario G'!D101="","",'Calendario G'!D101)</f>
        <v/>
      </c>
      <c r="E1121" s="62">
        <f>IF('Calendario G'!E101="","",'Calendario G'!E101)</f>
        <v/>
      </c>
      <c r="F1121" s="63">
        <f>IF('Calendario G'!F101="","",'Calendario G'!F101)</f>
        <v/>
      </c>
      <c r="G1121" s="9" t="n"/>
      <c r="H1121" s="9" t="n"/>
      <c r="I1121" s="10" t="n"/>
      <c r="J1121" s="195">
        <f>IF('Calendario G'!J101="","",'Calendario G'!J101)</f>
        <v/>
      </c>
      <c r="K1121" s="64" t="inlineStr">
        <is>
          <t>-</t>
        </is>
      </c>
      <c r="L1121" s="195">
        <f>IF('Calendario G'!L101="","",'Calendario G'!L101)</f>
        <v/>
      </c>
      <c r="M1121" s="196" t="n"/>
      <c r="N1121" s="196" t="n"/>
      <c r="O1121" s="196" t="n"/>
      <c r="P1121" s="196" t="n"/>
      <c r="Q1121" s="196" t="n"/>
      <c r="R1121" s="196" t="n"/>
    </row>
    <row r="1122" ht="15" customHeight="1">
      <c r="A1122" s="141" t="n"/>
      <c r="B1122" s="69">
        <f>IF('Calendario G'!B102="","",'Calendario G'!B102)</f>
        <v/>
      </c>
      <c r="C1122" s="9" t="n"/>
      <c r="D1122" s="9" t="n"/>
      <c r="E1122" s="9" t="n"/>
      <c r="F1122" s="9" t="n"/>
      <c r="G1122" s="9" t="n"/>
      <c r="H1122" s="10" t="n"/>
      <c r="I1122" s="62">
        <f>IF('Calendario G'!I102="","",'Calendario G'!I102)</f>
        <v/>
      </c>
      <c r="J1122" s="141" t="n"/>
      <c r="K1122" s="141" t="n"/>
      <c r="L1122" s="141" t="n"/>
      <c r="M1122" s="141" t="n"/>
      <c r="N1122" s="141" t="n"/>
      <c r="O1122" s="141" t="n"/>
      <c r="P1122" s="141" t="n"/>
      <c r="Q1122" s="141" t="n"/>
      <c r="R1122" s="141" t="n"/>
    </row>
    <row r="1123" ht="14" customHeight="1">
      <c r="A1123" s="109" t="inlineStr">
        <is>
          <t>Gara N.</t>
        </is>
      </c>
      <c r="B1123" s="109" t="inlineStr">
        <is>
          <t>Squadra A</t>
        </is>
      </c>
      <c r="C1123" s="10" t="n"/>
      <c r="D1123" s="109" t="inlineStr">
        <is>
          <t>Squadra B</t>
        </is>
      </c>
      <c r="E1123" s="10" t="n"/>
      <c r="F1123" s="109" t="inlineStr">
        <is>
          <t>Giorno</t>
        </is>
      </c>
      <c r="G1123" s="109" t="inlineStr">
        <is>
          <t>Data</t>
        </is>
      </c>
      <c r="H1123" s="109" t="inlineStr">
        <is>
          <t>Ora</t>
        </is>
      </c>
      <c r="I1123" s="10" t="n"/>
      <c r="J1123" s="109" t="inlineStr">
        <is>
          <t>Risultato</t>
        </is>
      </c>
      <c r="K1123" s="9" t="n"/>
      <c r="L1123" s="10" t="n"/>
      <c r="M1123" s="209" t="inlineStr">
        <is>
          <t>1o Arbitro</t>
        </is>
      </c>
      <c r="N1123" s="209" t="inlineStr">
        <is>
          <t>2o Arbitro</t>
        </is>
      </c>
      <c r="O1123" s="209" t="inlineStr">
        <is>
          <t>3o Arbitro/Tirocinante</t>
        </is>
      </c>
      <c r="P1123" s="209" t="inlineStr">
        <is>
          <t>Referto</t>
        </is>
      </c>
      <c r="Q1123" s="209" t="inlineStr">
        <is>
          <t>Cronometro</t>
        </is>
      </c>
      <c r="R1123" s="209" t="inlineStr">
        <is>
          <t>Foglio Tiri</t>
        </is>
      </c>
    </row>
    <row r="1124" ht="22" customHeight="1">
      <c r="A1124" s="111">
        <f>IF('Calendario G'!A104="","",'Calendario G'!A104)</f>
        <v/>
      </c>
      <c r="B1124" s="61">
        <f>IF('Calendario G'!B104="","",'Calendario G'!B104)</f>
        <v/>
      </c>
      <c r="C1124" s="62">
        <f>IF('Calendario G'!C104="","",'Calendario G'!C104)</f>
        <v/>
      </c>
      <c r="D1124" s="61">
        <f>IF('Calendario G'!D104="","",'Calendario G'!D104)</f>
        <v/>
      </c>
      <c r="E1124" s="62">
        <f>IF('Calendario G'!E104="","",'Calendario G'!E104)</f>
        <v/>
      </c>
      <c r="F1124" s="63">
        <f>IF('Calendario G'!F104="","",'Calendario G'!F104)</f>
        <v/>
      </c>
      <c r="G1124" s="9" t="n"/>
      <c r="H1124" s="9" t="n"/>
      <c r="I1124" s="10" t="n"/>
      <c r="J1124" s="195">
        <f>IF('Calendario G'!J104="","",'Calendario G'!J104)</f>
        <v/>
      </c>
      <c r="K1124" s="64" t="inlineStr">
        <is>
          <t>-</t>
        </is>
      </c>
      <c r="L1124" s="195">
        <f>IF('Calendario G'!L104="","",'Calendario G'!L104)</f>
        <v/>
      </c>
      <c r="M1124" s="196" t="n"/>
      <c r="N1124" s="196" t="n"/>
      <c r="O1124" s="196" t="n"/>
      <c r="P1124" s="196" t="n"/>
      <c r="Q1124" s="196" t="n"/>
      <c r="R1124" s="196" t="n"/>
    </row>
    <row r="1125" ht="15" customHeight="1">
      <c r="A1125" s="141" t="n"/>
      <c r="B1125" s="69">
        <f>IF('Calendario G'!B105="","",'Calendario G'!B105)</f>
        <v/>
      </c>
      <c r="C1125" s="9" t="n"/>
      <c r="D1125" s="9" t="n"/>
      <c r="E1125" s="9" t="n"/>
      <c r="F1125" s="9" t="n"/>
      <c r="G1125" s="9" t="n"/>
      <c r="H1125" s="10" t="n"/>
      <c r="I1125" s="62">
        <f>IF('Calendario G'!I105="","",'Calendario G'!I105)</f>
        <v/>
      </c>
      <c r="J1125" s="141" t="n"/>
      <c r="K1125" s="141" t="n"/>
      <c r="L1125" s="141" t="n"/>
      <c r="M1125" s="141" t="n"/>
      <c r="N1125" s="141" t="n"/>
      <c r="O1125" s="141" t="n"/>
      <c r="P1125" s="141" t="n"/>
      <c r="Q1125" s="141" t="n"/>
      <c r="R1125" s="141" t="n"/>
    </row>
    <row r="1126" ht="14" customHeight="1">
      <c r="A1126" s="109" t="inlineStr">
        <is>
          <t>Gara N.</t>
        </is>
      </c>
      <c r="B1126" s="109" t="inlineStr">
        <is>
          <t>Squadra A</t>
        </is>
      </c>
      <c r="C1126" s="10" t="n"/>
      <c r="D1126" s="109" t="inlineStr">
        <is>
          <t>Squadra B</t>
        </is>
      </c>
      <c r="E1126" s="10" t="n"/>
      <c r="F1126" s="109" t="inlineStr">
        <is>
          <t>Giorno</t>
        </is>
      </c>
      <c r="G1126" s="109" t="inlineStr">
        <is>
          <t>Data</t>
        </is>
      </c>
      <c r="H1126" s="109" t="inlineStr">
        <is>
          <t>Ora</t>
        </is>
      </c>
      <c r="I1126" s="10" t="n"/>
      <c r="J1126" s="109" t="inlineStr">
        <is>
          <t>Risultato</t>
        </is>
      </c>
      <c r="K1126" s="9" t="n"/>
      <c r="L1126" s="10" t="n"/>
      <c r="M1126" s="209" t="inlineStr">
        <is>
          <t>1o Arbitro</t>
        </is>
      </c>
      <c r="N1126" s="209" t="inlineStr">
        <is>
          <t>2o Arbitro</t>
        </is>
      </c>
      <c r="O1126" s="209" t="inlineStr">
        <is>
          <t>3o Arbitro/Tirocinante</t>
        </is>
      </c>
      <c r="P1126" s="209" t="inlineStr">
        <is>
          <t>Referto</t>
        </is>
      </c>
      <c r="Q1126" s="209" t="inlineStr">
        <is>
          <t>Cronometro</t>
        </is>
      </c>
      <c r="R1126" s="209" t="inlineStr">
        <is>
          <t>Foglio Tiri</t>
        </is>
      </c>
    </row>
    <row r="1127" ht="22" customHeight="1">
      <c r="A1127" s="111">
        <f>IF('Calendario G'!A107="","",'Calendario G'!A107)</f>
        <v/>
      </c>
      <c r="B1127" s="61">
        <f>IF('Calendario G'!B107="","",'Calendario G'!B107)</f>
        <v/>
      </c>
      <c r="C1127" s="62">
        <f>IF('Calendario G'!C107="","",'Calendario G'!C107)</f>
        <v/>
      </c>
      <c r="D1127" s="61">
        <f>IF('Calendario G'!D107="","",'Calendario G'!D107)</f>
        <v/>
      </c>
      <c r="E1127" s="62">
        <f>IF('Calendario G'!E107="","",'Calendario G'!E107)</f>
        <v/>
      </c>
      <c r="F1127" s="63">
        <f>IF('Calendario G'!F107="","",'Calendario G'!F107)</f>
        <v/>
      </c>
      <c r="G1127" s="9" t="n"/>
      <c r="H1127" s="9" t="n"/>
      <c r="I1127" s="10" t="n"/>
      <c r="J1127" s="195">
        <f>IF('Calendario G'!J107="","",'Calendario G'!J107)</f>
        <v/>
      </c>
      <c r="K1127" s="64" t="inlineStr">
        <is>
          <t>-</t>
        </is>
      </c>
      <c r="L1127" s="195">
        <f>IF('Calendario G'!L107="","",'Calendario G'!L107)</f>
        <v/>
      </c>
      <c r="M1127" s="196" t="n"/>
      <c r="N1127" s="196" t="n"/>
      <c r="O1127" s="196" t="n"/>
      <c r="P1127" s="196" t="n"/>
      <c r="Q1127" s="196" t="n"/>
      <c r="R1127" s="196" t="n"/>
    </row>
    <row r="1128" ht="15" customHeight="1">
      <c r="A1128" s="141" t="n"/>
      <c r="B1128" s="69">
        <f>IF('Calendario G'!B108="","",'Calendario G'!B108)</f>
        <v/>
      </c>
      <c r="C1128" s="9" t="n"/>
      <c r="D1128" s="9" t="n"/>
      <c r="E1128" s="9" t="n"/>
      <c r="F1128" s="9" t="n"/>
      <c r="G1128" s="9" t="n"/>
      <c r="H1128" s="10" t="n"/>
      <c r="I1128" s="62">
        <f>IF('Calendario G'!I108="","",'Calendario G'!I108)</f>
        <v/>
      </c>
      <c r="J1128" s="141" t="n"/>
      <c r="K1128" s="141" t="n"/>
      <c r="L1128" s="141" t="n"/>
      <c r="M1128" s="141" t="n"/>
      <c r="N1128" s="141" t="n"/>
      <c r="O1128" s="141" t="n"/>
      <c r="P1128" s="141" t="n"/>
      <c r="Q1128" s="141" t="n"/>
      <c r="R1128" s="141" t="n"/>
    </row>
    <row r="1130" ht="20" customHeight="1">
      <c r="A1130" s="106">
        <f>IF('Calendario G'!A110="","",'Calendario G'!A110)</f>
        <v/>
      </c>
      <c r="B1130" s="107">
        <f>IF('Calendario G'!B110="","",'Calendario G'!B110)</f>
        <v/>
      </c>
      <c r="C1130" s="9" t="n"/>
      <c r="D1130" s="9" t="n"/>
      <c r="E1130" s="9" t="n"/>
      <c r="F1130" s="9" t="n"/>
      <c r="G1130" s="9" t="n"/>
      <c r="H1130" s="9" t="n"/>
      <c r="I1130" s="9" t="n"/>
      <c r="J1130" s="9" t="n"/>
      <c r="K1130" s="9" t="n"/>
      <c r="L1130" s="10" t="n"/>
      <c r="M1130" s="208" t="inlineStr">
        <is>
          <t>ARBITRI</t>
        </is>
      </c>
      <c r="N1130" s="9" t="n"/>
      <c r="O1130" s="10" t="n"/>
      <c r="P1130" s="208" t="inlineStr">
        <is>
          <t>UFFICIALI DI CAMPO</t>
        </is>
      </c>
      <c r="Q1130" s="9" t="n"/>
      <c r="R1130" s="10" t="n"/>
    </row>
    <row r="1131" ht="14" customHeight="1">
      <c r="A1131" s="109" t="inlineStr">
        <is>
          <t>Gara N.</t>
        </is>
      </c>
      <c r="B1131" s="109" t="inlineStr">
        <is>
          <t>Squadra A</t>
        </is>
      </c>
      <c r="C1131" s="10" t="n"/>
      <c r="D1131" s="109" t="inlineStr">
        <is>
          <t>Squadra B</t>
        </is>
      </c>
      <c r="E1131" s="10" t="n"/>
      <c r="F1131" s="109" t="inlineStr">
        <is>
          <t>Giorno</t>
        </is>
      </c>
      <c r="G1131" s="109" t="inlineStr">
        <is>
          <t>Data</t>
        </is>
      </c>
      <c r="H1131" s="109" t="inlineStr">
        <is>
          <t>Ora</t>
        </is>
      </c>
      <c r="I1131" s="10" t="n"/>
      <c r="J1131" s="109" t="inlineStr">
        <is>
          <t>Risultato</t>
        </is>
      </c>
      <c r="K1131" s="9" t="n"/>
      <c r="L1131" s="10" t="n"/>
      <c r="M1131" s="209" t="inlineStr">
        <is>
          <t>1o Arbitro</t>
        </is>
      </c>
      <c r="N1131" s="209" t="inlineStr">
        <is>
          <t>2o Arbitro</t>
        </is>
      </c>
      <c r="O1131" s="209" t="inlineStr">
        <is>
          <t>3o Arbitro/Tirocinante</t>
        </is>
      </c>
      <c r="P1131" s="209" t="inlineStr">
        <is>
          <t>Referto</t>
        </is>
      </c>
      <c r="Q1131" s="209" t="inlineStr">
        <is>
          <t>Cronometro</t>
        </is>
      </c>
      <c r="R1131" s="209" t="inlineStr">
        <is>
          <t>Foglio Tiri</t>
        </is>
      </c>
    </row>
    <row r="1132" ht="22" customHeight="1">
      <c r="A1132" s="111">
        <f>IF('Calendario G'!A112="","",'Calendario G'!A112)</f>
        <v/>
      </c>
      <c r="B1132" s="61">
        <f>IF('Calendario G'!B112="","",'Calendario G'!B112)</f>
        <v/>
      </c>
      <c r="C1132" s="62">
        <f>IF('Calendario G'!C112="","",'Calendario G'!C112)</f>
        <v/>
      </c>
      <c r="D1132" s="61">
        <f>IF('Calendario G'!D112="","",'Calendario G'!D112)</f>
        <v/>
      </c>
      <c r="E1132" s="62">
        <f>IF('Calendario G'!E112="","",'Calendario G'!E112)</f>
        <v/>
      </c>
      <c r="F1132" s="63">
        <f>IF('Calendario G'!F112="","",'Calendario G'!F112)</f>
        <v/>
      </c>
      <c r="G1132" s="9" t="n"/>
      <c r="H1132" s="9" t="n"/>
      <c r="I1132" s="10" t="n"/>
      <c r="J1132" s="195">
        <f>IF('Calendario G'!J112="","",'Calendario G'!J112)</f>
        <v/>
      </c>
      <c r="K1132" s="64" t="inlineStr">
        <is>
          <t>-</t>
        </is>
      </c>
      <c r="L1132" s="195">
        <f>IF('Calendario G'!L112="","",'Calendario G'!L112)</f>
        <v/>
      </c>
      <c r="M1132" s="196" t="n"/>
      <c r="N1132" s="196" t="n"/>
      <c r="O1132" s="196" t="n"/>
      <c r="P1132" s="196" t="n"/>
      <c r="Q1132" s="196" t="n"/>
      <c r="R1132" s="196" t="n"/>
    </row>
    <row r="1133" ht="15" customHeight="1">
      <c r="A1133" s="141" t="n"/>
      <c r="B1133" s="69">
        <f>IF('Calendario G'!B113="","",'Calendario G'!B113)</f>
        <v/>
      </c>
      <c r="C1133" s="9" t="n"/>
      <c r="D1133" s="9" t="n"/>
      <c r="E1133" s="9" t="n"/>
      <c r="F1133" s="9" t="n"/>
      <c r="G1133" s="9" t="n"/>
      <c r="H1133" s="10" t="n"/>
      <c r="I1133" s="62">
        <f>IF('Calendario G'!I113="","",'Calendario G'!I113)</f>
        <v/>
      </c>
      <c r="J1133" s="141" t="n"/>
      <c r="K1133" s="141" t="n"/>
      <c r="L1133" s="141" t="n"/>
      <c r="M1133" s="141" t="n"/>
      <c r="N1133" s="141" t="n"/>
      <c r="O1133" s="141" t="n"/>
      <c r="P1133" s="141" t="n"/>
      <c r="Q1133" s="141" t="n"/>
      <c r="R1133" s="141" t="n"/>
    </row>
    <row r="1134" ht="14" customHeight="1">
      <c r="A1134" s="109" t="inlineStr">
        <is>
          <t>Gara N.</t>
        </is>
      </c>
      <c r="B1134" s="109" t="inlineStr">
        <is>
          <t>Squadra A</t>
        </is>
      </c>
      <c r="C1134" s="10" t="n"/>
      <c r="D1134" s="109" t="inlineStr">
        <is>
          <t>Squadra B</t>
        </is>
      </c>
      <c r="E1134" s="10" t="n"/>
      <c r="F1134" s="109" t="inlineStr">
        <is>
          <t>Giorno</t>
        </is>
      </c>
      <c r="G1134" s="109" t="inlineStr">
        <is>
          <t>Data</t>
        </is>
      </c>
      <c r="H1134" s="109" t="inlineStr">
        <is>
          <t>Ora</t>
        </is>
      </c>
      <c r="I1134" s="10" t="n"/>
      <c r="J1134" s="109" t="inlineStr">
        <is>
          <t>Risultato</t>
        </is>
      </c>
      <c r="K1134" s="9" t="n"/>
      <c r="L1134" s="10" t="n"/>
      <c r="M1134" s="209" t="inlineStr">
        <is>
          <t>1o Arbitro</t>
        </is>
      </c>
      <c r="N1134" s="209" t="inlineStr">
        <is>
          <t>2o Arbitro</t>
        </is>
      </c>
      <c r="O1134" s="209" t="inlineStr">
        <is>
          <t>3o Arbitro/Tirocinante</t>
        </is>
      </c>
      <c r="P1134" s="209" t="inlineStr">
        <is>
          <t>Referto</t>
        </is>
      </c>
      <c r="Q1134" s="209" t="inlineStr">
        <is>
          <t>Cronometro</t>
        </is>
      </c>
      <c r="R1134" s="209" t="inlineStr">
        <is>
          <t>Foglio Tiri</t>
        </is>
      </c>
    </row>
    <row r="1135" ht="22" customHeight="1">
      <c r="A1135" s="111">
        <f>IF('Calendario G'!A115="","",'Calendario G'!A115)</f>
        <v/>
      </c>
      <c r="B1135" s="61">
        <f>IF('Calendario G'!B115="","",'Calendario G'!B115)</f>
        <v/>
      </c>
      <c r="C1135" s="62">
        <f>IF('Calendario G'!C115="","",'Calendario G'!C115)</f>
        <v/>
      </c>
      <c r="D1135" s="61">
        <f>IF('Calendario G'!D115="","",'Calendario G'!D115)</f>
        <v/>
      </c>
      <c r="E1135" s="62">
        <f>IF('Calendario G'!E115="","",'Calendario G'!E115)</f>
        <v/>
      </c>
      <c r="F1135" s="63">
        <f>IF('Calendario G'!F115="","",'Calendario G'!F115)</f>
        <v/>
      </c>
      <c r="G1135" s="9" t="n"/>
      <c r="H1135" s="9" t="n"/>
      <c r="I1135" s="10" t="n"/>
      <c r="J1135" s="195">
        <f>IF('Calendario G'!J115="","",'Calendario G'!J115)</f>
        <v/>
      </c>
      <c r="K1135" s="64" t="inlineStr">
        <is>
          <t>-</t>
        </is>
      </c>
      <c r="L1135" s="195">
        <f>IF('Calendario G'!L115="","",'Calendario G'!L115)</f>
        <v/>
      </c>
      <c r="M1135" s="196" t="n"/>
      <c r="N1135" s="196" t="n"/>
      <c r="O1135" s="196" t="n"/>
      <c r="P1135" s="196" t="n"/>
      <c r="Q1135" s="196" t="n"/>
      <c r="R1135" s="196" t="n"/>
    </row>
    <row r="1136" ht="15" customHeight="1">
      <c r="A1136" s="141" t="n"/>
      <c r="B1136" s="69">
        <f>IF('Calendario G'!B116="","",'Calendario G'!B116)</f>
        <v/>
      </c>
      <c r="C1136" s="9" t="n"/>
      <c r="D1136" s="9" t="n"/>
      <c r="E1136" s="9" t="n"/>
      <c r="F1136" s="9" t="n"/>
      <c r="G1136" s="9" t="n"/>
      <c r="H1136" s="10" t="n"/>
      <c r="I1136" s="62">
        <f>IF('Calendario G'!I116="","",'Calendario G'!I116)</f>
        <v/>
      </c>
      <c r="J1136" s="141" t="n"/>
      <c r="K1136" s="141" t="n"/>
      <c r="L1136" s="141" t="n"/>
      <c r="M1136" s="141" t="n"/>
      <c r="N1136" s="141" t="n"/>
      <c r="O1136" s="141" t="n"/>
      <c r="P1136" s="141" t="n"/>
      <c r="Q1136" s="141" t="n"/>
      <c r="R1136" s="141" t="n"/>
    </row>
    <row r="1137" ht="14" customHeight="1">
      <c r="A1137" s="109" t="inlineStr">
        <is>
          <t>Gara N.</t>
        </is>
      </c>
      <c r="B1137" s="109" t="inlineStr">
        <is>
          <t>Squadra A</t>
        </is>
      </c>
      <c r="C1137" s="10" t="n"/>
      <c r="D1137" s="109" t="inlineStr">
        <is>
          <t>Squadra B</t>
        </is>
      </c>
      <c r="E1137" s="10" t="n"/>
      <c r="F1137" s="109" t="inlineStr">
        <is>
          <t>Giorno</t>
        </is>
      </c>
      <c r="G1137" s="109" t="inlineStr">
        <is>
          <t>Data</t>
        </is>
      </c>
      <c r="H1137" s="109" t="inlineStr">
        <is>
          <t>Ora</t>
        </is>
      </c>
      <c r="I1137" s="10" t="n"/>
      <c r="J1137" s="109" t="inlineStr">
        <is>
          <t>Risultato</t>
        </is>
      </c>
      <c r="K1137" s="9" t="n"/>
      <c r="L1137" s="10" t="n"/>
      <c r="M1137" s="209" t="inlineStr">
        <is>
          <t>1o Arbitro</t>
        </is>
      </c>
      <c r="N1137" s="209" t="inlineStr">
        <is>
          <t>2o Arbitro</t>
        </is>
      </c>
      <c r="O1137" s="209" t="inlineStr">
        <is>
          <t>3o Arbitro/Tirocinante</t>
        </is>
      </c>
      <c r="P1137" s="209" t="inlineStr">
        <is>
          <t>Referto</t>
        </is>
      </c>
      <c r="Q1137" s="209" t="inlineStr">
        <is>
          <t>Cronometro</t>
        </is>
      </c>
      <c r="R1137" s="209" t="inlineStr">
        <is>
          <t>Foglio Tiri</t>
        </is>
      </c>
    </row>
    <row r="1138" ht="22" customHeight="1">
      <c r="A1138" s="111">
        <f>IF('Calendario G'!A118="","",'Calendario G'!A118)</f>
        <v/>
      </c>
      <c r="B1138" s="61">
        <f>IF('Calendario G'!B118="","",'Calendario G'!B118)</f>
        <v/>
      </c>
      <c r="C1138" s="62">
        <f>IF('Calendario G'!C118="","",'Calendario G'!C118)</f>
        <v/>
      </c>
      <c r="D1138" s="61">
        <f>IF('Calendario G'!D118="","",'Calendario G'!D118)</f>
        <v/>
      </c>
      <c r="E1138" s="62">
        <f>IF('Calendario G'!E118="","",'Calendario G'!E118)</f>
        <v/>
      </c>
      <c r="F1138" s="63">
        <f>IF('Calendario G'!F118="","",'Calendario G'!F118)</f>
        <v/>
      </c>
      <c r="G1138" s="9" t="n"/>
      <c r="H1138" s="9" t="n"/>
      <c r="I1138" s="10" t="n"/>
      <c r="J1138" s="195">
        <f>IF('Calendario G'!J118="","",'Calendario G'!J118)</f>
        <v/>
      </c>
      <c r="K1138" s="64" t="inlineStr">
        <is>
          <t>-</t>
        </is>
      </c>
      <c r="L1138" s="195">
        <f>IF('Calendario G'!L118="","",'Calendario G'!L118)</f>
        <v/>
      </c>
      <c r="M1138" s="196" t="n"/>
      <c r="N1138" s="196" t="n"/>
      <c r="O1138" s="196" t="n"/>
      <c r="P1138" s="196" t="n"/>
      <c r="Q1138" s="196" t="n"/>
      <c r="R1138" s="196" t="n"/>
    </row>
    <row r="1139" ht="15" customHeight="1">
      <c r="A1139" s="141" t="n"/>
      <c r="B1139" s="69">
        <f>IF('Calendario G'!B119="","",'Calendario G'!B119)</f>
        <v/>
      </c>
      <c r="C1139" s="9" t="n"/>
      <c r="D1139" s="9" t="n"/>
      <c r="E1139" s="9" t="n"/>
      <c r="F1139" s="9" t="n"/>
      <c r="G1139" s="9" t="n"/>
      <c r="H1139" s="10" t="n"/>
      <c r="I1139" s="62">
        <f>IF('Calendario G'!I119="","",'Calendario G'!I119)</f>
        <v/>
      </c>
      <c r="J1139" s="141" t="n"/>
      <c r="K1139" s="141" t="n"/>
      <c r="L1139" s="141" t="n"/>
      <c r="M1139" s="141" t="n"/>
      <c r="N1139" s="141" t="n"/>
      <c r="O1139" s="141" t="n"/>
      <c r="P1139" s="141" t="n"/>
      <c r="Q1139" s="141" t="n"/>
      <c r="R1139" s="141" t="n"/>
    </row>
    <row r="1140" ht="14" customHeight="1">
      <c r="A1140" s="109" t="inlineStr">
        <is>
          <t>Gara N.</t>
        </is>
      </c>
      <c r="B1140" s="109" t="inlineStr">
        <is>
          <t>Squadra A</t>
        </is>
      </c>
      <c r="C1140" s="10" t="n"/>
      <c r="D1140" s="109" t="inlineStr">
        <is>
          <t>Squadra B</t>
        </is>
      </c>
      <c r="E1140" s="10" t="n"/>
      <c r="F1140" s="109" t="inlineStr">
        <is>
          <t>Giorno</t>
        </is>
      </c>
      <c r="G1140" s="109" t="inlineStr">
        <is>
          <t>Data</t>
        </is>
      </c>
      <c r="H1140" s="109" t="inlineStr">
        <is>
          <t>Ora</t>
        </is>
      </c>
      <c r="I1140" s="10" t="n"/>
      <c r="J1140" s="109" t="inlineStr">
        <is>
          <t>Risultato</t>
        </is>
      </c>
      <c r="K1140" s="9" t="n"/>
      <c r="L1140" s="10" t="n"/>
      <c r="M1140" s="209" t="inlineStr">
        <is>
          <t>1o Arbitro</t>
        </is>
      </c>
      <c r="N1140" s="209" t="inlineStr">
        <is>
          <t>2o Arbitro</t>
        </is>
      </c>
      <c r="O1140" s="209" t="inlineStr">
        <is>
          <t>3o Arbitro/Tirocinante</t>
        </is>
      </c>
      <c r="P1140" s="209" t="inlineStr">
        <is>
          <t>Referto</t>
        </is>
      </c>
      <c r="Q1140" s="209" t="inlineStr">
        <is>
          <t>Cronometro</t>
        </is>
      </c>
      <c r="R1140" s="209" t="inlineStr">
        <is>
          <t>Foglio Tiri</t>
        </is>
      </c>
    </row>
    <row r="1141" ht="22" customHeight="1">
      <c r="A1141" s="111">
        <f>IF('Calendario G'!A121="","",'Calendario G'!A121)</f>
        <v/>
      </c>
      <c r="B1141" s="61">
        <f>IF('Calendario G'!B121="","",'Calendario G'!B121)</f>
        <v/>
      </c>
      <c r="C1141" s="62">
        <f>IF('Calendario G'!C121="","",'Calendario G'!C121)</f>
        <v/>
      </c>
      <c r="D1141" s="61">
        <f>IF('Calendario G'!D121="","",'Calendario G'!D121)</f>
        <v/>
      </c>
      <c r="E1141" s="62">
        <f>IF('Calendario G'!E121="","",'Calendario G'!E121)</f>
        <v/>
      </c>
      <c r="F1141" s="63">
        <f>IF('Calendario G'!F121="","",'Calendario G'!F121)</f>
        <v/>
      </c>
      <c r="G1141" s="9" t="n"/>
      <c r="H1141" s="9" t="n"/>
      <c r="I1141" s="10" t="n"/>
      <c r="J1141" s="195">
        <f>IF('Calendario G'!J121="","",'Calendario G'!J121)</f>
        <v/>
      </c>
      <c r="K1141" s="64" t="inlineStr">
        <is>
          <t>-</t>
        </is>
      </c>
      <c r="L1141" s="195">
        <f>IF('Calendario G'!L121="","",'Calendario G'!L121)</f>
        <v/>
      </c>
      <c r="M1141" s="196" t="n"/>
      <c r="N1141" s="196" t="n"/>
      <c r="O1141" s="196" t="n"/>
      <c r="P1141" s="196" t="n"/>
      <c r="Q1141" s="196" t="n"/>
      <c r="R1141" s="196" t="n"/>
    </row>
    <row r="1142" ht="15" customHeight="1">
      <c r="A1142" s="141" t="n"/>
      <c r="B1142" s="69">
        <f>IF('Calendario G'!B122="","",'Calendario G'!B122)</f>
        <v/>
      </c>
      <c r="C1142" s="9" t="n"/>
      <c r="D1142" s="9" t="n"/>
      <c r="E1142" s="9" t="n"/>
      <c r="F1142" s="9" t="n"/>
      <c r="G1142" s="9" t="n"/>
      <c r="H1142" s="10" t="n"/>
      <c r="I1142" s="62">
        <f>IF('Calendario G'!I122="","",'Calendario G'!I122)</f>
        <v/>
      </c>
      <c r="J1142" s="141" t="n"/>
      <c r="K1142" s="141" t="n"/>
      <c r="L1142" s="141" t="n"/>
      <c r="M1142" s="141" t="n"/>
      <c r="N1142" s="141" t="n"/>
      <c r="O1142" s="141" t="n"/>
      <c r="P1142" s="141" t="n"/>
      <c r="Q1142" s="141" t="n"/>
      <c r="R1142" s="141" t="n"/>
    </row>
    <row r="1143" ht="14" customHeight="1">
      <c r="A1143" s="109" t="inlineStr">
        <is>
          <t>Gara N.</t>
        </is>
      </c>
      <c r="B1143" s="109" t="inlineStr">
        <is>
          <t>Squadra A</t>
        </is>
      </c>
      <c r="C1143" s="10" t="n"/>
      <c r="D1143" s="109" t="inlineStr">
        <is>
          <t>Squadra B</t>
        </is>
      </c>
      <c r="E1143" s="10" t="n"/>
      <c r="F1143" s="109" t="inlineStr">
        <is>
          <t>Giorno</t>
        </is>
      </c>
      <c r="G1143" s="109" t="inlineStr">
        <is>
          <t>Data</t>
        </is>
      </c>
      <c r="H1143" s="109" t="inlineStr">
        <is>
          <t>Ora</t>
        </is>
      </c>
      <c r="I1143" s="10" t="n"/>
      <c r="J1143" s="109" t="inlineStr">
        <is>
          <t>Risultato</t>
        </is>
      </c>
      <c r="K1143" s="9" t="n"/>
      <c r="L1143" s="10" t="n"/>
      <c r="M1143" s="209" t="inlineStr">
        <is>
          <t>1o Arbitro</t>
        </is>
      </c>
      <c r="N1143" s="209" t="inlineStr">
        <is>
          <t>2o Arbitro</t>
        </is>
      </c>
      <c r="O1143" s="209" t="inlineStr">
        <is>
          <t>3o Arbitro/Tirocinante</t>
        </is>
      </c>
      <c r="P1143" s="209" t="inlineStr">
        <is>
          <t>Referto</t>
        </is>
      </c>
      <c r="Q1143" s="209" t="inlineStr">
        <is>
          <t>Cronometro</t>
        </is>
      </c>
      <c r="R1143" s="209" t="inlineStr">
        <is>
          <t>Foglio Tiri</t>
        </is>
      </c>
    </row>
    <row r="1144" ht="22" customHeight="1">
      <c r="A1144" s="111">
        <f>IF('Calendario G'!A124="","",'Calendario G'!A124)</f>
        <v/>
      </c>
      <c r="B1144" s="61">
        <f>IF('Calendario G'!B124="","",'Calendario G'!B124)</f>
        <v/>
      </c>
      <c r="C1144" s="62">
        <f>IF('Calendario G'!C124="","",'Calendario G'!C124)</f>
        <v/>
      </c>
      <c r="D1144" s="61">
        <f>IF('Calendario G'!D124="","",'Calendario G'!D124)</f>
        <v/>
      </c>
      <c r="E1144" s="62">
        <f>IF('Calendario G'!E124="","",'Calendario G'!E124)</f>
        <v/>
      </c>
      <c r="F1144" s="63">
        <f>IF('Calendario G'!F124="","",'Calendario G'!F124)</f>
        <v/>
      </c>
      <c r="G1144" s="9" t="n"/>
      <c r="H1144" s="9" t="n"/>
      <c r="I1144" s="10" t="n"/>
      <c r="J1144" s="195">
        <f>IF('Calendario G'!J124="","",'Calendario G'!J124)</f>
        <v/>
      </c>
      <c r="K1144" s="64" t="inlineStr">
        <is>
          <t>-</t>
        </is>
      </c>
      <c r="L1144" s="195">
        <f>IF('Calendario G'!L124="","",'Calendario G'!L124)</f>
        <v/>
      </c>
      <c r="M1144" s="196" t="n"/>
      <c r="N1144" s="196" t="n"/>
      <c r="O1144" s="196" t="n"/>
      <c r="P1144" s="196" t="n"/>
      <c r="Q1144" s="196" t="n"/>
      <c r="R1144" s="196" t="n"/>
    </row>
    <row r="1145" ht="15" customHeight="1">
      <c r="A1145" s="141" t="n"/>
      <c r="B1145" s="69">
        <f>IF('Calendario G'!B125="","",'Calendario G'!B125)</f>
        <v/>
      </c>
      <c r="C1145" s="9" t="n"/>
      <c r="D1145" s="9" t="n"/>
      <c r="E1145" s="9" t="n"/>
      <c r="F1145" s="9" t="n"/>
      <c r="G1145" s="9" t="n"/>
      <c r="H1145" s="10" t="n"/>
      <c r="I1145" s="62">
        <f>IF('Calendario G'!I125="","",'Calendario G'!I125)</f>
        <v/>
      </c>
      <c r="J1145" s="141" t="n"/>
      <c r="K1145" s="141" t="n"/>
      <c r="L1145" s="141" t="n"/>
      <c r="M1145" s="141" t="n"/>
      <c r="N1145" s="141" t="n"/>
      <c r="O1145" s="141" t="n"/>
      <c r="P1145" s="141" t="n"/>
      <c r="Q1145" s="141" t="n"/>
      <c r="R1145" s="141" t="n"/>
    </row>
    <row r="1147" ht="20" customHeight="1">
      <c r="A1147" s="106">
        <f>IF('Calendario G'!A127="","",'Calendario G'!A127)</f>
        <v/>
      </c>
      <c r="B1147" s="107">
        <f>IF('Calendario G'!B127="","",'Calendario G'!B127)</f>
        <v/>
      </c>
      <c r="C1147" s="9" t="n"/>
      <c r="D1147" s="9" t="n"/>
      <c r="E1147" s="9" t="n"/>
      <c r="F1147" s="9" t="n"/>
      <c r="G1147" s="9" t="n"/>
      <c r="H1147" s="9" t="n"/>
      <c r="I1147" s="9" t="n"/>
      <c r="J1147" s="9" t="n"/>
      <c r="K1147" s="9" t="n"/>
      <c r="L1147" s="10" t="n"/>
      <c r="M1147" s="208" t="inlineStr">
        <is>
          <t>ARBITRI</t>
        </is>
      </c>
      <c r="N1147" s="9" t="n"/>
      <c r="O1147" s="10" t="n"/>
      <c r="P1147" s="208" t="inlineStr">
        <is>
          <t>UFFICIALI DI CAMPO</t>
        </is>
      </c>
      <c r="Q1147" s="9" t="n"/>
      <c r="R1147" s="10" t="n"/>
    </row>
    <row r="1148" ht="14" customHeight="1">
      <c r="A1148" s="109" t="inlineStr">
        <is>
          <t>Gara N.</t>
        </is>
      </c>
      <c r="B1148" s="109" t="inlineStr">
        <is>
          <t>Squadra A</t>
        </is>
      </c>
      <c r="C1148" s="10" t="n"/>
      <c r="D1148" s="109" t="inlineStr">
        <is>
          <t>Squadra B</t>
        </is>
      </c>
      <c r="E1148" s="10" t="n"/>
      <c r="F1148" s="109" t="inlineStr">
        <is>
          <t>Giorno</t>
        </is>
      </c>
      <c r="G1148" s="109" t="inlineStr">
        <is>
          <t>Data</t>
        </is>
      </c>
      <c r="H1148" s="109" t="inlineStr">
        <is>
          <t>Ora</t>
        </is>
      </c>
      <c r="I1148" s="10" t="n"/>
      <c r="J1148" s="109" t="inlineStr">
        <is>
          <t>Risultato</t>
        </is>
      </c>
      <c r="K1148" s="9" t="n"/>
      <c r="L1148" s="10" t="n"/>
      <c r="M1148" s="209" t="inlineStr">
        <is>
          <t>1o Arbitro</t>
        </is>
      </c>
      <c r="N1148" s="209" t="inlineStr">
        <is>
          <t>2o Arbitro</t>
        </is>
      </c>
      <c r="O1148" s="209" t="inlineStr">
        <is>
          <t>3o Arbitro/Tirocinante</t>
        </is>
      </c>
      <c r="P1148" s="209" t="inlineStr">
        <is>
          <t>Referto</t>
        </is>
      </c>
      <c r="Q1148" s="209" t="inlineStr">
        <is>
          <t>Cronometro</t>
        </is>
      </c>
      <c r="R1148" s="209" t="inlineStr">
        <is>
          <t>Foglio Tiri</t>
        </is>
      </c>
    </row>
    <row r="1149" ht="22" customHeight="1">
      <c r="A1149" s="111">
        <f>IF('Calendario G'!A129="","",'Calendario G'!A129)</f>
        <v/>
      </c>
      <c r="B1149" s="61">
        <f>IF('Calendario G'!B129="","",'Calendario G'!B129)</f>
        <v/>
      </c>
      <c r="C1149" s="62">
        <f>IF('Calendario G'!C129="","",'Calendario G'!C129)</f>
        <v/>
      </c>
      <c r="D1149" s="61">
        <f>IF('Calendario G'!D129="","",'Calendario G'!D129)</f>
        <v/>
      </c>
      <c r="E1149" s="62">
        <f>IF('Calendario G'!E129="","",'Calendario G'!E129)</f>
        <v/>
      </c>
      <c r="F1149" s="63">
        <f>IF('Calendario G'!F129="","",'Calendario G'!F129)</f>
        <v/>
      </c>
      <c r="G1149" s="9" t="n"/>
      <c r="H1149" s="9" t="n"/>
      <c r="I1149" s="10" t="n"/>
      <c r="J1149" s="195">
        <f>IF('Calendario G'!J129="","",'Calendario G'!J129)</f>
        <v/>
      </c>
      <c r="K1149" s="64" t="inlineStr">
        <is>
          <t>-</t>
        </is>
      </c>
      <c r="L1149" s="195">
        <f>IF('Calendario G'!L129="","",'Calendario G'!L129)</f>
        <v/>
      </c>
      <c r="M1149" s="196" t="n"/>
      <c r="N1149" s="196" t="n"/>
      <c r="O1149" s="196" t="n"/>
      <c r="P1149" s="196" t="n"/>
      <c r="Q1149" s="196" t="n"/>
      <c r="R1149" s="196" t="n"/>
    </row>
    <row r="1150" ht="15" customHeight="1">
      <c r="A1150" s="141" t="n"/>
      <c r="B1150" s="69">
        <f>IF('Calendario G'!B130="","",'Calendario G'!B130)</f>
        <v/>
      </c>
      <c r="C1150" s="9" t="n"/>
      <c r="D1150" s="9" t="n"/>
      <c r="E1150" s="9" t="n"/>
      <c r="F1150" s="9" t="n"/>
      <c r="G1150" s="9" t="n"/>
      <c r="H1150" s="10" t="n"/>
      <c r="I1150" s="62">
        <f>IF('Calendario G'!I130="","",'Calendario G'!I130)</f>
        <v/>
      </c>
      <c r="J1150" s="141" t="n"/>
      <c r="K1150" s="141" t="n"/>
      <c r="L1150" s="141" t="n"/>
      <c r="M1150" s="141" t="n"/>
      <c r="N1150" s="141" t="n"/>
      <c r="O1150" s="141" t="n"/>
      <c r="P1150" s="141" t="n"/>
      <c r="Q1150" s="141" t="n"/>
      <c r="R1150" s="141" t="n"/>
    </row>
    <row r="1151" ht="14" customHeight="1">
      <c r="A1151" s="109" t="inlineStr">
        <is>
          <t>Gara N.</t>
        </is>
      </c>
      <c r="B1151" s="109" t="inlineStr">
        <is>
          <t>Squadra A</t>
        </is>
      </c>
      <c r="C1151" s="10" t="n"/>
      <c r="D1151" s="109" t="inlineStr">
        <is>
          <t>Squadra B</t>
        </is>
      </c>
      <c r="E1151" s="10" t="n"/>
      <c r="F1151" s="109" t="inlineStr">
        <is>
          <t>Giorno</t>
        </is>
      </c>
      <c r="G1151" s="109" t="inlineStr">
        <is>
          <t>Data</t>
        </is>
      </c>
      <c r="H1151" s="109" t="inlineStr">
        <is>
          <t>Ora</t>
        </is>
      </c>
      <c r="I1151" s="10" t="n"/>
      <c r="J1151" s="109" t="inlineStr">
        <is>
          <t>Risultato</t>
        </is>
      </c>
      <c r="K1151" s="9" t="n"/>
      <c r="L1151" s="10" t="n"/>
      <c r="M1151" s="209" t="inlineStr">
        <is>
          <t>1o Arbitro</t>
        </is>
      </c>
      <c r="N1151" s="209" t="inlineStr">
        <is>
          <t>2o Arbitro</t>
        </is>
      </c>
      <c r="O1151" s="209" t="inlineStr">
        <is>
          <t>3o Arbitro/Tirocinante</t>
        </is>
      </c>
      <c r="P1151" s="209" t="inlineStr">
        <is>
          <t>Referto</t>
        </is>
      </c>
      <c r="Q1151" s="209" t="inlineStr">
        <is>
          <t>Cronometro</t>
        </is>
      </c>
      <c r="R1151" s="209" t="inlineStr">
        <is>
          <t>Foglio Tiri</t>
        </is>
      </c>
    </row>
    <row r="1152" ht="22" customHeight="1">
      <c r="A1152" s="111">
        <f>IF('Calendario G'!A132="","",'Calendario G'!A132)</f>
        <v/>
      </c>
      <c r="B1152" s="61">
        <f>IF('Calendario G'!B132="","",'Calendario G'!B132)</f>
        <v/>
      </c>
      <c r="C1152" s="62">
        <f>IF('Calendario G'!C132="","",'Calendario G'!C132)</f>
        <v/>
      </c>
      <c r="D1152" s="61">
        <f>IF('Calendario G'!D132="","",'Calendario G'!D132)</f>
        <v/>
      </c>
      <c r="E1152" s="62">
        <f>IF('Calendario G'!E132="","",'Calendario G'!E132)</f>
        <v/>
      </c>
      <c r="F1152" s="63">
        <f>IF('Calendario G'!F132="","",'Calendario G'!F132)</f>
        <v/>
      </c>
      <c r="G1152" s="9" t="n"/>
      <c r="H1152" s="9" t="n"/>
      <c r="I1152" s="10" t="n"/>
      <c r="J1152" s="195">
        <f>IF('Calendario G'!J132="","",'Calendario G'!J132)</f>
        <v/>
      </c>
      <c r="K1152" s="64" t="inlineStr">
        <is>
          <t>-</t>
        </is>
      </c>
      <c r="L1152" s="195">
        <f>IF('Calendario G'!L132="","",'Calendario G'!L132)</f>
        <v/>
      </c>
      <c r="M1152" s="196" t="n"/>
      <c r="N1152" s="196" t="n"/>
      <c r="O1152" s="196" t="n"/>
      <c r="P1152" s="196" t="n"/>
      <c r="Q1152" s="196" t="n"/>
      <c r="R1152" s="196" t="n"/>
    </row>
    <row r="1153" ht="15" customHeight="1">
      <c r="A1153" s="141" t="n"/>
      <c r="B1153" s="69">
        <f>IF('Calendario G'!B133="","",'Calendario G'!B133)</f>
        <v/>
      </c>
      <c r="C1153" s="9" t="n"/>
      <c r="D1153" s="9" t="n"/>
      <c r="E1153" s="9" t="n"/>
      <c r="F1153" s="9" t="n"/>
      <c r="G1153" s="9" t="n"/>
      <c r="H1153" s="10" t="n"/>
      <c r="I1153" s="62">
        <f>IF('Calendario G'!I133="","",'Calendario G'!I133)</f>
        <v/>
      </c>
      <c r="J1153" s="141" t="n"/>
      <c r="K1153" s="141" t="n"/>
      <c r="L1153" s="141" t="n"/>
      <c r="M1153" s="141" t="n"/>
      <c r="N1153" s="141" t="n"/>
      <c r="O1153" s="141" t="n"/>
      <c r="P1153" s="141" t="n"/>
      <c r="Q1153" s="141" t="n"/>
      <c r="R1153" s="141" t="n"/>
    </row>
    <row r="1154" ht="14" customHeight="1">
      <c r="A1154" s="109" t="inlineStr">
        <is>
          <t>Gara N.</t>
        </is>
      </c>
      <c r="B1154" s="109" t="inlineStr">
        <is>
          <t>Squadra A</t>
        </is>
      </c>
      <c r="C1154" s="10" t="n"/>
      <c r="D1154" s="109" t="inlineStr">
        <is>
          <t>Squadra B</t>
        </is>
      </c>
      <c r="E1154" s="10" t="n"/>
      <c r="F1154" s="109" t="inlineStr">
        <is>
          <t>Giorno</t>
        </is>
      </c>
      <c r="G1154" s="109" t="inlineStr">
        <is>
          <t>Data</t>
        </is>
      </c>
      <c r="H1154" s="109" t="inlineStr">
        <is>
          <t>Ora</t>
        </is>
      </c>
      <c r="I1154" s="10" t="n"/>
      <c r="J1154" s="109" t="inlineStr">
        <is>
          <t>Risultato</t>
        </is>
      </c>
      <c r="K1154" s="9" t="n"/>
      <c r="L1154" s="10" t="n"/>
      <c r="M1154" s="209" t="inlineStr">
        <is>
          <t>1o Arbitro</t>
        </is>
      </c>
      <c r="N1154" s="209" t="inlineStr">
        <is>
          <t>2o Arbitro</t>
        </is>
      </c>
      <c r="O1154" s="209" t="inlineStr">
        <is>
          <t>3o Arbitro/Tirocinante</t>
        </is>
      </c>
      <c r="P1154" s="209" t="inlineStr">
        <is>
          <t>Referto</t>
        </is>
      </c>
      <c r="Q1154" s="209" t="inlineStr">
        <is>
          <t>Cronometro</t>
        </is>
      </c>
      <c r="R1154" s="209" t="inlineStr">
        <is>
          <t>Foglio Tiri</t>
        </is>
      </c>
    </row>
    <row r="1155" ht="22" customHeight="1">
      <c r="A1155" s="111">
        <f>IF('Calendario G'!A135="","",'Calendario G'!A135)</f>
        <v/>
      </c>
      <c r="B1155" s="61">
        <f>IF('Calendario G'!B135="","",'Calendario G'!B135)</f>
        <v/>
      </c>
      <c r="C1155" s="62">
        <f>IF('Calendario G'!C135="","",'Calendario G'!C135)</f>
        <v/>
      </c>
      <c r="D1155" s="61">
        <f>IF('Calendario G'!D135="","",'Calendario G'!D135)</f>
        <v/>
      </c>
      <c r="E1155" s="62">
        <f>IF('Calendario G'!E135="","",'Calendario G'!E135)</f>
        <v/>
      </c>
      <c r="F1155" s="63">
        <f>IF('Calendario G'!F135="","",'Calendario G'!F135)</f>
        <v/>
      </c>
      <c r="G1155" s="9" t="n"/>
      <c r="H1155" s="9" t="n"/>
      <c r="I1155" s="10" t="n"/>
      <c r="J1155" s="195">
        <f>IF('Calendario G'!J135="","",'Calendario G'!J135)</f>
        <v/>
      </c>
      <c r="K1155" s="64" t="inlineStr">
        <is>
          <t>-</t>
        </is>
      </c>
      <c r="L1155" s="195">
        <f>IF('Calendario G'!L135="","",'Calendario G'!L135)</f>
        <v/>
      </c>
      <c r="M1155" s="196" t="n"/>
      <c r="N1155" s="196" t="n"/>
      <c r="O1155" s="196" t="n"/>
      <c r="P1155" s="196" t="n"/>
      <c r="Q1155" s="196" t="n"/>
      <c r="R1155" s="196" t="n"/>
    </row>
    <row r="1156" ht="15" customHeight="1">
      <c r="A1156" s="141" t="n"/>
      <c r="B1156" s="69">
        <f>IF('Calendario G'!B136="","",'Calendario G'!B136)</f>
        <v/>
      </c>
      <c r="C1156" s="9" t="n"/>
      <c r="D1156" s="9" t="n"/>
      <c r="E1156" s="9" t="n"/>
      <c r="F1156" s="9" t="n"/>
      <c r="G1156" s="9" t="n"/>
      <c r="H1156" s="10" t="n"/>
      <c r="I1156" s="62">
        <f>IF('Calendario G'!I136="","",'Calendario G'!I136)</f>
        <v/>
      </c>
      <c r="J1156" s="141" t="n"/>
      <c r="K1156" s="141" t="n"/>
      <c r="L1156" s="141" t="n"/>
      <c r="M1156" s="141" t="n"/>
      <c r="N1156" s="141" t="n"/>
      <c r="O1156" s="141" t="n"/>
      <c r="P1156" s="141" t="n"/>
      <c r="Q1156" s="141" t="n"/>
      <c r="R1156" s="141" t="n"/>
    </row>
    <row r="1157" ht="14" customHeight="1">
      <c r="A1157" s="109" t="inlineStr">
        <is>
          <t>Gara N.</t>
        </is>
      </c>
      <c r="B1157" s="109" t="inlineStr">
        <is>
          <t>Squadra A</t>
        </is>
      </c>
      <c r="C1157" s="10" t="n"/>
      <c r="D1157" s="109" t="inlineStr">
        <is>
          <t>Squadra B</t>
        </is>
      </c>
      <c r="E1157" s="10" t="n"/>
      <c r="F1157" s="109" t="inlineStr">
        <is>
          <t>Giorno</t>
        </is>
      </c>
      <c r="G1157" s="109" t="inlineStr">
        <is>
          <t>Data</t>
        </is>
      </c>
      <c r="H1157" s="109" t="inlineStr">
        <is>
          <t>Ora</t>
        </is>
      </c>
      <c r="I1157" s="10" t="n"/>
      <c r="J1157" s="109" t="inlineStr">
        <is>
          <t>Risultato</t>
        </is>
      </c>
      <c r="K1157" s="9" t="n"/>
      <c r="L1157" s="10" t="n"/>
      <c r="M1157" s="209" t="inlineStr">
        <is>
          <t>1o Arbitro</t>
        </is>
      </c>
      <c r="N1157" s="209" t="inlineStr">
        <is>
          <t>2o Arbitro</t>
        </is>
      </c>
      <c r="O1157" s="209" t="inlineStr">
        <is>
          <t>3o Arbitro/Tirocinante</t>
        </is>
      </c>
      <c r="P1157" s="209" t="inlineStr">
        <is>
          <t>Referto</t>
        </is>
      </c>
      <c r="Q1157" s="209" t="inlineStr">
        <is>
          <t>Cronometro</t>
        </is>
      </c>
      <c r="R1157" s="209" t="inlineStr">
        <is>
          <t>Foglio Tiri</t>
        </is>
      </c>
    </row>
    <row r="1158" ht="22" customHeight="1">
      <c r="A1158" s="111">
        <f>IF('Calendario G'!A138="","",'Calendario G'!A138)</f>
        <v/>
      </c>
      <c r="B1158" s="61">
        <f>IF('Calendario G'!B138="","",'Calendario G'!B138)</f>
        <v/>
      </c>
      <c r="C1158" s="62">
        <f>IF('Calendario G'!C138="","",'Calendario G'!C138)</f>
        <v/>
      </c>
      <c r="D1158" s="61">
        <f>IF('Calendario G'!D138="","",'Calendario G'!D138)</f>
        <v/>
      </c>
      <c r="E1158" s="62">
        <f>IF('Calendario G'!E138="","",'Calendario G'!E138)</f>
        <v/>
      </c>
      <c r="F1158" s="63">
        <f>IF('Calendario G'!F138="","",'Calendario G'!F138)</f>
        <v/>
      </c>
      <c r="G1158" s="9" t="n"/>
      <c r="H1158" s="9" t="n"/>
      <c r="I1158" s="10" t="n"/>
      <c r="J1158" s="195">
        <f>IF('Calendario G'!J138="","",'Calendario G'!J138)</f>
        <v/>
      </c>
      <c r="K1158" s="64" t="inlineStr">
        <is>
          <t>-</t>
        </is>
      </c>
      <c r="L1158" s="195">
        <f>IF('Calendario G'!L138="","",'Calendario G'!L138)</f>
        <v/>
      </c>
      <c r="M1158" s="196" t="n"/>
      <c r="N1158" s="196" t="n"/>
      <c r="O1158" s="196" t="n"/>
      <c r="P1158" s="196" t="n"/>
      <c r="Q1158" s="196" t="n"/>
      <c r="R1158" s="196" t="n"/>
    </row>
    <row r="1159" ht="15" customHeight="1">
      <c r="A1159" s="141" t="n"/>
      <c r="B1159" s="69">
        <f>IF('Calendario G'!B139="","",'Calendario G'!B139)</f>
        <v/>
      </c>
      <c r="C1159" s="9" t="n"/>
      <c r="D1159" s="9" t="n"/>
      <c r="E1159" s="9" t="n"/>
      <c r="F1159" s="9" t="n"/>
      <c r="G1159" s="9" t="n"/>
      <c r="H1159" s="10" t="n"/>
      <c r="I1159" s="62">
        <f>IF('Calendario G'!I139="","",'Calendario G'!I139)</f>
        <v/>
      </c>
      <c r="J1159" s="141" t="n"/>
      <c r="K1159" s="141" t="n"/>
      <c r="L1159" s="141" t="n"/>
      <c r="M1159" s="141" t="n"/>
      <c r="N1159" s="141" t="n"/>
      <c r="O1159" s="141" t="n"/>
      <c r="P1159" s="141" t="n"/>
      <c r="Q1159" s="141" t="n"/>
      <c r="R1159" s="141" t="n"/>
    </row>
    <row r="1160" ht="14" customHeight="1">
      <c r="A1160" s="109" t="inlineStr">
        <is>
          <t>Gara N.</t>
        </is>
      </c>
      <c r="B1160" s="109" t="inlineStr">
        <is>
          <t>Squadra A</t>
        </is>
      </c>
      <c r="C1160" s="10" t="n"/>
      <c r="D1160" s="109" t="inlineStr">
        <is>
          <t>Squadra B</t>
        </is>
      </c>
      <c r="E1160" s="10" t="n"/>
      <c r="F1160" s="109" t="inlineStr">
        <is>
          <t>Giorno</t>
        </is>
      </c>
      <c r="G1160" s="109" t="inlineStr">
        <is>
          <t>Data</t>
        </is>
      </c>
      <c r="H1160" s="109" t="inlineStr">
        <is>
          <t>Ora</t>
        </is>
      </c>
      <c r="I1160" s="10" t="n"/>
      <c r="J1160" s="109" t="inlineStr">
        <is>
          <t>Risultato</t>
        </is>
      </c>
      <c r="K1160" s="9" t="n"/>
      <c r="L1160" s="10" t="n"/>
      <c r="M1160" s="209" t="inlineStr">
        <is>
          <t>1o Arbitro</t>
        </is>
      </c>
      <c r="N1160" s="209" t="inlineStr">
        <is>
          <t>2o Arbitro</t>
        </is>
      </c>
      <c r="O1160" s="209" t="inlineStr">
        <is>
          <t>3o Arbitro/Tirocinante</t>
        </is>
      </c>
      <c r="P1160" s="209" t="inlineStr">
        <is>
          <t>Referto</t>
        </is>
      </c>
      <c r="Q1160" s="209" t="inlineStr">
        <is>
          <t>Cronometro</t>
        </is>
      </c>
      <c r="R1160" s="209" t="inlineStr">
        <is>
          <t>Foglio Tiri</t>
        </is>
      </c>
    </row>
    <row r="1161" ht="22" customHeight="1">
      <c r="A1161" s="111">
        <f>IF('Calendario G'!A141="","",'Calendario G'!A141)</f>
        <v/>
      </c>
      <c r="B1161" s="61">
        <f>IF('Calendario G'!B141="","",'Calendario G'!B141)</f>
        <v/>
      </c>
      <c r="C1161" s="62">
        <f>IF('Calendario G'!C141="","",'Calendario G'!C141)</f>
        <v/>
      </c>
      <c r="D1161" s="61">
        <f>IF('Calendario G'!D141="","",'Calendario G'!D141)</f>
        <v/>
      </c>
      <c r="E1161" s="62">
        <f>IF('Calendario G'!E141="","",'Calendario G'!E141)</f>
        <v/>
      </c>
      <c r="F1161" s="63">
        <f>IF('Calendario G'!F141="","",'Calendario G'!F141)</f>
        <v/>
      </c>
      <c r="G1161" s="9" t="n"/>
      <c r="H1161" s="9" t="n"/>
      <c r="I1161" s="10" t="n"/>
      <c r="J1161" s="195">
        <f>IF('Calendario G'!J141="","",'Calendario G'!J141)</f>
        <v/>
      </c>
      <c r="K1161" s="64" t="inlineStr">
        <is>
          <t>-</t>
        </is>
      </c>
      <c r="L1161" s="195">
        <f>IF('Calendario G'!L141="","",'Calendario G'!L141)</f>
        <v/>
      </c>
      <c r="M1161" s="196" t="n"/>
      <c r="N1161" s="196" t="n"/>
      <c r="O1161" s="196" t="n"/>
      <c r="P1161" s="196" t="n"/>
      <c r="Q1161" s="196" t="n"/>
      <c r="R1161" s="196" t="n"/>
    </row>
    <row r="1162" ht="15" customHeight="1">
      <c r="A1162" s="141" t="n"/>
      <c r="B1162" s="69">
        <f>IF('Calendario G'!B142="","",'Calendario G'!B142)</f>
        <v/>
      </c>
      <c r="C1162" s="9" t="n"/>
      <c r="D1162" s="9" t="n"/>
      <c r="E1162" s="9" t="n"/>
      <c r="F1162" s="9" t="n"/>
      <c r="G1162" s="9" t="n"/>
      <c r="H1162" s="10" t="n"/>
      <c r="I1162" s="62">
        <f>IF('Calendario G'!I142="","",'Calendario G'!I142)</f>
        <v/>
      </c>
      <c r="J1162" s="141" t="n"/>
      <c r="K1162" s="141" t="n"/>
      <c r="L1162" s="141" t="n"/>
      <c r="M1162" s="141" t="n"/>
      <c r="N1162" s="141" t="n"/>
      <c r="O1162" s="141" t="n"/>
      <c r="P1162" s="141" t="n"/>
      <c r="Q1162" s="141" t="n"/>
      <c r="R1162" s="141" t="n"/>
    </row>
    <row r="1164" ht="20" customHeight="1">
      <c r="A1164" s="106">
        <f>IF('Calendario G'!A144="","",'Calendario G'!A144)</f>
        <v/>
      </c>
      <c r="B1164" s="107">
        <f>IF('Calendario G'!B144="","",'Calendario G'!B144)</f>
        <v/>
      </c>
      <c r="C1164" s="9" t="n"/>
      <c r="D1164" s="9" t="n"/>
      <c r="E1164" s="9" t="n"/>
      <c r="F1164" s="9" t="n"/>
      <c r="G1164" s="9" t="n"/>
      <c r="H1164" s="9" t="n"/>
      <c r="I1164" s="9" t="n"/>
      <c r="J1164" s="9" t="n"/>
      <c r="K1164" s="9" t="n"/>
      <c r="L1164" s="10" t="n"/>
      <c r="M1164" s="208" t="inlineStr">
        <is>
          <t>ARBITRI</t>
        </is>
      </c>
      <c r="N1164" s="9" t="n"/>
      <c r="O1164" s="10" t="n"/>
      <c r="P1164" s="208" t="inlineStr">
        <is>
          <t>UFFICIALI DI CAMPO</t>
        </is>
      </c>
      <c r="Q1164" s="9" t="n"/>
      <c r="R1164" s="10" t="n"/>
    </row>
    <row r="1165" ht="14" customHeight="1">
      <c r="A1165" s="109" t="inlineStr">
        <is>
          <t>Gara N.</t>
        </is>
      </c>
      <c r="B1165" s="109" t="inlineStr">
        <is>
          <t>Squadra A</t>
        </is>
      </c>
      <c r="C1165" s="10" t="n"/>
      <c r="D1165" s="109" t="inlineStr">
        <is>
          <t>Squadra B</t>
        </is>
      </c>
      <c r="E1165" s="10" t="n"/>
      <c r="F1165" s="109" t="inlineStr">
        <is>
          <t>Giorno</t>
        </is>
      </c>
      <c r="G1165" s="109" t="inlineStr">
        <is>
          <t>Data</t>
        </is>
      </c>
      <c r="H1165" s="109" t="inlineStr">
        <is>
          <t>Ora</t>
        </is>
      </c>
      <c r="I1165" s="10" t="n"/>
      <c r="J1165" s="109" t="inlineStr">
        <is>
          <t>Risultato</t>
        </is>
      </c>
      <c r="K1165" s="9" t="n"/>
      <c r="L1165" s="10" t="n"/>
      <c r="M1165" s="209" t="inlineStr">
        <is>
          <t>1o Arbitro</t>
        </is>
      </c>
      <c r="N1165" s="209" t="inlineStr">
        <is>
          <t>2o Arbitro</t>
        </is>
      </c>
      <c r="O1165" s="209" t="inlineStr">
        <is>
          <t>3o Arbitro/Tirocinante</t>
        </is>
      </c>
      <c r="P1165" s="209" t="inlineStr">
        <is>
          <t>Referto</t>
        </is>
      </c>
      <c r="Q1165" s="209" t="inlineStr">
        <is>
          <t>Cronometro</t>
        </is>
      </c>
      <c r="R1165" s="209" t="inlineStr">
        <is>
          <t>Foglio Tiri</t>
        </is>
      </c>
    </row>
    <row r="1166" ht="22" customHeight="1">
      <c r="A1166" s="111">
        <f>IF('Calendario G'!A146="","",'Calendario G'!A146)</f>
        <v/>
      </c>
      <c r="B1166" s="61">
        <f>IF('Calendario G'!B146="","",'Calendario G'!B146)</f>
        <v/>
      </c>
      <c r="C1166" s="62">
        <f>IF('Calendario G'!C146="","",'Calendario G'!C146)</f>
        <v/>
      </c>
      <c r="D1166" s="61">
        <f>IF('Calendario G'!D146="","",'Calendario G'!D146)</f>
        <v/>
      </c>
      <c r="E1166" s="62">
        <f>IF('Calendario G'!E146="","",'Calendario G'!E146)</f>
        <v/>
      </c>
      <c r="F1166" s="63">
        <f>IF('Calendario G'!F146="","",'Calendario G'!F146)</f>
        <v/>
      </c>
      <c r="G1166" s="9" t="n"/>
      <c r="H1166" s="9" t="n"/>
      <c r="I1166" s="10" t="n"/>
      <c r="J1166" s="195">
        <f>IF('Calendario G'!J146="","",'Calendario G'!J146)</f>
        <v/>
      </c>
      <c r="K1166" s="64" t="inlineStr">
        <is>
          <t>-</t>
        </is>
      </c>
      <c r="L1166" s="195">
        <f>IF('Calendario G'!L146="","",'Calendario G'!L146)</f>
        <v/>
      </c>
      <c r="M1166" s="196" t="n"/>
      <c r="N1166" s="196" t="n"/>
      <c r="O1166" s="196" t="n"/>
      <c r="P1166" s="196" t="n"/>
      <c r="Q1166" s="196" t="n"/>
      <c r="R1166" s="196" t="n"/>
    </row>
    <row r="1167" ht="15" customHeight="1">
      <c r="A1167" s="141" t="n"/>
      <c r="B1167" s="69">
        <f>IF('Calendario G'!B147="","",'Calendario G'!B147)</f>
        <v/>
      </c>
      <c r="C1167" s="9" t="n"/>
      <c r="D1167" s="9" t="n"/>
      <c r="E1167" s="9" t="n"/>
      <c r="F1167" s="9" t="n"/>
      <c r="G1167" s="9" t="n"/>
      <c r="H1167" s="10" t="n"/>
      <c r="I1167" s="62">
        <f>IF('Calendario G'!I147="","",'Calendario G'!I147)</f>
        <v/>
      </c>
      <c r="J1167" s="141" t="n"/>
      <c r="K1167" s="141" t="n"/>
      <c r="L1167" s="141" t="n"/>
      <c r="M1167" s="141" t="n"/>
      <c r="N1167" s="141" t="n"/>
      <c r="O1167" s="141" t="n"/>
      <c r="P1167" s="141" t="n"/>
      <c r="Q1167" s="141" t="n"/>
      <c r="R1167" s="141" t="n"/>
    </row>
    <row r="1168" ht="14" customHeight="1">
      <c r="A1168" s="109" t="inlineStr">
        <is>
          <t>Gara N.</t>
        </is>
      </c>
      <c r="B1168" s="109" t="inlineStr">
        <is>
          <t>Squadra A</t>
        </is>
      </c>
      <c r="C1168" s="10" t="n"/>
      <c r="D1168" s="109" t="inlineStr">
        <is>
          <t>Squadra B</t>
        </is>
      </c>
      <c r="E1168" s="10" t="n"/>
      <c r="F1168" s="109" t="inlineStr">
        <is>
          <t>Giorno</t>
        </is>
      </c>
      <c r="G1168" s="109" t="inlineStr">
        <is>
          <t>Data</t>
        </is>
      </c>
      <c r="H1168" s="109" t="inlineStr">
        <is>
          <t>Ora</t>
        </is>
      </c>
      <c r="I1168" s="10" t="n"/>
      <c r="J1168" s="109" t="inlineStr">
        <is>
          <t>Risultato</t>
        </is>
      </c>
      <c r="K1168" s="9" t="n"/>
      <c r="L1168" s="10" t="n"/>
      <c r="M1168" s="209" t="inlineStr">
        <is>
          <t>1o Arbitro</t>
        </is>
      </c>
      <c r="N1168" s="209" t="inlineStr">
        <is>
          <t>2o Arbitro</t>
        </is>
      </c>
      <c r="O1168" s="209" t="inlineStr">
        <is>
          <t>3o Arbitro/Tirocinante</t>
        </is>
      </c>
      <c r="P1168" s="209" t="inlineStr">
        <is>
          <t>Referto</t>
        </is>
      </c>
      <c r="Q1168" s="209" t="inlineStr">
        <is>
          <t>Cronometro</t>
        </is>
      </c>
      <c r="R1168" s="209" t="inlineStr">
        <is>
          <t>Foglio Tiri</t>
        </is>
      </c>
    </row>
    <row r="1169" ht="22" customHeight="1">
      <c r="A1169" s="111">
        <f>IF('Calendario G'!A149="","",'Calendario G'!A149)</f>
        <v/>
      </c>
      <c r="B1169" s="61">
        <f>IF('Calendario G'!B149="","",'Calendario G'!B149)</f>
        <v/>
      </c>
      <c r="C1169" s="62">
        <f>IF('Calendario G'!C149="","",'Calendario G'!C149)</f>
        <v/>
      </c>
      <c r="D1169" s="61">
        <f>IF('Calendario G'!D149="","",'Calendario G'!D149)</f>
        <v/>
      </c>
      <c r="E1169" s="62">
        <f>IF('Calendario G'!E149="","",'Calendario G'!E149)</f>
        <v/>
      </c>
      <c r="F1169" s="63">
        <f>IF('Calendario G'!F149="","",'Calendario G'!F149)</f>
        <v/>
      </c>
      <c r="G1169" s="9" t="n"/>
      <c r="H1169" s="9" t="n"/>
      <c r="I1169" s="10" t="n"/>
      <c r="J1169" s="195">
        <f>IF('Calendario G'!J149="","",'Calendario G'!J149)</f>
        <v/>
      </c>
      <c r="K1169" s="64" t="inlineStr">
        <is>
          <t>-</t>
        </is>
      </c>
      <c r="L1169" s="195">
        <f>IF('Calendario G'!L149="","",'Calendario G'!L149)</f>
        <v/>
      </c>
      <c r="M1169" s="196" t="n"/>
      <c r="N1169" s="196" t="n"/>
      <c r="O1169" s="196" t="n"/>
      <c r="P1169" s="196" t="n"/>
      <c r="Q1169" s="196" t="n"/>
      <c r="R1169" s="196" t="n"/>
    </row>
    <row r="1170" ht="15" customHeight="1">
      <c r="A1170" s="141" t="n"/>
      <c r="B1170" s="69">
        <f>IF('Calendario G'!B150="","",'Calendario G'!B150)</f>
        <v/>
      </c>
      <c r="C1170" s="9" t="n"/>
      <c r="D1170" s="9" t="n"/>
      <c r="E1170" s="9" t="n"/>
      <c r="F1170" s="9" t="n"/>
      <c r="G1170" s="9" t="n"/>
      <c r="H1170" s="10" t="n"/>
      <c r="I1170" s="62">
        <f>IF('Calendario G'!I150="","",'Calendario G'!I150)</f>
        <v/>
      </c>
      <c r="J1170" s="141" t="n"/>
      <c r="K1170" s="141" t="n"/>
      <c r="L1170" s="141" t="n"/>
      <c r="M1170" s="141" t="n"/>
      <c r="N1170" s="141" t="n"/>
      <c r="O1170" s="141" t="n"/>
      <c r="P1170" s="141" t="n"/>
      <c r="Q1170" s="141" t="n"/>
      <c r="R1170" s="141" t="n"/>
    </row>
    <row r="1171" ht="14" customHeight="1">
      <c r="A1171" s="109" t="inlineStr">
        <is>
          <t>Gara N.</t>
        </is>
      </c>
      <c r="B1171" s="109" t="inlineStr">
        <is>
          <t>Squadra A</t>
        </is>
      </c>
      <c r="C1171" s="10" t="n"/>
      <c r="D1171" s="109" t="inlineStr">
        <is>
          <t>Squadra B</t>
        </is>
      </c>
      <c r="E1171" s="10" t="n"/>
      <c r="F1171" s="109" t="inlineStr">
        <is>
          <t>Giorno</t>
        </is>
      </c>
      <c r="G1171" s="109" t="inlineStr">
        <is>
          <t>Data</t>
        </is>
      </c>
      <c r="H1171" s="109" t="inlineStr">
        <is>
          <t>Ora</t>
        </is>
      </c>
      <c r="I1171" s="10" t="n"/>
      <c r="J1171" s="109" t="inlineStr">
        <is>
          <t>Risultato</t>
        </is>
      </c>
      <c r="K1171" s="9" t="n"/>
      <c r="L1171" s="10" t="n"/>
      <c r="M1171" s="209" t="inlineStr">
        <is>
          <t>1o Arbitro</t>
        </is>
      </c>
      <c r="N1171" s="209" t="inlineStr">
        <is>
          <t>2o Arbitro</t>
        </is>
      </c>
      <c r="O1171" s="209" t="inlineStr">
        <is>
          <t>3o Arbitro/Tirocinante</t>
        </is>
      </c>
      <c r="P1171" s="209" t="inlineStr">
        <is>
          <t>Referto</t>
        </is>
      </c>
      <c r="Q1171" s="209" t="inlineStr">
        <is>
          <t>Cronometro</t>
        </is>
      </c>
      <c r="R1171" s="209" t="inlineStr">
        <is>
          <t>Foglio Tiri</t>
        </is>
      </c>
    </row>
    <row r="1172" ht="22" customHeight="1">
      <c r="A1172" s="111">
        <f>IF('Calendario G'!A152="","",'Calendario G'!A152)</f>
        <v/>
      </c>
      <c r="B1172" s="61">
        <f>IF('Calendario G'!B152="","",'Calendario G'!B152)</f>
        <v/>
      </c>
      <c r="C1172" s="62">
        <f>IF('Calendario G'!C152="","",'Calendario G'!C152)</f>
        <v/>
      </c>
      <c r="D1172" s="61">
        <f>IF('Calendario G'!D152="","",'Calendario G'!D152)</f>
        <v/>
      </c>
      <c r="E1172" s="62">
        <f>IF('Calendario G'!E152="","",'Calendario G'!E152)</f>
        <v/>
      </c>
      <c r="F1172" s="63">
        <f>IF('Calendario G'!F152="","",'Calendario G'!F152)</f>
        <v/>
      </c>
      <c r="G1172" s="9" t="n"/>
      <c r="H1172" s="9" t="n"/>
      <c r="I1172" s="10" t="n"/>
      <c r="J1172" s="195">
        <f>IF('Calendario G'!J152="","",'Calendario G'!J152)</f>
        <v/>
      </c>
      <c r="K1172" s="64" t="inlineStr">
        <is>
          <t>-</t>
        </is>
      </c>
      <c r="L1172" s="195">
        <f>IF('Calendario G'!L152="","",'Calendario G'!L152)</f>
        <v/>
      </c>
      <c r="M1172" s="196" t="n"/>
      <c r="N1172" s="196" t="n"/>
      <c r="O1172" s="196" t="n"/>
      <c r="P1172" s="196" t="n"/>
      <c r="Q1172" s="196" t="n"/>
      <c r="R1172" s="196" t="n"/>
    </row>
    <row r="1173" ht="15" customHeight="1">
      <c r="A1173" s="141" t="n"/>
      <c r="B1173" s="69">
        <f>IF('Calendario G'!B153="","",'Calendario G'!B153)</f>
        <v/>
      </c>
      <c r="C1173" s="9" t="n"/>
      <c r="D1173" s="9" t="n"/>
      <c r="E1173" s="9" t="n"/>
      <c r="F1173" s="9" t="n"/>
      <c r="G1173" s="9" t="n"/>
      <c r="H1173" s="10" t="n"/>
      <c r="I1173" s="62">
        <f>IF('Calendario G'!I153="","",'Calendario G'!I153)</f>
        <v/>
      </c>
      <c r="J1173" s="141" t="n"/>
      <c r="K1173" s="141" t="n"/>
      <c r="L1173" s="141" t="n"/>
      <c r="M1173" s="141" t="n"/>
      <c r="N1173" s="141" t="n"/>
      <c r="O1173" s="141" t="n"/>
      <c r="P1173" s="141" t="n"/>
      <c r="Q1173" s="141" t="n"/>
      <c r="R1173" s="141" t="n"/>
    </row>
    <row r="1174" ht="14" customHeight="1">
      <c r="A1174" s="109" t="inlineStr">
        <is>
          <t>Gara N.</t>
        </is>
      </c>
      <c r="B1174" s="109" t="inlineStr">
        <is>
          <t>Squadra A</t>
        </is>
      </c>
      <c r="C1174" s="10" t="n"/>
      <c r="D1174" s="109" t="inlineStr">
        <is>
          <t>Squadra B</t>
        </is>
      </c>
      <c r="E1174" s="10" t="n"/>
      <c r="F1174" s="109" t="inlineStr">
        <is>
          <t>Giorno</t>
        </is>
      </c>
      <c r="G1174" s="109" t="inlineStr">
        <is>
          <t>Data</t>
        </is>
      </c>
      <c r="H1174" s="109" t="inlineStr">
        <is>
          <t>Ora</t>
        </is>
      </c>
      <c r="I1174" s="10" t="n"/>
      <c r="J1174" s="109" t="inlineStr">
        <is>
          <t>Risultato</t>
        </is>
      </c>
      <c r="K1174" s="9" t="n"/>
      <c r="L1174" s="10" t="n"/>
      <c r="M1174" s="209" t="inlineStr">
        <is>
          <t>1o Arbitro</t>
        </is>
      </c>
      <c r="N1174" s="209" t="inlineStr">
        <is>
          <t>2o Arbitro</t>
        </is>
      </c>
      <c r="O1174" s="209" t="inlineStr">
        <is>
          <t>3o Arbitro/Tirocinante</t>
        </is>
      </c>
      <c r="P1174" s="209" t="inlineStr">
        <is>
          <t>Referto</t>
        </is>
      </c>
      <c r="Q1174" s="209" t="inlineStr">
        <is>
          <t>Cronometro</t>
        </is>
      </c>
      <c r="R1174" s="209" t="inlineStr">
        <is>
          <t>Foglio Tiri</t>
        </is>
      </c>
    </row>
    <row r="1175" ht="22" customHeight="1">
      <c r="A1175" s="111">
        <f>IF('Calendario G'!A155="","",'Calendario G'!A155)</f>
        <v/>
      </c>
      <c r="B1175" s="61">
        <f>IF('Calendario G'!B155="","",'Calendario G'!B155)</f>
        <v/>
      </c>
      <c r="C1175" s="62">
        <f>IF('Calendario G'!C155="","",'Calendario G'!C155)</f>
        <v/>
      </c>
      <c r="D1175" s="61">
        <f>IF('Calendario G'!D155="","",'Calendario G'!D155)</f>
        <v/>
      </c>
      <c r="E1175" s="62">
        <f>IF('Calendario G'!E155="","",'Calendario G'!E155)</f>
        <v/>
      </c>
      <c r="F1175" s="63">
        <f>IF('Calendario G'!F155="","",'Calendario G'!F155)</f>
        <v/>
      </c>
      <c r="G1175" s="9" t="n"/>
      <c r="H1175" s="9" t="n"/>
      <c r="I1175" s="10" t="n"/>
      <c r="J1175" s="195">
        <f>IF('Calendario G'!J155="","",'Calendario G'!J155)</f>
        <v/>
      </c>
      <c r="K1175" s="64" t="inlineStr">
        <is>
          <t>-</t>
        </is>
      </c>
      <c r="L1175" s="195">
        <f>IF('Calendario G'!L155="","",'Calendario G'!L155)</f>
        <v/>
      </c>
      <c r="M1175" s="196" t="n"/>
      <c r="N1175" s="196" t="n"/>
      <c r="O1175" s="196" t="n"/>
      <c r="P1175" s="196" t="n"/>
      <c r="Q1175" s="196" t="n"/>
      <c r="R1175" s="196" t="n"/>
    </row>
    <row r="1176" ht="15" customHeight="1">
      <c r="A1176" s="141" t="n"/>
      <c r="B1176" s="69">
        <f>IF('Calendario G'!B156="","",'Calendario G'!B156)</f>
        <v/>
      </c>
      <c r="C1176" s="9" t="n"/>
      <c r="D1176" s="9" t="n"/>
      <c r="E1176" s="9" t="n"/>
      <c r="F1176" s="9" t="n"/>
      <c r="G1176" s="9" t="n"/>
      <c r="H1176" s="10" t="n"/>
      <c r="I1176" s="62">
        <f>IF('Calendario G'!I156="","",'Calendario G'!I156)</f>
        <v/>
      </c>
      <c r="J1176" s="141" t="n"/>
      <c r="K1176" s="141" t="n"/>
      <c r="L1176" s="141" t="n"/>
      <c r="M1176" s="141" t="n"/>
      <c r="N1176" s="141" t="n"/>
      <c r="O1176" s="141" t="n"/>
      <c r="P1176" s="141" t="n"/>
      <c r="Q1176" s="141" t="n"/>
      <c r="R1176" s="141" t="n"/>
    </row>
    <row r="1177" ht="14" customHeight="1">
      <c r="A1177" s="109" t="inlineStr">
        <is>
          <t>Gara N.</t>
        </is>
      </c>
      <c r="B1177" s="109" t="inlineStr">
        <is>
          <t>Squadra A</t>
        </is>
      </c>
      <c r="C1177" s="10" t="n"/>
      <c r="D1177" s="109" t="inlineStr">
        <is>
          <t>Squadra B</t>
        </is>
      </c>
      <c r="E1177" s="10" t="n"/>
      <c r="F1177" s="109" t="inlineStr">
        <is>
          <t>Giorno</t>
        </is>
      </c>
      <c r="G1177" s="109" t="inlineStr">
        <is>
          <t>Data</t>
        </is>
      </c>
      <c r="H1177" s="109" t="inlineStr">
        <is>
          <t>Ora</t>
        </is>
      </c>
      <c r="I1177" s="10" t="n"/>
      <c r="J1177" s="109" t="inlineStr">
        <is>
          <t>Risultato</t>
        </is>
      </c>
      <c r="K1177" s="9" t="n"/>
      <c r="L1177" s="10" t="n"/>
      <c r="M1177" s="209" t="inlineStr">
        <is>
          <t>1o Arbitro</t>
        </is>
      </c>
      <c r="N1177" s="209" t="inlineStr">
        <is>
          <t>2o Arbitro</t>
        </is>
      </c>
      <c r="O1177" s="209" t="inlineStr">
        <is>
          <t>3o Arbitro/Tirocinante</t>
        </is>
      </c>
      <c r="P1177" s="209" t="inlineStr">
        <is>
          <t>Referto</t>
        </is>
      </c>
      <c r="Q1177" s="209" t="inlineStr">
        <is>
          <t>Cronometro</t>
        </is>
      </c>
      <c r="R1177" s="209" t="inlineStr">
        <is>
          <t>Foglio Tiri</t>
        </is>
      </c>
    </row>
    <row r="1178" ht="22" customHeight="1">
      <c r="A1178" s="111">
        <f>IF('Calendario G'!A158="","",'Calendario G'!A158)</f>
        <v/>
      </c>
      <c r="B1178" s="61">
        <f>IF('Calendario G'!B158="","",'Calendario G'!B158)</f>
        <v/>
      </c>
      <c r="C1178" s="62">
        <f>IF('Calendario G'!C158="","",'Calendario G'!C158)</f>
        <v/>
      </c>
      <c r="D1178" s="61">
        <f>IF('Calendario G'!D158="","",'Calendario G'!D158)</f>
        <v/>
      </c>
      <c r="E1178" s="62">
        <f>IF('Calendario G'!E158="","",'Calendario G'!E158)</f>
        <v/>
      </c>
      <c r="F1178" s="63">
        <f>IF('Calendario G'!F158="","",'Calendario G'!F158)</f>
        <v/>
      </c>
      <c r="G1178" s="9" t="n"/>
      <c r="H1178" s="9" t="n"/>
      <c r="I1178" s="10" t="n"/>
      <c r="J1178" s="195">
        <f>IF('Calendario G'!J158="","",'Calendario G'!J158)</f>
        <v/>
      </c>
      <c r="K1178" s="64" t="inlineStr">
        <is>
          <t>-</t>
        </is>
      </c>
      <c r="L1178" s="195">
        <f>IF('Calendario G'!L158="","",'Calendario G'!L158)</f>
        <v/>
      </c>
      <c r="M1178" s="196" t="n"/>
      <c r="N1178" s="196" t="n"/>
      <c r="O1178" s="196" t="n"/>
      <c r="P1178" s="196" t="n"/>
      <c r="Q1178" s="196" t="n"/>
      <c r="R1178" s="196" t="n"/>
    </row>
    <row r="1179" ht="15" customHeight="1">
      <c r="A1179" s="141" t="n"/>
      <c r="B1179" s="69">
        <f>IF('Calendario G'!B159="","",'Calendario G'!B159)</f>
        <v/>
      </c>
      <c r="C1179" s="9" t="n"/>
      <c r="D1179" s="9" t="n"/>
      <c r="E1179" s="9" t="n"/>
      <c r="F1179" s="9" t="n"/>
      <c r="G1179" s="9" t="n"/>
      <c r="H1179" s="10" t="n"/>
      <c r="I1179" s="62">
        <f>IF('Calendario G'!I159="","",'Calendario G'!I159)</f>
        <v/>
      </c>
      <c r="J1179" s="141" t="n"/>
      <c r="K1179" s="141" t="n"/>
      <c r="L1179" s="141" t="n"/>
      <c r="M1179" s="141" t="n"/>
      <c r="N1179" s="141" t="n"/>
      <c r="O1179" s="141" t="n"/>
      <c r="P1179" s="141" t="n"/>
      <c r="Q1179" s="141" t="n"/>
      <c r="R1179" s="141" t="n"/>
    </row>
    <row r="1198" ht="20" customHeight="1">
      <c r="A1198" s="113">
        <f>IF('Calendario H'!A8="","",'Calendario H'!A8)</f>
        <v/>
      </c>
      <c r="B1198" s="114">
        <f>IF('Calendario H'!B8="","",'Calendario H'!B8)</f>
        <v/>
      </c>
      <c r="C1198" s="9" t="n"/>
      <c r="D1198" s="9" t="n"/>
      <c r="E1198" s="9" t="n"/>
      <c r="F1198" s="9" t="n"/>
      <c r="G1198" s="9" t="n"/>
      <c r="H1198" s="9" t="n"/>
      <c r="I1198" s="9" t="n"/>
      <c r="J1198" s="9" t="n"/>
      <c r="K1198" s="9" t="n"/>
      <c r="L1198" s="10" t="n"/>
      <c r="M1198" s="210" t="inlineStr">
        <is>
          <t>ARBITRI</t>
        </is>
      </c>
      <c r="N1198" s="9" t="n"/>
      <c r="O1198" s="10" t="n"/>
      <c r="P1198" s="210" t="inlineStr">
        <is>
          <t>UFFICIALI DI CAMPO</t>
        </is>
      </c>
      <c r="Q1198" s="9" t="n"/>
      <c r="R1198" s="10" t="n"/>
    </row>
    <row r="1199" ht="14" customHeight="1">
      <c r="A1199" s="116" t="inlineStr">
        <is>
          <t>Gara N.</t>
        </is>
      </c>
      <c r="B1199" s="116" t="inlineStr">
        <is>
          <t>Squadra A</t>
        </is>
      </c>
      <c r="C1199" s="10" t="n"/>
      <c r="D1199" s="116" t="inlineStr">
        <is>
          <t>Squadra B</t>
        </is>
      </c>
      <c r="E1199" s="10" t="n"/>
      <c r="F1199" s="116" t="inlineStr">
        <is>
          <t>Giorno</t>
        </is>
      </c>
      <c r="G1199" s="116" t="inlineStr">
        <is>
          <t>Data</t>
        </is>
      </c>
      <c r="H1199" s="116" t="inlineStr">
        <is>
          <t>Ora</t>
        </is>
      </c>
      <c r="I1199" s="10" t="n"/>
      <c r="J1199" s="116" t="inlineStr">
        <is>
          <t>Risultato</t>
        </is>
      </c>
      <c r="K1199" s="9" t="n"/>
      <c r="L1199" s="10" t="n"/>
      <c r="M1199" s="211" t="inlineStr">
        <is>
          <t>1o Arbitro</t>
        </is>
      </c>
      <c r="N1199" s="211" t="inlineStr">
        <is>
          <t>2o Arbitro</t>
        </is>
      </c>
      <c r="O1199" s="211" t="inlineStr">
        <is>
          <t>3o Arbitro/Tirocinante</t>
        </is>
      </c>
      <c r="P1199" s="211" t="inlineStr">
        <is>
          <t>Referto</t>
        </is>
      </c>
      <c r="Q1199" s="211" t="inlineStr">
        <is>
          <t>Cronometro</t>
        </is>
      </c>
      <c r="R1199" s="211" t="inlineStr">
        <is>
          <t>Foglio Tiri</t>
        </is>
      </c>
    </row>
    <row r="1200" ht="22" customHeight="1">
      <c r="A1200" s="118">
        <f>IF('Calendario H'!A10="","",'Calendario H'!A10)</f>
        <v/>
      </c>
      <c r="B1200" s="61">
        <f>IF('Calendario H'!B10="","",'Calendario H'!B10)</f>
        <v/>
      </c>
      <c r="C1200" s="62">
        <f>IF('Calendario H'!C10="","",'Calendario H'!C10)</f>
        <v/>
      </c>
      <c r="D1200" s="61">
        <f>IF('Calendario H'!D10="","",'Calendario H'!D10)</f>
        <v/>
      </c>
      <c r="E1200" s="62">
        <f>IF('Calendario H'!E10="","",'Calendario H'!E10)</f>
        <v/>
      </c>
      <c r="F1200" s="63">
        <f>IF('Calendario H'!F10="","",'Calendario H'!F10)</f>
        <v/>
      </c>
      <c r="G1200" s="9" t="n"/>
      <c r="H1200" s="9" t="n"/>
      <c r="I1200" s="10" t="n"/>
      <c r="J1200" s="195">
        <f>IF('Calendario H'!J10="","",'Calendario H'!J10)</f>
        <v/>
      </c>
      <c r="K1200" s="64" t="inlineStr">
        <is>
          <t>-</t>
        </is>
      </c>
      <c r="L1200" s="195">
        <f>IF('Calendario H'!L10="","",'Calendario H'!L10)</f>
        <v/>
      </c>
      <c r="M1200" s="196" t="n"/>
      <c r="N1200" s="196" t="n"/>
      <c r="O1200" s="196" t="n"/>
      <c r="P1200" s="196" t="n"/>
      <c r="Q1200" s="196" t="n"/>
      <c r="R1200" s="196" t="n"/>
    </row>
    <row r="1201" ht="15" customHeight="1">
      <c r="A1201" s="141" t="n"/>
      <c r="B1201" s="69">
        <f>IF('Calendario H'!B11="","",'Calendario H'!B11)</f>
        <v/>
      </c>
      <c r="C1201" s="9" t="n"/>
      <c r="D1201" s="9" t="n"/>
      <c r="E1201" s="9" t="n"/>
      <c r="F1201" s="9" t="n"/>
      <c r="G1201" s="9" t="n"/>
      <c r="H1201" s="10" t="n"/>
      <c r="I1201" s="62">
        <f>IF('Calendario H'!I11="","",'Calendario H'!I11)</f>
        <v/>
      </c>
      <c r="J1201" s="141" t="n"/>
      <c r="K1201" s="141" t="n"/>
      <c r="L1201" s="141" t="n"/>
      <c r="M1201" s="141" t="n"/>
      <c r="N1201" s="141" t="n"/>
      <c r="O1201" s="141" t="n"/>
      <c r="P1201" s="141" t="n"/>
      <c r="Q1201" s="141" t="n"/>
      <c r="R1201" s="141" t="n"/>
    </row>
    <row r="1202" ht="14" customHeight="1">
      <c r="A1202" s="116" t="inlineStr">
        <is>
          <t>Gara N.</t>
        </is>
      </c>
      <c r="B1202" s="116" t="inlineStr">
        <is>
          <t>Squadra A</t>
        </is>
      </c>
      <c r="C1202" s="10" t="n"/>
      <c r="D1202" s="116" t="inlineStr">
        <is>
          <t>Squadra B</t>
        </is>
      </c>
      <c r="E1202" s="10" t="n"/>
      <c r="F1202" s="116" t="inlineStr">
        <is>
          <t>Giorno</t>
        </is>
      </c>
      <c r="G1202" s="116" t="inlineStr">
        <is>
          <t>Data</t>
        </is>
      </c>
      <c r="H1202" s="116" t="inlineStr">
        <is>
          <t>Ora</t>
        </is>
      </c>
      <c r="I1202" s="10" t="n"/>
      <c r="J1202" s="116" t="inlineStr">
        <is>
          <t>Risultato</t>
        </is>
      </c>
      <c r="K1202" s="9" t="n"/>
      <c r="L1202" s="10" t="n"/>
      <c r="M1202" s="211" t="inlineStr">
        <is>
          <t>1o Arbitro</t>
        </is>
      </c>
      <c r="N1202" s="211" t="inlineStr">
        <is>
          <t>2o Arbitro</t>
        </is>
      </c>
      <c r="O1202" s="211" t="inlineStr">
        <is>
          <t>3o Arbitro/Tirocinante</t>
        </is>
      </c>
      <c r="P1202" s="211" t="inlineStr">
        <is>
          <t>Referto</t>
        </is>
      </c>
      <c r="Q1202" s="211" t="inlineStr">
        <is>
          <t>Cronometro</t>
        </is>
      </c>
      <c r="R1202" s="211" t="inlineStr">
        <is>
          <t>Foglio Tiri</t>
        </is>
      </c>
    </row>
    <row r="1203" ht="22" customHeight="1">
      <c r="A1203" s="118">
        <f>IF('Calendario H'!A13="","",'Calendario H'!A13)</f>
        <v/>
      </c>
      <c r="B1203" s="61">
        <f>IF('Calendario H'!B13="","",'Calendario H'!B13)</f>
        <v/>
      </c>
      <c r="C1203" s="62">
        <f>IF('Calendario H'!C13="","",'Calendario H'!C13)</f>
        <v/>
      </c>
      <c r="D1203" s="61">
        <f>IF('Calendario H'!D13="","",'Calendario H'!D13)</f>
        <v/>
      </c>
      <c r="E1203" s="62">
        <f>IF('Calendario H'!E13="","",'Calendario H'!E13)</f>
        <v/>
      </c>
      <c r="F1203" s="63">
        <f>IF('Calendario H'!F13="","",'Calendario H'!F13)</f>
        <v/>
      </c>
      <c r="G1203" s="9" t="n"/>
      <c r="H1203" s="9" t="n"/>
      <c r="I1203" s="10" t="n"/>
      <c r="J1203" s="195">
        <f>IF('Calendario H'!J13="","",'Calendario H'!J13)</f>
        <v/>
      </c>
      <c r="K1203" s="64" t="inlineStr">
        <is>
          <t>-</t>
        </is>
      </c>
      <c r="L1203" s="195">
        <f>IF('Calendario H'!L13="","",'Calendario H'!L13)</f>
        <v/>
      </c>
      <c r="M1203" s="196" t="n"/>
      <c r="N1203" s="196" t="n"/>
      <c r="O1203" s="196" t="n"/>
      <c r="P1203" s="196" t="n"/>
      <c r="Q1203" s="196" t="n"/>
      <c r="R1203" s="196" t="n"/>
    </row>
    <row r="1204" ht="15" customHeight="1">
      <c r="A1204" s="141" t="n"/>
      <c r="B1204" s="69">
        <f>IF('Calendario H'!B14="","",'Calendario H'!B14)</f>
        <v/>
      </c>
      <c r="C1204" s="9" t="n"/>
      <c r="D1204" s="9" t="n"/>
      <c r="E1204" s="9" t="n"/>
      <c r="F1204" s="9" t="n"/>
      <c r="G1204" s="9" t="n"/>
      <c r="H1204" s="10" t="n"/>
      <c r="I1204" s="62">
        <f>IF('Calendario H'!I14="","",'Calendario H'!I14)</f>
        <v/>
      </c>
      <c r="J1204" s="141" t="n"/>
      <c r="K1204" s="141" t="n"/>
      <c r="L1204" s="141" t="n"/>
      <c r="M1204" s="141" t="n"/>
      <c r="N1204" s="141" t="n"/>
      <c r="O1204" s="141" t="n"/>
      <c r="P1204" s="141" t="n"/>
      <c r="Q1204" s="141" t="n"/>
      <c r="R1204" s="141" t="n"/>
    </row>
    <row r="1205" ht="14" customHeight="1">
      <c r="A1205" s="116" t="inlineStr">
        <is>
          <t>Gara N.</t>
        </is>
      </c>
      <c r="B1205" s="116" t="inlineStr">
        <is>
          <t>Squadra A</t>
        </is>
      </c>
      <c r="C1205" s="10" t="n"/>
      <c r="D1205" s="116" t="inlineStr">
        <is>
          <t>Squadra B</t>
        </is>
      </c>
      <c r="E1205" s="10" t="n"/>
      <c r="F1205" s="116" t="inlineStr">
        <is>
          <t>Giorno</t>
        </is>
      </c>
      <c r="G1205" s="116" t="inlineStr">
        <is>
          <t>Data</t>
        </is>
      </c>
      <c r="H1205" s="116" t="inlineStr">
        <is>
          <t>Ora</t>
        </is>
      </c>
      <c r="I1205" s="10" t="n"/>
      <c r="J1205" s="116" t="inlineStr">
        <is>
          <t>Risultato</t>
        </is>
      </c>
      <c r="K1205" s="9" t="n"/>
      <c r="L1205" s="10" t="n"/>
      <c r="M1205" s="211" t="inlineStr">
        <is>
          <t>1o Arbitro</t>
        </is>
      </c>
      <c r="N1205" s="211" t="inlineStr">
        <is>
          <t>2o Arbitro</t>
        </is>
      </c>
      <c r="O1205" s="211" t="inlineStr">
        <is>
          <t>3o Arbitro/Tirocinante</t>
        </is>
      </c>
      <c r="P1205" s="211" t="inlineStr">
        <is>
          <t>Referto</t>
        </is>
      </c>
      <c r="Q1205" s="211" t="inlineStr">
        <is>
          <t>Cronometro</t>
        </is>
      </c>
      <c r="R1205" s="211" t="inlineStr">
        <is>
          <t>Foglio Tiri</t>
        </is>
      </c>
    </row>
    <row r="1206" ht="22" customHeight="1">
      <c r="A1206" s="118">
        <f>IF('Calendario H'!A16="","",'Calendario H'!A16)</f>
        <v/>
      </c>
      <c r="B1206" s="61">
        <f>IF('Calendario H'!B16="","",'Calendario H'!B16)</f>
        <v/>
      </c>
      <c r="C1206" s="62">
        <f>IF('Calendario H'!C16="","",'Calendario H'!C16)</f>
        <v/>
      </c>
      <c r="D1206" s="61">
        <f>IF('Calendario H'!D16="","",'Calendario H'!D16)</f>
        <v/>
      </c>
      <c r="E1206" s="62">
        <f>IF('Calendario H'!E16="","",'Calendario H'!E16)</f>
        <v/>
      </c>
      <c r="F1206" s="63">
        <f>IF('Calendario H'!F16="","",'Calendario H'!F16)</f>
        <v/>
      </c>
      <c r="G1206" s="9" t="n"/>
      <c r="H1206" s="9" t="n"/>
      <c r="I1206" s="10" t="n"/>
      <c r="J1206" s="195">
        <f>IF('Calendario H'!J16="","",'Calendario H'!J16)</f>
        <v/>
      </c>
      <c r="K1206" s="64" t="inlineStr">
        <is>
          <t>-</t>
        </is>
      </c>
      <c r="L1206" s="195">
        <f>IF('Calendario H'!L16="","",'Calendario H'!L16)</f>
        <v/>
      </c>
      <c r="M1206" s="196" t="n"/>
      <c r="N1206" s="196" t="n"/>
      <c r="O1206" s="196" t="n"/>
      <c r="P1206" s="196" t="n"/>
      <c r="Q1206" s="196" t="n"/>
      <c r="R1206" s="196" t="n"/>
    </row>
    <row r="1207" ht="15" customHeight="1">
      <c r="A1207" s="141" t="n"/>
      <c r="B1207" s="69">
        <f>IF('Calendario H'!B17="","",'Calendario H'!B17)</f>
        <v/>
      </c>
      <c r="C1207" s="9" t="n"/>
      <c r="D1207" s="9" t="n"/>
      <c r="E1207" s="9" t="n"/>
      <c r="F1207" s="9" t="n"/>
      <c r="G1207" s="9" t="n"/>
      <c r="H1207" s="10" t="n"/>
      <c r="I1207" s="62">
        <f>IF('Calendario H'!I17="","",'Calendario H'!I17)</f>
        <v/>
      </c>
      <c r="J1207" s="141" t="n"/>
      <c r="K1207" s="141" t="n"/>
      <c r="L1207" s="141" t="n"/>
      <c r="M1207" s="141" t="n"/>
      <c r="N1207" s="141" t="n"/>
      <c r="O1207" s="141" t="n"/>
      <c r="P1207" s="141" t="n"/>
      <c r="Q1207" s="141" t="n"/>
      <c r="R1207" s="141" t="n"/>
    </row>
    <row r="1208" ht="14" customHeight="1">
      <c r="A1208" s="116" t="inlineStr">
        <is>
          <t>Gara N.</t>
        </is>
      </c>
      <c r="B1208" s="116" t="inlineStr">
        <is>
          <t>Squadra A</t>
        </is>
      </c>
      <c r="C1208" s="10" t="n"/>
      <c r="D1208" s="116" t="inlineStr">
        <is>
          <t>Squadra B</t>
        </is>
      </c>
      <c r="E1208" s="10" t="n"/>
      <c r="F1208" s="116" t="inlineStr">
        <is>
          <t>Giorno</t>
        </is>
      </c>
      <c r="G1208" s="116" t="inlineStr">
        <is>
          <t>Data</t>
        </is>
      </c>
      <c r="H1208" s="116" t="inlineStr">
        <is>
          <t>Ora</t>
        </is>
      </c>
      <c r="I1208" s="10" t="n"/>
      <c r="J1208" s="116" t="inlineStr">
        <is>
          <t>Risultato</t>
        </is>
      </c>
      <c r="K1208" s="9" t="n"/>
      <c r="L1208" s="10" t="n"/>
      <c r="M1208" s="211" t="inlineStr">
        <is>
          <t>1o Arbitro</t>
        </is>
      </c>
      <c r="N1208" s="211" t="inlineStr">
        <is>
          <t>2o Arbitro</t>
        </is>
      </c>
      <c r="O1208" s="211" t="inlineStr">
        <is>
          <t>3o Arbitro/Tirocinante</t>
        </is>
      </c>
      <c r="P1208" s="211" t="inlineStr">
        <is>
          <t>Referto</t>
        </is>
      </c>
      <c r="Q1208" s="211" t="inlineStr">
        <is>
          <t>Cronometro</t>
        </is>
      </c>
      <c r="R1208" s="211" t="inlineStr">
        <is>
          <t>Foglio Tiri</t>
        </is>
      </c>
    </row>
    <row r="1209" ht="22" customHeight="1">
      <c r="A1209" s="118">
        <f>IF('Calendario H'!A19="","",'Calendario H'!A19)</f>
        <v/>
      </c>
      <c r="B1209" s="61">
        <f>IF('Calendario H'!B19="","",'Calendario H'!B19)</f>
        <v/>
      </c>
      <c r="C1209" s="62">
        <f>IF('Calendario H'!C19="","",'Calendario H'!C19)</f>
        <v/>
      </c>
      <c r="D1209" s="61">
        <f>IF('Calendario H'!D19="","",'Calendario H'!D19)</f>
        <v/>
      </c>
      <c r="E1209" s="62">
        <f>IF('Calendario H'!E19="","",'Calendario H'!E19)</f>
        <v/>
      </c>
      <c r="F1209" s="63">
        <f>IF('Calendario H'!F19="","",'Calendario H'!F19)</f>
        <v/>
      </c>
      <c r="G1209" s="9" t="n"/>
      <c r="H1209" s="9" t="n"/>
      <c r="I1209" s="10" t="n"/>
      <c r="J1209" s="195">
        <f>IF('Calendario H'!J19="","",'Calendario H'!J19)</f>
        <v/>
      </c>
      <c r="K1209" s="64" t="inlineStr">
        <is>
          <t>-</t>
        </is>
      </c>
      <c r="L1209" s="195">
        <f>IF('Calendario H'!L19="","",'Calendario H'!L19)</f>
        <v/>
      </c>
      <c r="M1209" s="196" t="n"/>
      <c r="N1209" s="196" t="n"/>
      <c r="O1209" s="196" t="n"/>
      <c r="P1209" s="196" t="n"/>
      <c r="Q1209" s="196" t="n"/>
      <c r="R1209" s="196" t="n"/>
    </row>
    <row r="1210" ht="15" customHeight="1">
      <c r="A1210" s="141" t="n"/>
      <c r="B1210" s="69">
        <f>IF('Calendario H'!B20="","",'Calendario H'!B20)</f>
        <v/>
      </c>
      <c r="C1210" s="9" t="n"/>
      <c r="D1210" s="9" t="n"/>
      <c r="E1210" s="9" t="n"/>
      <c r="F1210" s="9" t="n"/>
      <c r="G1210" s="9" t="n"/>
      <c r="H1210" s="10" t="n"/>
      <c r="I1210" s="62">
        <f>IF('Calendario H'!I20="","",'Calendario H'!I20)</f>
        <v/>
      </c>
      <c r="J1210" s="141" t="n"/>
      <c r="K1210" s="141" t="n"/>
      <c r="L1210" s="141" t="n"/>
      <c r="M1210" s="141" t="n"/>
      <c r="N1210" s="141" t="n"/>
      <c r="O1210" s="141" t="n"/>
      <c r="P1210" s="141" t="n"/>
      <c r="Q1210" s="141" t="n"/>
      <c r="R1210" s="141" t="n"/>
    </row>
    <row r="1211" ht="14" customHeight="1">
      <c r="A1211" s="116" t="inlineStr">
        <is>
          <t>Gara N.</t>
        </is>
      </c>
      <c r="B1211" s="116" t="inlineStr">
        <is>
          <t>Squadra A</t>
        </is>
      </c>
      <c r="C1211" s="10" t="n"/>
      <c r="D1211" s="116" t="inlineStr">
        <is>
          <t>Squadra B</t>
        </is>
      </c>
      <c r="E1211" s="10" t="n"/>
      <c r="F1211" s="116" t="inlineStr">
        <is>
          <t>Giorno</t>
        </is>
      </c>
      <c r="G1211" s="116" t="inlineStr">
        <is>
          <t>Data</t>
        </is>
      </c>
      <c r="H1211" s="116" t="inlineStr">
        <is>
          <t>Ora</t>
        </is>
      </c>
      <c r="I1211" s="10" t="n"/>
      <c r="J1211" s="116" t="inlineStr">
        <is>
          <t>Risultato</t>
        </is>
      </c>
      <c r="K1211" s="9" t="n"/>
      <c r="L1211" s="10" t="n"/>
      <c r="M1211" s="211" t="inlineStr">
        <is>
          <t>1o Arbitro</t>
        </is>
      </c>
      <c r="N1211" s="211" t="inlineStr">
        <is>
          <t>2o Arbitro</t>
        </is>
      </c>
      <c r="O1211" s="211" t="inlineStr">
        <is>
          <t>3o Arbitro/Tirocinante</t>
        </is>
      </c>
      <c r="P1211" s="211" t="inlineStr">
        <is>
          <t>Referto</t>
        </is>
      </c>
      <c r="Q1211" s="211" t="inlineStr">
        <is>
          <t>Cronometro</t>
        </is>
      </c>
      <c r="R1211" s="211" t="inlineStr">
        <is>
          <t>Foglio Tiri</t>
        </is>
      </c>
    </row>
    <row r="1212" ht="22" customHeight="1">
      <c r="A1212" s="118">
        <f>IF('Calendario H'!A22="","",'Calendario H'!A22)</f>
        <v/>
      </c>
      <c r="B1212" s="61">
        <f>IF('Calendario H'!B22="","",'Calendario H'!B22)</f>
        <v/>
      </c>
      <c r="C1212" s="62">
        <f>IF('Calendario H'!C22="","",'Calendario H'!C22)</f>
        <v/>
      </c>
      <c r="D1212" s="61">
        <f>IF('Calendario H'!D22="","",'Calendario H'!D22)</f>
        <v/>
      </c>
      <c r="E1212" s="62">
        <f>IF('Calendario H'!E22="","",'Calendario H'!E22)</f>
        <v/>
      </c>
      <c r="F1212" s="63">
        <f>IF('Calendario H'!F22="","",'Calendario H'!F22)</f>
        <v/>
      </c>
      <c r="G1212" s="9" t="n"/>
      <c r="H1212" s="9" t="n"/>
      <c r="I1212" s="10" t="n"/>
      <c r="J1212" s="195">
        <f>IF('Calendario H'!J22="","",'Calendario H'!J22)</f>
        <v/>
      </c>
      <c r="K1212" s="64" t="inlineStr">
        <is>
          <t>-</t>
        </is>
      </c>
      <c r="L1212" s="195">
        <f>IF('Calendario H'!L22="","",'Calendario H'!L22)</f>
        <v/>
      </c>
      <c r="M1212" s="196" t="n"/>
      <c r="N1212" s="196" t="n"/>
      <c r="O1212" s="196" t="n"/>
      <c r="P1212" s="196" t="n"/>
      <c r="Q1212" s="196" t="n"/>
      <c r="R1212" s="196" t="n"/>
    </row>
    <row r="1213" ht="15" customHeight="1">
      <c r="A1213" s="141" t="n"/>
      <c r="B1213" s="69">
        <f>IF('Calendario H'!B23="","",'Calendario H'!B23)</f>
        <v/>
      </c>
      <c r="C1213" s="9" t="n"/>
      <c r="D1213" s="9" t="n"/>
      <c r="E1213" s="9" t="n"/>
      <c r="F1213" s="9" t="n"/>
      <c r="G1213" s="9" t="n"/>
      <c r="H1213" s="10" t="n"/>
      <c r="I1213" s="62">
        <f>IF('Calendario H'!I23="","",'Calendario H'!I23)</f>
        <v/>
      </c>
      <c r="J1213" s="141" t="n"/>
      <c r="K1213" s="141" t="n"/>
      <c r="L1213" s="141" t="n"/>
      <c r="M1213" s="141" t="n"/>
      <c r="N1213" s="141" t="n"/>
      <c r="O1213" s="141" t="n"/>
      <c r="P1213" s="141" t="n"/>
      <c r="Q1213" s="141" t="n"/>
      <c r="R1213" s="141" t="n"/>
    </row>
    <row r="1215" ht="20" customHeight="1">
      <c r="A1215" s="113">
        <f>IF('Calendario H'!A25="","",'Calendario H'!A25)</f>
        <v/>
      </c>
      <c r="B1215" s="114">
        <f>IF('Calendario H'!B25="","",'Calendario H'!B25)</f>
        <v/>
      </c>
      <c r="C1215" s="9" t="n"/>
      <c r="D1215" s="9" t="n"/>
      <c r="E1215" s="9" t="n"/>
      <c r="F1215" s="9" t="n"/>
      <c r="G1215" s="9" t="n"/>
      <c r="H1215" s="9" t="n"/>
      <c r="I1215" s="9" t="n"/>
      <c r="J1215" s="9" t="n"/>
      <c r="K1215" s="9" t="n"/>
      <c r="L1215" s="10" t="n"/>
      <c r="M1215" s="210" t="inlineStr">
        <is>
          <t>ARBITRI</t>
        </is>
      </c>
      <c r="N1215" s="9" t="n"/>
      <c r="O1215" s="10" t="n"/>
      <c r="P1215" s="210" t="inlineStr">
        <is>
          <t>UFFICIALI DI CAMPO</t>
        </is>
      </c>
      <c r="Q1215" s="9" t="n"/>
      <c r="R1215" s="10" t="n"/>
    </row>
    <row r="1216" ht="14" customHeight="1">
      <c r="A1216" s="116" t="inlineStr">
        <is>
          <t>Gara N.</t>
        </is>
      </c>
      <c r="B1216" s="116" t="inlineStr">
        <is>
          <t>Squadra A</t>
        </is>
      </c>
      <c r="C1216" s="10" t="n"/>
      <c r="D1216" s="116" t="inlineStr">
        <is>
          <t>Squadra B</t>
        </is>
      </c>
      <c r="E1216" s="10" t="n"/>
      <c r="F1216" s="116" t="inlineStr">
        <is>
          <t>Giorno</t>
        </is>
      </c>
      <c r="G1216" s="116" t="inlineStr">
        <is>
          <t>Data</t>
        </is>
      </c>
      <c r="H1216" s="116" t="inlineStr">
        <is>
          <t>Ora</t>
        </is>
      </c>
      <c r="I1216" s="10" t="n"/>
      <c r="J1216" s="116" t="inlineStr">
        <is>
          <t>Risultato</t>
        </is>
      </c>
      <c r="K1216" s="9" t="n"/>
      <c r="L1216" s="10" t="n"/>
      <c r="M1216" s="211" t="inlineStr">
        <is>
          <t>1o Arbitro</t>
        </is>
      </c>
      <c r="N1216" s="211" t="inlineStr">
        <is>
          <t>2o Arbitro</t>
        </is>
      </c>
      <c r="O1216" s="211" t="inlineStr">
        <is>
          <t>3o Arbitro/Tirocinante</t>
        </is>
      </c>
      <c r="P1216" s="211" t="inlineStr">
        <is>
          <t>Referto</t>
        </is>
      </c>
      <c r="Q1216" s="211" t="inlineStr">
        <is>
          <t>Cronometro</t>
        </is>
      </c>
      <c r="R1216" s="211" t="inlineStr">
        <is>
          <t>Foglio Tiri</t>
        </is>
      </c>
    </row>
    <row r="1217" ht="22" customHeight="1">
      <c r="A1217" s="118">
        <f>IF('Calendario H'!A27="","",'Calendario H'!A27)</f>
        <v/>
      </c>
      <c r="B1217" s="61">
        <f>IF('Calendario H'!B27="","",'Calendario H'!B27)</f>
        <v/>
      </c>
      <c r="C1217" s="62">
        <f>IF('Calendario H'!C27="","",'Calendario H'!C27)</f>
        <v/>
      </c>
      <c r="D1217" s="61">
        <f>IF('Calendario H'!D27="","",'Calendario H'!D27)</f>
        <v/>
      </c>
      <c r="E1217" s="62">
        <f>IF('Calendario H'!E27="","",'Calendario H'!E27)</f>
        <v/>
      </c>
      <c r="F1217" s="63">
        <f>IF('Calendario H'!F27="","",'Calendario H'!F27)</f>
        <v/>
      </c>
      <c r="G1217" s="9" t="n"/>
      <c r="H1217" s="9" t="n"/>
      <c r="I1217" s="10" t="n"/>
      <c r="J1217" s="195">
        <f>IF('Calendario H'!J27="","",'Calendario H'!J27)</f>
        <v/>
      </c>
      <c r="K1217" s="64" t="inlineStr">
        <is>
          <t>-</t>
        </is>
      </c>
      <c r="L1217" s="195">
        <f>IF('Calendario H'!L27="","",'Calendario H'!L27)</f>
        <v/>
      </c>
      <c r="M1217" s="196" t="n"/>
      <c r="N1217" s="196" t="n"/>
      <c r="O1217" s="196" t="n"/>
      <c r="P1217" s="196" t="n"/>
      <c r="Q1217" s="196" t="n"/>
      <c r="R1217" s="196" t="n"/>
    </row>
    <row r="1218" ht="15" customHeight="1">
      <c r="A1218" s="141" t="n"/>
      <c r="B1218" s="69">
        <f>IF('Calendario H'!B28="","",'Calendario H'!B28)</f>
        <v/>
      </c>
      <c r="C1218" s="9" t="n"/>
      <c r="D1218" s="9" t="n"/>
      <c r="E1218" s="9" t="n"/>
      <c r="F1218" s="9" t="n"/>
      <c r="G1218" s="9" t="n"/>
      <c r="H1218" s="10" t="n"/>
      <c r="I1218" s="62">
        <f>IF('Calendario H'!I28="","",'Calendario H'!I28)</f>
        <v/>
      </c>
      <c r="J1218" s="141" t="n"/>
      <c r="K1218" s="141" t="n"/>
      <c r="L1218" s="141" t="n"/>
      <c r="M1218" s="141" t="n"/>
      <c r="N1218" s="141" t="n"/>
      <c r="O1218" s="141" t="n"/>
      <c r="P1218" s="141" t="n"/>
      <c r="Q1218" s="141" t="n"/>
      <c r="R1218" s="141" t="n"/>
    </row>
    <row r="1219" ht="14" customHeight="1">
      <c r="A1219" s="116" t="inlineStr">
        <is>
          <t>Gara N.</t>
        </is>
      </c>
      <c r="B1219" s="116" t="inlineStr">
        <is>
          <t>Squadra A</t>
        </is>
      </c>
      <c r="C1219" s="10" t="n"/>
      <c r="D1219" s="116" t="inlineStr">
        <is>
          <t>Squadra B</t>
        </is>
      </c>
      <c r="E1219" s="10" t="n"/>
      <c r="F1219" s="116" t="inlineStr">
        <is>
          <t>Giorno</t>
        </is>
      </c>
      <c r="G1219" s="116" t="inlineStr">
        <is>
          <t>Data</t>
        </is>
      </c>
      <c r="H1219" s="116" t="inlineStr">
        <is>
          <t>Ora</t>
        </is>
      </c>
      <c r="I1219" s="10" t="n"/>
      <c r="J1219" s="116" t="inlineStr">
        <is>
          <t>Risultato</t>
        </is>
      </c>
      <c r="K1219" s="9" t="n"/>
      <c r="L1219" s="10" t="n"/>
      <c r="M1219" s="211" t="inlineStr">
        <is>
          <t>1o Arbitro</t>
        </is>
      </c>
      <c r="N1219" s="211" t="inlineStr">
        <is>
          <t>2o Arbitro</t>
        </is>
      </c>
      <c r="O1219" s="211" t="inlineStr">
        <is>
          <t>3o Arbitro/Tirocinante</t>
        </is>
      </c>
      <c r="P1219" s="211" t="inlineStr">
        <is>
          <t>Referto</t>
        </is>
      </c>
      <c r="Q1219" s="211" t="inlineStr">
        <is>
          <t>Cronometro</t>
        </is>
      </c>
      <c r="R1219" s="211" t="inlineStr">
        <is>
          <t>Foglio Tiri</t>
        </is>
      </c>
    </row>
    <row r="1220" ht="22" customHeight="1">
      <c r="A1220" s="118">
        <f>IF('Calendario H'!A30="","",'Calendario H'!A30)</f>
        <v/>
      </c>
      <c r="B1220" s="61">
        <f>IF('Calendario H'!B30="","",'Calendario H'!B30)</f>
        <v/>
      </c>
      <c r="C1220" s="62">
        <f>IF('Calendario H'!C30="","",'Calendario H'!C30)</f>
        <v/>
      </c>
      <c r="D1220" s="61">
        <f>IF('Calendario H'!D30="","",'Calendario H'!D30)</f>
        <v/>
      </c>
      <c r="E1220" s="62">
        <f>IF('Calendario H'!E30="","",'Calendario H'!E30)</f>
        <v/>
      </c>
      <c r="F1220" s="63">
        <f>IF('Calendario H'!F30="","",'Calendario H'!F30)</f>
        <v/>
      </c>
      <c r="G1220" s="9" t="n"/>
      <c r="H1220" s="9" t="n"/>
      <c r="I1220" s="10" t="n"/>
      <c r="J1220" s="195">
        <f>IF('Calendario H'!J30="","",'Calendario H'!J30)</f>
        <v/>
      </c>
      <c r="K1220" s="64" t="inlineStr">
        <is>
          <t>-</t>
        </is>
      </c>
      <c r="L1220" s="195">
        <f>IF('Calendario H'!L30="","",'Calendario H'!L30)</f>
        <v/>
      </c>
      <c r="M1220" s="196" t="n"/>
      <c r="N1220" s="196" t="n"/>
      <c r="O1220" s="196" t="n"/>
      <c r="P1220" s="196" t="n"/>
      <c r="Q1220" s="196" t="n"/>
      <c r="R1220" s="196" t="n"/>
    </row>
    <row r="1221" ht="15" customHeight="1">
      <c r="A1221" s="141" t="n"/>
      <c r="B1221" s="69">
        <f>IF('Calendario H'!B31="","",'Calendario H'!B31)</f>
        <v/>
      </c>
      <c r="C1221" s="9" t="n"/>
      <c r="D1221" s="9" t="n"/>
      <c r="E1221" s="9" t="n"/>
      <c r="F1221" s="9" t="n"/>
      <c r="G1221" s="9" t="n"/>
      <c r="H1221" s="10" t="n"/>
      <c r="I1221" s="62">
        <f>IF('Calendario H'!I31="","",'Calendario H'!I31)</f>
        <v/>
      </c>
      <c r="J1221" s="141" t="n"/>
      <c r="K1221" s="141" t="n"/>
      <c r="L1221" s="141" t="n"/>
      <c r="M1221" s="141" t="n"/>
      <c r="N1221" s="141" t="n"/>
      <c r="O1221" s="141" t="n"/>
      <c r="P1221" s="141" t="n"/>
      <c r="Q1221" s="141" t="n"/>
      <c r="R1221" s="141" t="n"/>
    </row>
    <row r="1222" ht="14" customHeight="1">
      <c r="A1222" s="116" t="inlineStr">
        <is>
          <t>Gara N.</t>
        </is>
      </c>
      <c r="B1222" s="116" t="inlineStr">
        <is>
          <t>Squadra A</t>
        </is>
      </c>
      <c r="C1222" s="10" t="n"/>
      <c r="D1222" s="116" t="inlineStr">
        <is>
          <t>Squadra B</t>
        </is>
      </c>
      <c r="E1222" s="10" t="n"/>
      <c r="F1222" s="116" t="inlineStr">
        <is>
          <t>Giorno</t>
        </is>
      </c>
      <c r="G1222" s="116" t="inlineStr">
        <is>
          <t>Data</t>
        </is>
      </c>
      <c r="H1222" s="116" t="inlineStr">
        <is>
          <t>Ora</t>
        </is>
      </c>
      <c r="I1222" s="10" t="n"/>
      <c r="J1222" s="116" t="inlineStr">
        <is>
          <t>Risultato</t>
        </is>
      </c>
      <c r="K1222" s="9" t="n"/>
      <c r="L1222" s="10" t="n"/>
      <c r="M1222" s="211" t="inlineStr">
        <is>
          <t>1o Arbitro</t>
        </is>
      </c>
      <c r="N1222" s="211" t="inlineStr">
        <is>
          <t>2o Arbitro</t>
        </is>
      </c>
      <c r="O1222" s="211" t="inlineStr">
        <is>
          <t>3o Arbitro/Tirocinante</t>
        </is>
      </c>
      <c r="P1222" s="211" t="inlineStr">
        <is>
          <t>Referto</t>
        </is>
      </c>
      <c r="Q1222" s="211" t="inlineStr">
        <is>
          <t>Cronometro</t>
        </is>
      </c>
      <c r="R1222" s="211" t="inlineStr">
        <is>
          <t>Foglio Tiri</t>
        </is>
      </c>
    </row>
    <row r="1223" ht="22" customHeight="1">
      <c r="A1223" s="118">
        <f>IF('Calendario H'!A33="","",'Calendario H'!A33)</f>
        <v/>
      </c>
      <c r="B1223" s="61">
        <f>IF('Calendario H'!B33="","",'Calendario H'!B33)</f>
        <v/>
      </c>
      <c r="C1223" s="62">
        <f>IF('Calendario H'!C33="","",'Calendario H'!C33)</f>
        <v/>
      </c>
      <c r="D1223" s="61">
        <f>IF('Calendario H'!D33="","",'Calendario H'!D33)</f>
        <v/>
      </c>
      <c r="E1223" s="62">
        <f>IF('Calendario H'!E33="","",'Calendario H'!E33)</f>
        <v/>
      </c>
      <c r="F1223" s="63">
        <f>IF('Calendario H'!F33="","",'Calendario H'!F33)</f>
        <v/>
      </c>
      <c r="G1223" s="9" t="n"/>
      <c r="H1223" s="9" t="n"/>
      <c r="I1223" s="10" t="n"/>
      <c r="J1223" s="195">
        <f>IF('Calendario H'!J33="","",'Calendario H'!J33)</f>
        <v/>
      </c>
      <c r="K1223" s="64" t="inlineStr">
        <is>
          <t>-</t>
        </is>
      </c>
      <c r="L1223" s="195">
        <f>IF('Calendario H'!L33="","",'Calendario H'!L33)</f>
        <v/>
      </c>
      <c r="M1223" s="196" t="n"/>
      <c r="N1223" s="196" t="n"/>
      <c r="O1223" s="196" t="n"/>
      <c r="P1223" s="196" t="n"/>
      <c r="Q1223" s="196" t="n"/>
      <c r="R1223" s="196" t="n"/>
    </row>
    <row r="1224" ht="15" customHeight="1">
      <c r="A1224" s="141" t="n"/>
      <c r="B1224" s="69">
        <f>IF('Calendario H'!B34="","",'Calendario H'!B34)</f>
        <v/>
      </c>
      <c r="C1224" s="9" t="n"/>
      <c r="D1224" s="9" t="n"/>
      <c r="E1224" s="9" t="n"/>
      <c r="F1224" s="9" t="n"/>
      <c r="G1224" s="9" t="n"/>
      <c r="H1224" s="10" t="n"/>
      <c r="I1224" s="62">
        <f>IF('Calendario H'!I34="","",'Calendario H'!I34)</f>
        <v/>
      </c>
      <c r="J1224" s="141" t="n"/>
      <c r="K1224" s="141" t="n"/>
      <c r="L1224" s="141" t="n"/>
      <c r="M1224" s="141" t="n"/>
      <c r="N1224" s="141" t="n"/>
      <c r="O1224" s="141" t="n"/>
      <c r="P1224" s="141" t="n"/>
      <c r="Q1224" s="141" t="n"/>
      <c r="R1224" s="141" t="n"/>
    </row>
    <row r="1225" ht="14" customHeight="1">
      <c r="A1225" s="116" t="inlineStr">
        <is>
          <t>Gara N.</t>
        </is>
      </c>
      <c r="B1225" s="116" t="inlineStr">
        <is>
          <t>Squadra A</t>
        </is>
      </c>
      <c r="C1225" s="10" t="n"/>
      <c r="D1225" s="116" t="inlineStr">
        <is>
          <t>Squadra B</t>
        </is>
      </c>
      <c r="E1225" s="10" t="n"/>
      <c r="F1225" s="116" t="inlineStr">
        <is>
          <t>Giorno</t>
        </is>
      </c>
      <c r="G1225" s="116" t="inlineStr">
        <is>
          <t>Data</t>
        </is>
      </c>
      <c r="H1225" s="116" t="inlineStr">
        <is>
          <t>Ora</t>
        </is>
      </c>
      <c r="I1225" s="10" t="n"/>
      <c r="J1225" s="116" t="inlineStr">
        <is>
          <t>Risultato</t>
        </is>
      </c>
      <c r="K1225" s="9" t="n"/>
      <c r="L1225" s="10" t="n"/>
      <c r="M1225" s="211" t="inlineStr">
        <is>
          <t>1o Arbitro</t>
        </is>
      </c>
      <c r="N1225" s="211" t="inlineStr">
        <is>
          <t>2o Arbitro</t>
        </is>
      </c>
      <c r="O1225" s="211" t="inlineStr">
        <is>
          <t>3o Arbitro/Tirocinante</t>
        </is>
      </c>
      <c r="P1225" s="211" t="inlineStr">
        <is>
          <t>Referto</t>
        </is>
      </c>
      <c r="Q1225" s="211" t="inlineStr">
        <is>
          <t>Cronometro</t>
        </is>
      </c>
      <c r="R1225" s="211" t="inlineStr">
        <is>
          <t>Foglio Tiri</t>
        </is>
      </c>
    </row>
    <row r="1226" ht="22" customHeight="1">
      <c r="A1226" s="118">
        <f>IF('Calendario H'!A36="","",'Calendario H'!A36)</f>
        <v/>
      </c>
      <c r="B1226" s="61">
        <f>IF('Calendario H'!B36="","",'Calendario H'!B36)</f>
        <v/>
      </c>
      <c r="C1226" s="62">
        <f>IF('Calendario H'!C36="","",'Calendario H'!C36)</f>
        <v/>
      </c>
      <c r="D1226" s="61">
        <f>IF('Calendario H'!D36="","",'Calendario H'!D36)</f>
        <v/>
      </c>
      <c r="E1226" s="62">
        <f>IF('Calendario H'!E36="","",'Calendario H'!E36)</f>
        <v/>
      </c>
      <c r="F1226" s="63">
        <f>IF('Calendario H'!F36="","",'Calendario H'!F36)</f>
        <v/>
      </c>
      <c r="G1226" s="9" t="n"/>
      <c r="H1226" s="9" t="n"/>
      <c r="I1226" s="10" t="n"/>
      <c r="J1226" s="195">
        <f>IF('Calendario H'!J36="","",'Calendario H'!J36)</f>
        <v/>
      </c>
      <c r="K1226" s="64" t="inlineStr">
        <is>
          <t>-</t>
        </is>
      </c>
      <c r="L1226" s="195">
        <f>IF('Calendario H'!L36="","",'Calendario H'!L36)</f>
        <v/>
      </c>
      <c r="M1226" s="196" t="n"/>
      <c r="N1226" s="196" t="n"/>
      <c r="O1226" s="196" t="n"/>
      <c r="P1226" s="196" t="n"/>
      <c r="Q1226" s="196" t="n"/>
      <c r="R1226" s="196" t="n"/>
    </row>
    <row r="1227" ht="15" customHeight="1">
      <c r="A1227" s="141" t="n"/>
      <c r="B1227" s="69">
        <f>IF('Calendario H'!B37="","",'Calendario H'!B37)</f>
        <v/>
      </c>
      <c r="C1227" s="9" t="n"/>
      <c r="D1227" s="9" t="n"/>
      <c r="E1227" s="9" t="n"/>
      <c r="F1227" s="9" t="n"/>
      <c r="G1227" s="9" t="n"/>
      <c r="H1227" s="10" t="n"/>
      <c r="I1227" s="62">
        <f>IF('Calendario H'!I37="","",'Calendario H'!I37)</f>
        <v/>
      </c>
      <c r="J1227" s="141" t="n"/>
      <c r="K1227" s="141" t="n"/>
      <c r="L1227" s="141" t="n"/>
      <c r="M1227" s="141" t="n"/>
      <c r="N1227" s="141" t="n"/>
      <c r="O1227" s="141" t="n"/>
      <c r="P1227" s="141" t="n"/>
      <c r="Q1227" s="141" t="n"/>
      <c r="R1227" s="141" t="n"/>
    </row>
    <row r="1228" ht="14" customHeight="1">
      <c r="A1228" s="116" t="inlineStr">
        <is>
          <t>Gara N.</t>
        </is>
      </c>
      <c r="B1228" s="116" t="inlineStr">
        <is>
          <t>Squadra A</t>
        </is>
      </c>
      <c r="C1228" s="10" t="n"/>
      <c r="D1228" s="116" t="inlineStr">
        <is>
          <t>Squadra B</t>
        </is>
      </c>
      <c r="E1228" s="10" t="n"/>
      <c r="F1228" s="116" t="inlineStr">
        <is>
          <t>Giorno</t>
        </is>
      </c>
      <c r="G1228" s="116" t="inlineStr">
        <is>
          <t>Data</t>
        </is>
      </c>
      <c r="H1228" s="116" t="inlineStr">
        <is>
          <t>Ora</t>
        </is>
      </c>
      <c r="I1228" s="10" t="n"/>
      <c r="J1228" s="116" t="inlineStr">
        <is>
          <t>Risultato</t>
        </is>
      </c>
      <c r="K1228" s="9" t="n"/>
      <c r="L1228" s="10" t="n"/>
      <c r="M1228" s="211" t="inlineStr">
        <is>
          <t>1o Arbitro</t>
        </is>
      </c>
      <c r="N1228" s="211" t="inlineStr">
        <is>
          <t>2o Arbitro</t>
        </is>
      </c>
      <c r="O1228" s="211" t="inlineStr">
        <is>
          <t>3o Arbitro/Tirocinante</t>
        </is>
      </c>
      <c r="P1228" s="211" t="inlineStr">
        <is>
          <t>Referto</t>
        </is>
      </c>
      <c r="Q1228" s="211" t="inlineStr">
        <is>
          <t>Cronometro</t>
        </is>
      </c>
      <c r="R1228" s="211" t="inlineStr">
        <is>
          <t>Foglio Tiri</t>
        </is>
      </c>
    </row>
    <row r="1229" ht="22" customHeight="1">
      <c r="A1229" s="118">
        <f>IF('Calendario H'!A39="","",'Calendario H'!A39)</f>
        <v/>
      </c>
      <c r="B1229" s="61">
        <f>IF('Calendario H'!B39="","",'Calendario H'!B39)</f>
        <v/>
      </c>
      <c r="C1229" s="62">
        <f>IF('Calendario H'!C39="","",'Calendario H'!C39)</f>
        <v/>
      </c>
      <c r="D1229" s="61">
        <f>IF('Calendario H'!D39="","",'Calendario H'!D39)</f>
        <v/>
      </c>
      <c r="E1229" s="62">
        <f>IF('Calendario H'!E39="","",'Calendario H'!E39)</f>
        <v/>
      </c>
      <c r="F1229" s="63">
        <f>IF('Calendario H'!F39="","",'Calendario H'!F39)</f>
        <v/>
      </c>
      <c r="G1229" s="9" t="n"/>
      <c r="H1229" s="9" t="n"/>
      <c r="I1229" s="10" t="n"/>
      <c r="J1229" s="195">
        <f>IF('Calendario H'!J39="","",'Calendario H'!J39)</f>
        <v/>
      </c>
      <c r="K1229" s="64" t="inlineStr">
        <is>
          <t>-</t>
        </is>
      </c>
      <c r="L1229" s="195">
        <f>IF('Calendario H'!L39="","",'Calendario H'!L39)</f>
        <v/>
      </c>
      <c r="M1229" s="196" t="n"/>
      <c r="N1229" s="196" t="n"/>
      <c r="O1229" s="196" t="n"/>
      <c r="P1229" s="196" t="n"/>
      <c r="Q1229" s="196" t="n"/>
      <c r="R1229" s="196" t="n"/>
    </row>
    <row r="1230" ht="15" customHeight="1">
      <c r="A1230" s="141" t="n"/>
      <c r="B1230" s="69">
        <f>IF('Calendario H'!B40="","",'Calendario H'!B40)</f>
        <v/>
      </c>
      <c r="C1230" s="9" t="n"/>
      <c r="D1230" s="9" t="n"/>
      <c r="E1230" s="9" t="n"/>
      <c r="F1230" s="9" t="n"/>
      <c r="G1230" s="9" t="n"/>
      <c r="H1230" s="10" t="n"/>
      <c r="I1230" s="62">
        <f>IF('Calendario H'!I40="","",'Calendario H'!I40)</f>
        <v/>
      </c>
      <c r="J1230" s="141" t="n"/>
      <c r="K1230" s="141" t="n"/>
      <c r="L1230" s="141" t="n"/>
      <c r="M1230" s="141" t="n"/>
      <c r="N1230" s="141" t="n"/>
      <c r="O1230" s="141" t="n"/>
      <c r="P1230" s="141" t="n"/>
      <c r="Q1230" s="141" t="n"/>
      <c r="R1230" s="141" t="n"/>
    </row>
    <row r="1232" ht="20" customHeight="1">
      <c r="A1232" s="113">
        <f>IF('Calendario H'!A42="","",'Calendario H'!A42)</f>
        <v/>
      </c>
      <c r="B1232" s="114">
        <f>IF('Calendario H'!B42="","",'Calendario H'!B42)</f>
        <v/>
      </c>
      <c r="C1232" s="9" t="n"/>
      <c r="D1232" s="9" t="n"/>
      <c r="E1232" s="9" t="n"/>
      <c r="F1232" s="9" t="n"/>
      <c r="G1232" s="9" t="n"/>
      <c r="H1232" s="9" t="n"/>
      <c r="I1232" s="9" t="n"/>
      <c r="J1232" s="9" t="n"/>
      <c r="K1232" s="9" t="n"/>
      <c r="L1232" s="10" t="n"/>
      <c r="M1232" s="210" t="inlineStr">
        <is>
          <t>ARBITRI</t>
        </is>
      </c>
      <c r="N1232" s="9" t="n"/>
      <c r="O1232" s="10" t="n"/>
      <c r="P1232" s="210" t="inlineStr">
        <is>
          <t>UFFICIALI DI CAMPO</t>
        </is>
      </c>
      <c r="Q1232" s="9" t="n"/>
      <c r="R1232" s="10" t="n"/>
    </row>
    <row r="1233" ht="14" customHeight="1">
      <c r="A1233" s="116" t="inlineStr">
        <is>
          <t>Gara N.</t>
        </is>
      </c>
      <c r="B1233" s="116" t="inlineStr">
        <is>
          <t>Squadra A</t>
        </is>
      </c>
      <c r="C1233" s="10" t="n"/>
      <c r="D1233" s="116" t="inlineStr">
        <is>
          <t>Squadra B</t>
        </is>
      </c>
      <c r="E1233" s="10" t="n"/>
      <c r="F1233" s="116" t="inlineStr">
        <is>
          <t>Giorno</t>
        </is>
      </c>
      <c r="G1233" s="116" t="inlineStr">
        <is>
          <t>Data</t>
        </is>
      </c>
      <c r="H1233" s="116" t="inlineStr">
        <is>
          <t>Ora</t>
        </is>
      </c>
      <c r="I1233" s="10" t="n"/>
      <c r="J1233" s="116" t="inlineStr">
        <is>
          <t>Risultato</t>
        </is>
      </c>
      <c r="K1233" s="9" t="n"/>
      <c r="L1233" s="10" t="n"/>
      <c r="M1233" s="211" t="inlineStr">
        <is>
          <t>1o Arbitro</t>
        </is>
      </c>
      <c r="N1233" s="211" t="inlineStr">
        <is>
          <t>2o Arbitro</t>
        </is>
      </c>
      <c r="O1233" s="211" t="inlineStr">
        <is>
          <t>3o Arbitro/Tirocinante</t>
        </is>
      </c>
      <c r="P1233" s="211" t="inlineStr">
        <is>
          <t>Referto</t>
        </is>
      </c>
      <c r="Q1233" s="211" t="inlineStr">
        <is>
          <t>Cronometro</t>
        </is>
      </c>
      <c r="R1233" s="211" t="inlineStr">
        <is>
          <t>Foglio Tiri</t>
        </is>
      </c>
    </row>
    <row r="1234" ht="22" customHeight="1">
      <c r="A1234" s="118">
        <f>IF('Calendario H'!A44="","",'Calendario H'!A44)</f>
        <v/>
      </c>
      <c r="B1234" s="61">
        <f>IF('Calendario H'!B44="","",'Calendario H'!B44)</f>
        <v/>
      </c>
      <c r="C1234" s="62">
        <f>IF('Calendario H'!C44="","",'Calendario H'!C44)</f>
        <v/>
      </c>
      <c r="D1234" s="61">
        <f>IF('Calendario H'!D44="","",'Calendario H'!D44)</f>
        <v/>
      </c>
      <c r="E1234" s="62">
        <f>IF('Calendario H'!E44="","",'Calendario H'!E44)</f>
        <v/>
      </c>
      <c r="F1234" s="63">
        <f>IF('Calendario H'!F44="","",'Calendario H'!F44)</f>
        <v/>
      </c>
      <c r="G1234" s="9" t="n"/>
      <c r="H1234" s="9" t="n"/>
      <c r="I1234" s="10" t="n"/>
      <c r="J1234" s="195">
        <f>IF('Calendario H'!J44="","",'Calendario H'!J44)</f>
        <v/>
      </c>
      <c r="K1234" s="64" t="inlineStr">
        <is>
          <t>-</t>
        </is>
      </c>
      <c r="L1234" s="195">
        <f>IF('Calendario H'!L44="","",'Calendario H'!L44)</f>
        <v/>
      </c>
      <c r="M1234" s="196" t="n"/>
      <c r="N1234" s="196" t="n"/>
      <c r="O1234" s="196" t="n"/>
      <c r="P1234" s="196" t="n"/>
      <c r="Q1234" s="196" t="n"/>
      <c r="R1234" s="196" t="n"/>
    </row>
    <row r="1235" ht="15" customHeight="1">
      <c r="A1235" s="141" t="n"/>
      <c r="B1235" s="69">
        <f>IF('Calendario H'!B45="","",'Calendario H'!B45)</f>
        <v/>
      </c>
      <c r="C1235" s="9" t="n"/>
      <c r="D1235" s="9" t="n"/>
      <c r="E1235" s="9" t="n"/>
      <c r="F1235" s="9" t="n"/>
      <c r="G1235" s="9" t="n"/>
      <c r="H1235" s="10" t="n"/>
      <c r="I1235" s="62">
        <f>IF('Calendario H'!I45="","",'Calendario H'!I45)</f>
        <v/>
      </c>
      <c r="J1235" s="141" t="n"/>
      <c r="K1235" s="141" t="n"/>
      <c r="L1235" s="141" t="n"/>
      <c r="M1235" s="141" t="n"/>
      <c r="N1235" s="141" t="n"/>
      <c r="O1235" s="141" t="n"/>
      <c r="P1235" s="141" t="n"/>
      <c r="Q1235" s="141" t="n"/>
      <c r="R1235" s="141" t="n"/>
    </row>
    <row r="1236" ht="14" customHeight="1">
      <c r="A1236" s="116" t="inlineStr">
        <is>
          <t>Gara N.</t>
        </is>
      </c>
      <c r="B1236" s="116" t="inlineStr">
        <is>
          <t>Squadra A</t>
        </is>
      </c>
      <c r="C1236" s="10" t="n"/>
      <c r="D1236" s="116" t="inlineStr">
        <is>
          <t>Squadra B</t>
        </is>
      </c>
      <c r="E1236" s="10" t="n"/>
      <c r="F1236" s="116" t="inlineStr">
        <is>
          <t>Giorno</t>
        </is>
      </c>
      <c r="G1236" s="116" t="inlineStr">
        <is>
          <t>Data</t>
        </is>
      </c>
      <c r="H1236" s="116" t="inlineStr">
        <is>
          <t>Ora</t>
        </is>
      </c>
      <c r="I1236" s="10" t="n"/>
      <c r="J1236" s="116" t="inlineStr">
        <is>
          <t>Risultato</t>
        </is>
      </c>
      <c r="K1236" s="9" t="n"/>
      <c r="L1236" s="10" t="n"/>
      <c r="M1236" s="211" t="inlineStr">
        <is>
          <t>1o Arbitro</t>
        </is>
      </c>
      <c r="N1236" s="211" t="inlineStr">
        <is>
          <t>2o Arbitro</t>
        </is>
      </c>
      <c r="O1236" s="211" t="inlineStr">
        <is>
          <t>3o Arbitro/Tirocinante</t>
        </is>
      </c>
      <c r="P1236" s="211" t="inlineStr">
        <is>
          <t>Referto</t>
        </is>
      </c>
      <c r="Q1236" s="211" t="inlineStr">
        <is>
          <t>Cronometro</t>
        </is>
      </c>
      <c r="R1236" s="211" t="inlineStr">
        <is>
          <t>Foglio Tiri</t>
        </is>
      </c>
    </row>
    <row r="1237" ht="22" customHeight="1">
      <c r="A1237" s="118">
        <f>IF('Calendario H'!A47="","",'Calendario H'!A47)</f>
        <v/>
      </c>
      <c r="B1237" s="61">
        <f>IF('Calendario H'!B47="","",'Calendario H'!B47)</f>
        <v/>
      </c>
      <c r="C1237" s="62">
        <f>IF('Calendario H'!C47="","",'Calendario H'!C47)</f>
        <v/>
      </c>
      <c r="D1237" s="61">
        <f>IF('Calendario H'!D47="","",'Calendario H'!D47)</f>
        <v/>
      </c>
      <c r="E1237" s="62">
        <f>IF('Calendario H'!E47="","",'Calendario H'!E47)</f>
        <v/>
      </c>
      <c r="F1237" s="63">
        <f>IF('Calendario H'!F47="","",'Calendario H'!F47)</f>
        <v/>
      </c>
      <c r="G1237" s="9" t="n"/>
      <c r="H1237" s="9" t="n"/>
      <c r="I1237" s="10" t="n"/>
      <c r="J1237" s="195">
        <f>IF('Calendario H'!J47="","",'Calendario H'!J47)</f>
        <v/>
      </c>
      <c r="K1237" s="64" t="inlineStr">
        <is>
          <t>-</t>
        </is>
      </c>
      <c r="L1237" s="195">
        <f>IF('Calendario H'!L47="","",'Calendario H'!L47)</f>
        <v/>
      </c>
      <c r="M1237" s="196" t="n"/>
      <c r="N1237" s="196" t="n"/>
      <c r="O1237" s="196" t="n"/>
      <c r="P1237" s="196" t="n"/>
      <c r="Q1237" s="196" t="n"/>
      <c r="R1237" s="196" t="n"/>
    </row>
    <row r="1238" ht="15" customHeight="1">
      <c r="A1238" s="141" t="n"/>
      <c r="B1238" s="69">
        <f>IF('Calendario H'!B48="","",'Calendario H'!B48)</f>
        <v/>
      </c>
      <c r="C1238" s="9" t="n"/>
      <c r="D1238" s="9" t="n"/>
      <c r="E1238" s="9" t="n"/>
      <c r="F1238" s="9" t="n"/>
      <c r="G1238" s="9" t="n"/>
      <c r="H1238" s="10" t="n"/>
      <c r="I1238" s="62">
        <f>IF('Calendario H'!I48="","",'Calendario H'!I48)</f>
        <v/>
      </c>
      <c r="J1238" s="141" t="n"/>
      <c r="K1238" s="141" t="n"/>
      <c r="L1238" s="141" t="n"/>
      <c r="M1238" s="141" t="n"/>
      <c r="N1238" s="141" t="n"/>
      <c r="O1238" s="141" t="n"/>
      <c r="P1238" s="141" t="n"/>
      <c r="Q1238" s="141" t="n"/>
      <c r="R1238" s="141" t="n"/>
    </row>
    <row r="1239" ht="14" customHeight="1">
      <c r="A1239" s="116" t="inlineStr">
        <is>
          <t>Gara N.</t>
        </is>
      </c>
      <c r="B1239" s="116" t="inlineStr">
        <is>
          <t>Squadra A</t>
        </is>
      </c>
      <c r="C1239" s="10" t="n"/>
      <c r="D1239" s="116" t="inlineStr">
        <is>
          <t>Squadra B</t>
        </is>
      </c>
      <c r="E1239" s="10" t="n"/>
      <c r="F1239" s="116" t="inlineStr">
        <is>
          <t>Giorno</t>
        </is>
      </c>
      <c r="G1239" s="116" t="inlineStr">
        <is>
          <t>Data</t>
        </is>
      </c>
      <c r="H1239" s="116" t="inlineStr">
        <is>
          <t>Ora</t>
        </is>
      </c>
      <c r="I1239" s="10" t="n"/>
      <c r="J1239" s="116" t="inlineStr">
        <is>
          <t>Risultato</t>
        </is>
      </c>
      <c r="K1239" s="9" t="n"/>
      <c r="L1239" s="10" t="n"/>
      <c r="M1239" s="211" t="inlineStr">
        <is>
          <t>1o Arbitro</t>
        </is>
      </c>
      <c r="N1239" s="211" t="inlineStr">
        <is>
          <t>2o Arbitro</t>
        </is>
      </c>
      <c r="O1239" s="211" t="inlineStr">
        <is>
          <t>3o Arbitro/Tirocinante</t>
        </is>
      </c>
      <c r="P1239" s="211" t="inlineStr">
        <is>
          <t>Referto</t>
        </is>
      </c>
      <c r="Q1239" s="211" t="inlineStr">
        <is>
          <t>Cronometro</t>
        </is>
      </c>
      <c r="R1239" s="211" t="inlineStr">
        <is>
          <t>Foglio Tiri</t>
        </is>
      </c>
    </row>
    <row r="1240" ht="22" customHeight="1">
      <c r="A1240" s="118">
        <f>IF('Calendario H'!A50="","",'Calendario H'!A50)</f>
        <v/>
      </c>
      <c r="B1240" s="61">
        <f>IF('Calendario H'!B50="","",'Calendario H'!B50)</f>
        <v/>
      </c>
      <c r="C1240" s="62">
        <f>IF('Calendario H'!C50="","",'Calendario H'!C50)</f>
        <v/>
      </c>
      <c r="D1240" s="61">
        <f>IF('Calendario H'!D50="","",'Calendario H'!D50)</f>
        <v/>
      </c>
      <c r="E1240" s="62">
        <f>IF('Calendario H'!E50="","",'Calendario H'!E50)</f>
        <v/>
      </c>
      <c r="F1240" s="63">
        <f>IF('Calendario H'!F50="","",'Calendario H'!F50)</f>
        <v/>
      </c>
      <c r="G1240" s="9" t="n"/>
      <c r="H1240" s="9" t="n"/>
      <c r="I1240" s="10" t="n"/>
      <c r="J1240" s="195">
        <f>IF('Calendario H'!J50="","",'Calendario H'!J50)</f>
        <v/>
      </c>
      <c r="K1240" s="64" t="inlineStr">
        <is>
          <t>-</t>
        </is>
      </c>
      <c r="L1240" s="195">
        <f>IF('Calendario H'!L50="","",'Calendario H'!L50)</f>
        <v/>
      </c>
      <c r="M1240" s="196" t="n"/>
      <c r="N1240" s="196" t="n"/>
      <c r="O1240" s="196" t="n"/>
      <c r="P1240" s="196" t="n"/>
      <c r="Q1240" s="196" t="n"/>
      <c r="R1240" s="196" t="n"/>
    </row>
    <row r="1241" ht="15" customHeight="1">
      <c r="A1241" s="141" t="n"/>
      <c r="B1241" s="69">
        <f>IF('Calendario H'!B51="","",'Calendario H'!B51)</f>
        <v/>
      </c>
      <c r="C1241" s="9" t="n"/>
      <c r="D1241" s="9" t="n"/>
      <c r="E1241" s="9" t="n"/>
      <c r="F1241" s="9" t="n"/>
      <c r="G1241" s="9" t="n"/>
      <c r="H1241" s="10" t="n"/>
      <c r="I1241" s="62">
        <f>IF('Calendario H'!I51="","",'Calendario H'!I51)</f>
        <v/>
      </c>
      <c r="J1241" s="141" t="n"/>
      <c r="K1241" s="141" t="n"/>
      <c r="L1241" s="141" t="n"/>
      <c r="M1241" s="141" t="n"/>
      <c r="N1241" s="141" t="n"/>
      <c r="O1241" s="141" t="n"/>
      <c r="P1241" s="141" t="n"/>
      <c r="Q1241" s="141" t="n"/>
      <c r="R1241" s="141" t="n"/>
    </row>
    <row r="1242" ht="14" customHeight="1">
      <c r="A1242" s="116" t="inlineStr">
        <is>
          <t>Gara N.</t>
        </is>
      </c>
      <c r="B1242" s="116" t="inlineStr">
        <is>
          <t>Squadra A</t>
        </is>
      </c>
      <c r="C1242" s="10" t="n"/>
      <c r="D1242" s="116" t="inlineStr">
        <is>
          <t>Squadra B</t>
        </is>
      </c>
      <c r="E1242" s="10" t="n"/>
      <c r="F1242" s="116" t="inlineStr">
        <is>
          <t>Giorno</t>
        </is>
      </c>
      <c r="G1242" s="116" t="inlineStr">
        <is>
          <t>Data</t>
        </is>
      </c>
      <c r="H1242" s="116" t="inlineStr">
        <is>
          <t>Ora</t>
        </is>
      </c>
      <c r="I1242" s="10" t="n"/>
      <c r="J1242" s="116" t="inlineStr">
        <is>
          <t>Risultato</t>
        </is>
      </c>
      <c r="K1242" s="9" t="n"/>
      <c r="L1242" s="10" t="n"/>
      <c r="M1242" s="211" t="inlineStr">
        <is>
          <t>1o Arbitro</t>
        </is>
      </c>
      <c r="N1242" s="211" t="inlineStr">
        <is>
          <t>2o Arbitro</t>
        </is>
      </c>
      <c r="O1242" s="211" t="inlineStr">
        <is>
          <t>3o Arbitro/Tirocinante</t>
        </is>
      </c>
      <c r="P1242" s="211" t="inlineStr">
        <is>
          <t>Referto</t>
        </is>
      </c>
      <c r="Q1242" s="211" t="inlineStr">
        <is>
          <t>Cronometro</t>
        </is>
      </c>
      <c r="R1242" s="211" t="inlineStr">
        <is>
          <t>Foglio Tiri</t>
        </is>
      </c>
    </row>
    <row r="1243" ht="22" customHeight="1">
      <c r="A1243" s="118">
        <f>IF('Calendario H'!A53="","",'Calendario H'!A53)</f>
        <v/>
      </c>
      <c r="B1243" s="61">
        <f>IF('Calendario H'!B53="","",'Calendario H'!B53)</f>
        <v/>
      </c>
      <c r="C1243" s="62">
        <f>IF('Calendario H'!C53="","",'Calendario H'!C53)</f>
        <v/>
      </c>
      <c r="D1243" s="61">
        <f>IF('Calendario H'!D53="","",'Calendario H'!D53)</f>
        <v/>
      </c>
      <c r="E1243" s="62">
        <f>IF('Calendario H'!E53="","",'Calendario H'!E53)</f>
        <v/>
      </c>
      <c r="F1243" s="63">
        <f>IF('Calendario H'!F53="","",'Calendario H'!F53)</f>
        <v/>
      </c>
      <c r="G1243" s="9" t="n"/>
      <c r="H1243" s="9" t="n"/>
      <c r="I1243" s="10" t="n"/>
      <c r="J1243" s="195">
        <f>IF('Calendario H'!J53="","",'Calendario H'!J53)</f>
        <v/>
      </c>
      <c r="K1243" s="64" t="inlineStr">
        <is>
          <t>-</t>
        </is>
      </c>
      <c r="L1243" s="195">
        <f>IF('Calendario H'!L53="","",'Calendario H'!L53)</f>
        <v/>
      </c>
      <c r="M1243" s="196" t="n"/>
      <c r="N1243" s="196" t="n"/>
      <c r="O1243" s="196" t="n"/>
      <c r="P1243" s="196" t="n"/>
      <c r="Q1243" s="196" t="n"/>
      <c r="R1243" s="196" t="n"/>
    </row>
    <row r="1244" ht="15" customHeight="1">
      <c r="A1244" s="141" t="n"/>
      <c r="B1244" s="69">
        <f>IF('Calendario H'!B54="","",'Calendario H'!B54)</f>
        <v/>
      </c>
      <c r="C1244" s="9" t="n"/>
      <c r="D1244" s="9" t="n"/>
      <c r="E1244" s="9" t="n"/>
      <c r="F1244" s="9" t="n"/>
      <c r="G1244" s="9" t="n"/>
      <c r="H1244" s="10" t="n"/>
      <c r="I1244" s="62">
        <f>IF('Calendario H'!I54="","",'Calendario H'!I54)</f>
        <v/>
      </c>
      <c r="J1244" s="141" t="n"/>
      <c r="K1244" s="141" t="n"/>
      <c r="L1244" s="141" t="n"/>
      <c r="M1244" s="141" t="n"/>
      <c r="N1244" s="141" t="n"/>
      <c r="O1244" s="141" t="n"/>
      <c r="P1244" s="141" t="n"/>
      <c r="Q1244" s="141" t="n"/>
      <c r="R1244" s="141" t="n"/>
    </row>
    <row r="1245" ht="14" customHeight="1">
      <c r="A1245" s="116" t="inlineStr">
        <is>
          <t>Gara N.</t>
        </is>
      </c>
      <c r="B1245" s="116" t="inlineStr">
        <is>
          <t>Squadra A</t>
        </is>
      </c>
      <c r="C1245" s="10" t="n"/>
      <c r="D1245" s="116" t="inlineStr">
        <is>
          <t>Squadra B</t>
        </is>
      </c>
      <c r="E1245" s="10" t="n"/>
      <c r="F1245" s="116" t="inlineStr">
        <is>
          <t>Giorno</t>
        </is>
      </c>
      <c r="G1245" s="116" t="inlineStr">
        <is>
          <t>Data</t>
        </is>
      </c>
      <c r="H1245" s="116" t="inlineStr">
        <is>
          <t>Ora</t>
        </is>
      </c>
      <c r="I1245" s="10" t="n"/>
      <c r="J1245" s="116" t="inlineStr">
        <is>
          <t>Risultato</t>
        </is>
      </c>
      <c r="K1245" s="9" t="n"/>
      <c r="L1245" s="10" t="n"/>
      <c r="M1245" s="211" t="inlineStr">
        <is>
          <t>1o Arbitro</t>
        </is>
      </c>
      <c r="N1245" s="211" t="inlineStr">
        <is>
          <t>2o Arbitro</t>
        </is>
      </c>
      <c r="O1245" s="211" t="inlineStr">
        <is>
          <t>3o Arbitro/Tirocinante</t>
        </is>
      </c>
      <c r="P1245" s="211" t="inlineStr">
        <is>
          <t>Referto</t>
        </is>
      </c>
      <c r="Q1245" s="211" t="inlineStr">
        <is>
          <t>Cronometro</t>
        </is>
      </c>
      <c r="R1245" s="211" t="inlineStr">
        <is>
          <t>Foglio Tiri</t>
        </is>
      </c>
    </row>
    <row r="1246" ht="22" customHeight="1">
      <c r="A1246" s="118">
        <f>IF('Calendario H'!A56="","",'Calendario H'!A56)</f>
        <v/>
      </c>
      <c r="B1246" s="61">
        <f>IF('Calendario H'!B56="","",'Calendario H'!B56)</f>
        <v/>
      </c>
      <c r="C1246" s="62">
        <f>IF('Calendario H'!C56="","",'Calendario H'!C56)</f>
        <v/>
      </c>
      <c r="D1246" s="61">
        <f>IF('Calendario H'!D56="","",'Calendario H'!D56)</f>
        <v/>
      </c>
      <c r="E1246" s="62">
        <f>IF('Calendario H'!E56="","",'Calendario H'!E56)</f>
        <v/>
      </c>
      <c r="F1246" s="63">
        <f>IF('Calendario H'!F56="","",'Calendario H'!F56)</f>
        <v/>
      </c>
      <c r="G1246" s="9" t="n"/>
      <c r="H1246" s="9" t="n"/>
      <c r="I1246" s="10" t="n"/>
      <c r="J1246" s="195">
        <f>IF('Calendario H'!J56="","",'Calendario H'!J56)</f>
        <v/>
      </c>
      <c r="K1246" s="64" t="inlineStr">
        <is>
          <t>-</t>
        </is>
      </c>
      <c r="L1246" s="195">
        <f>IF('Calendario H'!L56="","",'Calendario H'!L56)</f>
        <v/>
      </c>
      <c r="M1246" s="196" t="n"/>
      <c r="N1246" s="196" t="n"/>
      <c r="O1246" s="196" t="n"/>
      <c r="P1246" s="196" t="n"/>
      <c r="Q1246" s="196" t="n"/>
      <c r="R1246" s="196" t="n"/>
    </row>
    <row r="1247" ht="15" customHeight="1">
      <c r="A1247" s="141" t="n"/>
      <c r="B1247" s="69">
        <f>IF('Calendario H'!B57="","",'Calendario H'!B57)</f>
        <v/>
      </c>
      <c r="C1247" s="9" t="n"/>
      <c r="D1247" s="9" t="n"/>
      <c r="E1247" s="9" t="n"/>
      <c r="F1247" s="9" t="n"/>
      <c r="G1247" s="9" t="n"/>
      <c r="H1247" s="10" t="n"/>
      <c r="I1247" s="62">
        <f>IF('Calendario H'!I57="","",'Calendario H'!I57)</f>
        <v/>
      </c>
      <c r="J1247" s="141" t="n"/>
      <c r="K1247" s="141" t="n"/>
      <c r="L1247" s="141" t="n"/>
      <c r="M1247" s="141" t="n"/>
      <c r="N1247" s="141" t="n"/>
      <c r="O1247" s="141" t="n"/>
      <c r="P1247" s="141" t="n"/>
      <c r="Q1247" s="141" t="n"/>
      <c r="R1247" s="141" t="n"/>
    </row>
    <row r="1249" ht="20" customHeight="1">
      <c r="A1249" s="113">
        <f>IF('Calendario H'!A59="","",'Calendario H'!A59)</f>
        <v/>
      </c>
      <c r="B1249" s="114">
        <f>IF('Calendario H'!B59="","",'Calendario H'!B59)</f>
        <v/>
      </c>
      <c r="C1249" s="9" t="n"/>
      <c r="D1249" s="9" t="n"/>
      <c r="E1249" s="9" t="n"/>
      <c r="F1249" s="9" t="n"/>
      <c r="G1249" s="9" t="n"/>
      <c r="H1249" s="9" t="n"/>
      <c r="I1249" s="9" t="n"/>
      <c r="J1249" s="9" t="n"/>
      <c r="K1249" s="9" t="n"/>
      <c r="L1249" s="10" t="n"/>
      <c r="M1249" s="210" t="inlineStr">
        <is>
          <t>ARBITRI</t>
        </is>
      </c>
      <c r="N1249" s="9" t="n"/>
      <c r="O1249" s="10" t="n"/>
      <c r="P1249" s="210" t="inlineStr">
        <is>
          <t>UFFICIALI DI CAMPO</t>
        </is>
      </c>
      <c r="Q1249" s="9" t="n"/>
      <c r="R1249" s="10" t="n"/>
    </row>
    <row r="1250" ht="14" customHeight="1">
      <c r="A1250" s="116" t="inlineStr">
        <is>
          <t>Gara N.</t>
        </is>
      </c>
      <c r="B1250" s="116" t="inlineStr">
        <is>
          <t>Squadra A</t>
        </is>
      </c>
      <c r="C1250" s="10" t="n"/>
      <c r="D1250" s="116" t="inlineStr">
        <is>
          <t>Squadra B</t>
        </is>
      </c>
      <c r="E1250" s="10" t="n"/>
      <c r="F1250" s="116" t="inlineStr">
        <is>
          <t>Giorno</t>
        </is>
      </c>
      <c r="G1250" s="116" t="inlineStr">
        <is>
          <t>Data</t>
        </is>
      </c>
      <c r="H1250" s="116" t="inlineStr">
        <is>
          <t>Ora</t>
        </is>
      </c>
      <c r="I1250" s="10" t="n"/>
      <c r="J1250" s="116" t="inlineStr">
        <is>
          <t>Risultato</t>
        </is>
      </c>
      <c r="K1250" s="9" t="n"/>
      <c r="L1250" s="10" t="n"/>
      <c r="M1250" s="211" t="inlineStr">
        <is>
          <t>1o Arbitro</t>
        </is>
      </c>
      <c r="N1250" s="211" t="inlineStr">
        <is>
          <t>2o Arbitro</t>
        </is>
      </c>
      <c r="O1250" s="211" t="inlineStr">
        <is>
          <t>3o Arbitro/Tirocinante</t>
        </is>
      </c>
      <c r="P1250" s="211" t="inlineStr">
        <is>
          <t>Referto</t>
        </is>
      </c>
      <c r="Q1250" s="211" t="inlineStr">
        <is>
          <t>Cronometro</t>
        </is>
      </c>
      <c r="R1250" s="211" t="inlineStr">
        <is>
          <t>Foglio Tiri</t>
        </is>
      </c>
    </row>
    <row r="1251" ht="22" customHeight="1">
      <c r="A1251" s="118">
        <f>IF('Calendario H'!A61="","",'Calendario H'!A61)</f>
        <v/>
      </c>
      <c r="B1251" s="61">
        <f>IF('Calendario H'!B61="","",'Calendario H'!B61)</f>
        <v/>
      </c>
      <c r="C1251" s="62">
        <f>IF('Calendario H'!C61="","",'Calendario H'!C61)</f>
        <v/>
      </c>
      <c r="D1251" s="61">
        <f>IF('Calendario H'!D61="","",'Calendario H'!D61)</f>
        <v/>
      </c>
      <c r="E1251" s="62">
        <f>IF('Calendario H'!E61="","",'Calendario H'!E61)</f>
        <v/>
      </c>
      <c r="F1251" s="63">
        <f>IF('Calendario H'!F61="","",'Calendario H'!F61)</f>
        <v/>
      </c>
      <c r="G1251" s="9" t="n"/>
      <c r="H1251" s="9" t="n"/>
      <c r="I1251" s="10" t="n"/>
      <c r="J1251" s="195">
        <f>IF('Calendario H'!J61="","",'Calendario H'!J61)</f>
        <v/>
      </c>
      <c r="K1251" s="64" t="inlineStr">
        <is>
          <t>-</t>
        </is>
      </c>
      <c r="L1251" s="195">
        <f>IF('Calendario H'!L61="","",'Calendario H'!L61)</f>
        <v/>
      </c>
      <c r="M1251" s="196" t="n"/>
      <c r="N1251" s="196" t="n"/>
      <c r="O1251" s="196" t="n"/>
      <c r="P1251" s="196" t="n"/>
      <c r="Q1251" s="196" t="n"/>
      <c r="R1251" s="196" t="n"/>
    </row>
    <row r="1252" ht="15" customHeight="1">
      <c r="A1252" s="141" t="n"/>
      <c r="B1252" s="69">
        <f>IF('Calendario H'!B62="","",'Calendario H'!B62)</f>
        <v/>
      </c>
      <c r="C1252" s="9" t="n"/>
      <c r="D1252" s="9" t="n"/>
      <c r="E1252" s="9" t="n"/>
      <c r="F1252" s="9" t="n"/>
      <c r="G1252" s="9" t="n"/>
      <c r="H1252" s="10" t="n"/>
      <c r="I1252" s="62">
        <f>IF('Calendario H'!I62="","",'Calendario H'!I62)</f>
        <v/>
      </c>
      <c r="J1252" s="141" t="n"/>
      <c r="K1252" s="141" t="n"/>
      <c r="L1252" s="141" t="n"/>
      <c r="M1252" s="141" t="n"/>
      <c r="N1252" s="141" t="n"/>
      <c r="O1252" s="141" t="n"/>
      <c r="P1252" s="141" t="n"/>
      <c r="Q1252" s="141" t="n"/>
      <c r="R1252" s="141" t="n"/>
    </row>
    <row r="1253" ht="14" customHeight="1">
      <c r="A1253" s="116" t="inlineStr">
        <is>
          <t>Gara N.</t>
        </is>
      </c>
      <c r="B1253" s="116" t="inlineStr">
        <is>
          <t>Squadra A</t>
        </is>
      </c>
      <c r="C1253" s="10" t="n"/>
      <c r="D1253" s="116" t="inlineStr">
        <is>
          <t>Squadra B</t>
        </is>
      </c>
      <c r="E1253" s="10" t="n"/>
      <c r="F1253" s="116" t="inlineStr">
        <is>
          <t>Giorno</t>
        </is>
      </c>
      <c r="G1253" s="116" t="inlineStr">
        <is>
          <t>Data</t>
        </is>
      </c>
      <c r="H1253" s="116" t="inlineStr">
        <is>
          <t>Ora</t>
        </is>
      </c>
      <c r="I1253" s="10" t="n"/>
      <c r="J1253" s="116" t="inlineStr">
        <is>
          <t>Risultato</t>
        </is>
      </c>
      <c r="K1253" s="9" t="n"/>
      <c r="L1253" s="10" t="n"/>
      <c r="M1253" s="211" t="inlineStr">
        <is>
          <t>1o Arbitro</t>
        </is>
      </c>
      <c r="N1253" s="211" t="inlineStr">
        <is>
          <t>2o Arbitro</t>
        </is>
      </c>
      <c r="O1253" s="211" t="inlineStr">
        <is>
          <t>3o Arbitro/Tirocinante</t>
        </is>
      </c>
      <c r="P1253" s="211" t="inlineStr">
        <is>
          <t>Referto</t>
        </is>
      </c>
      <c r="Q1253" s="211" t="inlineStr">
        <is>
          <t>Cronometro</t>
        </is>
      </c>
      <c r="R1253" s="211" t="inlineStr">
        <is>
          <t>Foglio Tiri</t>
        </is>
      </c>
    </row>
    <row r="1254" ht="22" customHeight="1">
      <c r="A1254" s="118">
        <f>IF('Calendario H'!A64="","",'Calendario H'!A64)</f>
        <v/>
      </c>
      <c r="B1254" s="61">
        <f>IF('Calendario H'!B64="","",'Calendario H'!B64)</f>
        <v/>
      </c>
      <c r="C1254" s="62">
        <f>IF('Calendario H'!C64="","",'Calendario H'!C64)</f>
        <v/>
      </c>
      <c r="D1254" s="61">
        <f>IF('Calendario H'!D64="","",'Calendario H'!D64)</f>
        <v/>
      </c>
      <c r="E1254" s="62">
        <f>IF('Calendario H'!E64="","",'Calendario H'!E64)</f>
        <v/>
      </c>
      <c r="F1254" s="63">
        <f>IF('Calendario H'!F64="","",'Calendario H'!F64)</f>
        <v/>
      </c>
      <c r="G1254" s="9" t="n"/>
      <c r="H1254" s="9" t="n"/>
      <c r="I1254" s="10" t="n"/>
      <c r="J1254" s="195">
        <f>IF('Calendario H'!J64="","",'Calendario H'!J64)</f>
        <v/>
      </c>
      <c r="K1254" s="64" t="inlineStr">
        <is>
          <t>-</t>
        </is>
      </c>
      <c r="L1254" s="195">
        <f>IF('Calendario H'!L64="","",'Calendario H'!L64)</f>
        <v/>
      </c>
      <c r="M1254" s="196" t="n"/>
      <c r="N1254" s="196" t="n"/>
      <c r="O1254" s="196" t="n"/>
      <c r="P1254" s="196" t="n"/>
      <c r="Q1254" s="196" t="n"/>
      <c r="R1254" s="196" t="n"/>
    </row>
    <row r="1255" ht="15" customHeight="1">
      <c r="A1255" s="141" t="n"/>
      <c r="B1255" s="69">
        <f>IF('Calendario H'!B65="","",'Calendario H'!B65)</f>
        <v/>
      </c>
      <c r="C1255" s="9" t="n"/>
      <c r="D1255" s="9" t="n"/>
      <c r="E1255" s="9" t="n"/>
      <c r="F1255" s="9" t="n"/>
      <c r="G1255" s="9" t="n"/>
      <c r="H1255" s="10" t="n"/>
      <c r="I1255" s="62">
        <f>IF('Calendario H'!I65="","",'Calendario H'!I65)</f>
        <v/>
      </c>
      <c r="J1255" s="141" t="n"/>
      <c r="K1255" s="141" t="n"/>
      <c r="L1255" s="141" t="n"/>
      <c r="M1255" s="141" t="n"/>
      <c r="N1255" s="141" t="n"/>
      <c r="O1255" s="141" t="n"/>
      <c r="P1255" s="141" t="n"/>
      <c r="Q1255" s="141" t="n"/>
      <c r="R1255" s="141" t="n"/>
    </row>
    <row r="1256" ht="14" customHeight="1">
      <c r="A1256" s="116" t="inlineStr">
        <is>
          <t>Gara N.</t>
        </is>
      </c>
      <c r="B1256" s="116" t="inlineStr">
        <is>
          <t>Squadra A</t>
        </is>
      </c>
      <c r="C1256" s="10" t="n"/>
      <c r="D1256" s="116" t="inlineStr">
        <is>
          <t>Squadra B</t>
        </is>
      </c>
      <c r="E1256" s="10" t="n"/>
      <c r="F1256" s="116" t="inlineStr">
        <is>
          <t>Giorno</t>
        </is>
      </c>
      <c r="G1256" s="116" t="inlineStr">
        <is>
          <t>Data</t>
        </is>
      </c>
      <c r="H1256" s="116" t="inlineStr">
        <is>
          <t>Ora</t>
        </is>
      </c>
      <c r="I1256" s="10" t="n"/>
      <c r="J1256" s="116" t="inlineStr">
        <is>
          <t>Risultato</t>
        </is>
      </c>
      <c r="K1256" s="9" t="n"/>
      <c r="L1256" s="10" t="n"/>
      <c r="M1256" s="211" t="inlineStr">
        <is>
          <t>1o Arbitro</t>
        </is>
      </c>
      <c r="N1256" s="211" t="inlineStr">
        <is>
          <t>2o Arbitro</t>
        </is>
      </c>
      <c r="O1256" s="211" t="inlineStr">
        <is>
          <t>3o Arbitro/Tirocinante</t>
        </is>
      </c>
      <c r="P1256" s="211" t="inlineStr">
        <is>
          <t>Referto</t>
        </is>
      </c>
      <c r="Q1256" s="211" t="inlineStr">
        <is>
          <t>Cronometro</t>
        </is>
      </c>
      <c r="R1256" s="211" t="inlineStr">
        <is>
          <t>Foglio Tiri</t>
        </is>
      </c>
    </row>
    <row r="1257" ht="22" customHeight="1">
      <c r="A1257" s="118">
        <f>IF('Calendario H'!A67="","",'Calendario H'!A67)</f>
        <v/>
      </c>
      <c r="B1257" s="61">
        <f>IF('Calendario H'!B67="","",'Calendario H'!B67)</f>
        <v/>
      </c>
      <c r="C1257" s="62">
        <f>IF('Calendario H'!C67="","",'Calendario H'!C67)</f>
        <v/>
      </c>
      <c r="D1257" s="61">
        <f>IF('Calendario H'!D67="","",'Calendario H'!D67)</f>
        <v/>
      </c>
      <c r="E1257" s="62">
        <f>IF('Calendario H'!E67="","",'Calendario H'!E67)</f>
        <v/>
      </c>
      <c r="F1257" s="63">
        <f>IF('Calendario H'!F67="","",'Calendario H'!F67)</f>
        <v/>
      </c>
      <c r="G1257" s="9" t="n"/>
      <c r="H1257" s="9" t="n"/>
      <c r="I1257" s="10" t="n"/>
      <c r="J1257" s="195">
        <f>IF('Calendario H'!J67="","",'Calendario H'!J67)</f>
        <v/>
      </c>
      <c r="K1257" s="64" t="inlineStr">
        <is>
          <t>-</t>
        </is>
      </c>
      <c r="L1257" s="195">
        <f>IF('Calendario H'!L67="","",'Calendario H'!L67)</f>
        <v/>
      </c>
      <c r="M1257" s="196" t="n"/>
      <c r="N1257" s="196" t="n"/>
      <c r="O1257" s="196" t="n"/>
      <c r="P1257" s="196" t="n"/>
      <c r="Q1257" s="196" t="n"/>
      <c r="R1257" s="196" t="n"/>
    </row>
    <row r="1258" ht="15" customHeight="1">
      <c r="A1258" s="141" t="n"/>
      <c r="B1258" s="69">
        <f>IF('Calendario H'!B68="","",'Calendario H'!B68)</f>
        <v/>
      </c>
      <c r="C1258" s="9" t="n"/>
      <c r="D1258" s="9" t="n"/>
      <c r="E1258" s="9" t="n"/>
      <c r="F1258" s="9" t="n"/>
      <c r="G1258" s="9" t="n"/>
      <c r="H1258" s="10" t="n"/>
      <c r="I1258" s="62">
        <f>IF('Calendario H'!I68="","",'Calendario H'!I68)</f>
        <v/>
      </c>
      <c r="J1258" s="141" t="n"/>
      <c r="K1258" s="141" t="n"/>
      <c r="L1258" s="141" t="n"/>
      <c r="M1258" s="141" t="n"/>
      <c r="N1258" s="141" t="n"/>
      <c r="O1258" s="141" t="n"/>
      <c r="P1258" s="141" t="n"/>
      <c r="Q1258" s="141" t="n"/>
      <c r="R1258" s="141" t="n"/>
    </row>
    <row r="1259" ht="14" customHeight="1">
      <c r="A1259" s="116" t="inlineStr">
        <is>
          <t>Gara N.</t>
        </is>
      </c>
      <c r="B1259" s="116" t="inlineStr">
        <is>
          <t>Squadra A</t>
        </is>
      </c>
      <c r="C1259" s="10" t="n"/>
      <c r="D1259" s="116" t="inlineStr">
        <is>
          <t>Squadra B</t>
        </is>
      </c>
      <c r="E1259" s="10" t="n"/>
      <c r="F1259" s="116" t="inlineStr">
        <is>
          <t>Giorno</t>
        </is>
      </c>
      <c r="G1259" s="116" t="inlineStr">
        <is>
          <t>Data</t>
        </is>
      </c>
      <c r="H1259" s="116" t="inlineStr">
        <is>
          <t>Ora</t>
        </is>
      </c>
      <c r="I1259" s="10" t="n"/>
      <c r="J1259" s="116" t="inlineStr">
        <is>
          <t>Risultato</t>
        </is>
      </c>
      <c r="K1259" s="9" t="n"/>
      <c r="L1259" s="10" t="n"/>
      <c r="M1259" s="211" t="inlineStr">
        <is>
          <t>1o Arbitro</t>
        </is>
      </c>
      <c r="N1259" s="211" t="inlineStr">
        <is>
          <t>2o Arbitro</t>
        </is>
      </c>
      <c r="O1259" s="211" t="inlineStr">
        <is>
          <t>3o Arbitro/Tirocinante</t>
        </is>
      </c>
      <c r="P1259" s="211" t="inlineStr">
        <is>
          <t>Referto</t>
        </is>
      </c>
      <c r="Q1259" s="211" t="inlineStr">
        <is>
          <t>Cronometro</t>
        </is>
      </c>
      <c r="R1259" s="211" t="inlineStr">
        <is>
          <t>Foglio Tiri</t>
        </is>
      </c>
    </row>
    <row r="1260" ht="22" customHeight="1">
      <c r="A1260" s="118">
        <f>IF('Calendario H'!A70="","",'Calendario H'!A70)</f>
        <v/>
      </c>
      <c r="B1260" s="61">
        <f>IF('Calendario H'!B70="","",'Calendario H'!B70)</f>
        <v/>
      </c>
      <c r="C1260" s="62">
        <f>IF('Calendario H'!C70="","",'Calendario H'!C70)</f>
        <v/>
      </c>
      <c r="D1260" s="61">
        <f>IF('Calendario H'!D70="","",'Calendario H'!D70)</f>
        <v/>
      </c>
      <c r="E1260" s="62">
        <f>IF('Calendario H'!E70="","",'Calendario H'!E70)</f>
        <v/>
      </c>
      <c r="F1260" s="63">
        <f>IF('Calendario H'!F70="","",'Calendario H'!F70)</f>
        <v/>
      </c>
      <c r="G1260" s="9" t="n"/>
      <c r="H1260" s="9" t="n"/>
      <c r="I1260" s="10" t="n"/>
      <c r="J1260" s="195">
        <f>IF('Calendario H'!J70="","",'Calendario H'!J70)</f>
        <v/>
      </c>
      <c r="K1260" s="64" t="inlineStr">
        <is>
          <t>-</t>
        </is>
      </c>
      <c r="L1260" s="195">
        <f>IF('Calendario H'!L70="","",'Calendario H'!L70)</f>
        <v/>
      </c>
      <c r="M1260" s="196" t="n"/>
      <c r="N1260" s="196" t="n"/>
      <c r="O1260" s="196" t="n"/>
      <c r="P1260" s="196" t="n"/>
      <c r="Q1260" s="196" t="n"/>
      <c r="R1260" s="196" t="n"/>
    </row>
    <row r="1261" ht="15" customHeight="1">
      <c r="A1261" s="141" t="n"/>
      <c r="B1261" s="69">
        <f>IF('Calendario H'!B71="","",'Calendario H'!B71)</f>
        <v/>
      </c>
      <c r="C1261" s="9" t="n"/>
      <c r="D1261" s="9" t="n"/>
      <c r="E1261" s="9" t="n"/>
      <c r="F1261" s="9" t="n"/>
      <c r="G1261" s="9" t="n"/>
      <c r="H1261" s="10" t="n"/>
      <c r="I1261" s="62">
        <f>IF('Calendario H'!I71="","",'Calendario H'!I71)</f>
        <v/>
      </c>
      <c r="J1261" s="141" t="n"/>
      <c r="K1261" s="141" t="n"/>
      <c r="L1261" s="141" t="n"/>
      <c r="M1261" s="141" t="n"/>
      <c r="N1261" s="141" t="n"/>
      <c r="O1261" s="141" t="n"/>
      <c r="P1261" s="141" t="n"/>
      <c r="Q1261" s="141" t="n"/>
      <c r="R1261" s="141" t="n"/>
    </row>
    <row r="1262" ht="14" customHeight="1">
      <c r="A1262" s="116" t="inlineStr">
        <is>
          <t>Gara N.</t>
        </is>
      </c>
      <c r="B1262" s="116" t="inlineStr">
        <is>
          <t>Squadra A</t>
        </is>
      </c>
      <c r="C1262" s="10" t="n"/>
      <c r="D1262" s="116" t="inlineStr">
        <is>
          <t>Squadra B</t>
        </is>
      </c>
      <c r="E1262" s="10" t="n"/>
      <c r="F1262" s="116" t="inlineStr">
        <is>
          <t>Giorno</t>
        </is>
      </c>
      <c r="G1262" s="116" t="inlineStr">
        <is>
          <t>Data</t>
        </is>
      </c>
      <c r="H1262" s="116" t="inlineStr">
        <is>
          <t>Ora</t>
        </is>
      </c>
      <c r="I1262" s="10" t="n"/>
      <c r="J1262" s="116" t="inlineStr">
        <is>
          <t>Risultato</t>
        </is>
      </c>
      <c r="K1262" s="9" t="n"/>
      <c r="L1262" s="10" t="n"/>
      <c r="M1262" s="211" t="inlineStr">
        <is>
          <t>1o Arbitro</t>
        </is>
      </c>
      <c r="N1262" s="211" t="inlineStr">
        <is>
          <t>2o Arbitro</t>
        </is>
      </c>
      <c r="O1262" s="211" t="inlineStr">
        <is>
          <t>3o Arbitro/Tirocinante</t>
        </is>
      </c>
      <c r="P1262" s="211" t="inlineStr">
        <is>
          <t>Referto</t>
        </is>
      </c>
      <c r="Q1262" s="211" t="inlineStr">
        <is>
          <t>Cronometro</t>
        </is>
      </c>
      <c r="R1262" s="211" t="inlineStr">
        <is>
          <t>Foglio Tiri</t>
        </is>
      </c>
    </row>
    <row r="1263" ht="22" customHeight="1">
      <c r="A1263" s="118">
        <f>IF('Calendario H'!A73="","",'Calendario H'!A73)</f>
        <v/>
      </c>
      <c r="B1263" s="61">
        <f>IF('Calendario H'!B73="","",'Calendario H'!B73)</f>
        <v/>
      </c>
      <c r="C1263" s="62">
        <f>IF('Calendario H'!C73="","",'Calendario H'!C73)</f>
        <v/>
      </c>
      <c r="D1263" s="61">
        <f>IF('Calendario H'!D73="","",'Calendario H'!D73)</f>
        <v/>
      </c>
      <c r="E1263" s="62">
        <f>IF('Calendario H'!E73="","",'Calendario H'!E73)</f>
        <v/>
      </c>
      <c r="F1263" s="63">
        <f>IF('Calendario H'!F73="","",'Calendario H'!F73)</f>
        <v/>
      </c>
      <c r="G1263" s="9" t="n"/>
      <c r="H1263" s="9" t="n"/>
      <c r="I1263" s="10" t="n"/>
      <c r="J1263" s="195">
        <f>IF('Calendario H'!J73="","",'Calendario H'!J73)</f>
        <v/>
      </c>
      <c r="K1263" s="64" t="inlineStr">
        <is>
          <t>-</t>
        </is>
      </c>
      <c r="L1263" s="195">
        <f>IF('Calendario H'!L73="","",'Calendario H'!L73)</f>
        <v/>
      </c>
      <c r="M1263" s="196" t="n"/>
      <c r="N1263" s="196" t="n"/>
      <c r="O1263" s="196" t="n"/>
      <c r="P1263" s="196" t="n"/>
      <c r="Q1263" s="196" t="n"/>
      <c r="R1263" s="196" t="n"/>
    </row>
    <row r="1264" ht="15" customHeight="1">
      <c r="A1264" s="141" t="n"/>
      <c r="B1264" s="69">
        <f>IF('Calendario H'!B74="","",'Calendario H'!B74)</f>
        <v/>
      </c>
      <c r="C1264" s="9" t="n"/>
      <c r="D1264" s="9" t="n"/>
      <c r="E1264" s="9" t="n"/>
      <c r="F1264" s="9" t="n"/>
      <c r="G1264" s="9" t="n"/>
      <c r="H1264" s="10" t="n"/>
      <c r="I1264" s="62">
        <f>IF('Calendario H'!I74="","",'Calendario H'!I74)</f>
        <v/>
      </c>
      <c r="J1264" s="141" t="n"/>
      <c r="K1264" s="141" t="n"/>
      <c r="L1264" s="141" t="n"/>
      <c r="M1264" s="141" t="n"/>
      <c r="N1264" s="141" t="n"/>
      <c r="O1264" s="141" t="n"/>
      <c r="P1264" s="141" t="n"/>
      <c r="Q1264" s="141" t="n"/>
      <c r="R1264" s="141" t="n"/>
    </row>
    <row r="1266" ht="20" customHeight="1">
      <c r="A1266" s="113">
        <f>IF('Calendario H'!A76="","",'Calendario H'!A76)</f>
        <v/>
      </c>
      <c r="B1266" s="114">
        <f>IF('Calendario H'!B76="","",'Calendario H'!B76)</f>
        <v/>
      </c>
      <c r="C1266" s="9" t="n"/>
      <c r="D1266" s="9" t="n"/>
      <c r="E1266" s="9" t="n"/>
      <c r="F1266" s="9" t="n"/>
      <c r="G1266" s="9" t="n"/>
      <c r="H1266" s="9" t="n"/>
      <c r="I1266" s="9" t="n"/>
      <c r="J1266" s="9" t="n"/>
      <c r="K1266" s="9" t="n"/>
      <c r="L1266" s="10" t="n"/>
      <c r="M1266" s="210" t="inlineStr">
        <is>
          <t>ARBITRI</t>
        </is>
      </c>
      <c r="N1266" s="9" t="n"/>
      <c r="O1266" s="10" t="n"/>
      <c r="P1266" s="210" t="inlineStr">
        <is>
          <t>UFFICIALI DI CAMPO</t>
        </is>
      </c>
      <c r="Q1266" s="9" t="n"/>
      <c r="R1266" s="10" t="n"/>
    </row>
    <row r="1267" ht="14" customHeight="1">
      <c r="A1267" s="116" t="inlineStr">
        <is>
          <t>Gara N.</t>
        </is>
      </c>
      <c r="B1267" s="116" t="inlineStr">
        <is>
          <t>Squadra A</t>
        </is>
      </c>
      <c r="C1267" s="10" t="n"/>
      <c r="D1267" s="116" t="inlineStr">
        <is>
          <t>Squadra B</t>
        </is>
      </c>
      <c r="E1267" s="10" t="n"/>
      <c r="F1267" s="116" t="inlineStr">
        <is>
          <t>Giorno</t>
        </is>
      </c>
      <c r="G1267" s="116" t="inlineStr">
        <is>
          <t>Data</t>
        </is>
      </c>
      <c r="H1267" s="116" t="inlineStr">
        <is>
          <t>Ora</t>
        </is>
      </c>
      <c r="I1267" s="10" t="n"/>
      <c r="J1267" s="116" t="inlineStr">
        <is>
          <t>Risultato</t>
        </is>
      </c>
      <c r="K1267" s="9" t="n"/>
      <c r="L1267" s="10" t="n"/>
      <c r="M1267" s="211" t="inlineStr">
        <is>
          <t>1o Arbitro</t>
        </is>
      </c>
      <c r="N1267" s="211" t="inlineStr">
        <is>
          <t>2o Arbitro</t>
        </is>
      </c>
      <c r="O1267" s="211" t="inlineStr">
        <is>
          <t>3o Arbitro/Tirocinante</t>
        </is>
      </c>
      <c r="P1267" s="211" t="inlineStr">
        <is>
          <t>Referto</t>
        </is>
      </c>
      <c r="Q1267" s="211" t="inlineStr">
        <is>
          <t>Cronometro</t>
        </is>
      </c>
      <c r="R1267" s="211" t="inlineStr">
        <is>
          <t>Foglio Tiri</t>
        </is>
      </c>
    </row>
    <row r="1268" ht="22" customHeight="1">
      <c r="A1268" s="118">
        <f>IF('Calendario H'!A78="","",'Calendario H'!A78)</f>
        <v/>
      </c>
      <c r="B1268" s="61">
        <f>IF('Calendario H'!B78="","",'Calendario H'!B78)</f>
        <v/>
      </c>
      <c r="C1268" s="62">
        <f>IF('Calendario H'!C78="","",'Calendario H'!C78)</f>
        <v/>
      </c>
      <c r="D1268" s="61">
        <f>IF('Calendario H'!D78="","",'Calendario H'!D78)</f>
        <v/>
      </c>
      <c r="E1268" s="62">
        <f>IF('Calendario H'!E78="","",'Calendario H'!E78)</f>
        <v/>
      </c>
      <c r="F1268" s="63">
        <f>IF('Calendario H'!F78="","",'Calendario H'!F78)</f>
        <v/>
      </c>
      <c r="G1268" s="9" t="n"/>
      <c r="H1268" s="9" t="n"/>
      <c r="I1268" s="10" t="n"/>
      <c r="J1268" s="195">
        <f>IF('Calendario H'!J78="","",'Calendario H'!J78)</f>
        <v/>
      </c>
      <c r="K1268" s="64" t="inlineStr">
        <is>
          <t>-</t>
        </is>
      </c>
      <c r="L1268" s="195">
        <f>IF('Calendario H'!L78="","",'Calendario H'!L78)</f>
        <v/>
      </c>
      <c r="M1268" s="196" t="n"/>
      <c r="N1268" s="196" t="n"/>
      <c r="O1268" s="196" t="n"/>
      <c r="P1268" s="196" t="n"/>
      <c r="Q1268" s="196" t="n"/>
      <c r="R1268" s="196" t="n"/>
    </row>
    <row r="1269" ht="15" customHeight="1">
      <c r="A1269" s="141" t="n"/>
      <c r="B1269" s="69">
        <f>IF('Calendario H'!B79="","",'Calendario H'!B79)</f>
        <v/>
      </c>
      <c r="C1269" s="9" t="n"/>
      <c r="D1269" s="9" t="n"/>
      <c r="E1269" s="9" t="n"/>
      <c r="F1269" s="9" t="n"/>
      <c r="G1269" s="9" t="n"/>
      <c r="H1269" s="10" t="n"/>
      <c r="I1269" s="62">
        <f>IF('Calendario H'!I79="","",'Calendario H'!I79)</f>
        <v/>
      </c>
      <c r="J1269" s="141" t="n"/>
      <c r="K1269" s="141" t="n"/>
      <c r="L1269" s="141" t="n"/>
      <c r="M1269" s="141" t="n"/>
      <c r="N1269" s="141" t="n"/>
      <c r="O1269" s="141" t="n"/>
      <c r="P1269" s="141" t="n"/>
      <c r="Q1269" s="141" t="n"/>
      <c r="R1269" s="141" t="n"/>
    </row>
    <row r="1270" ht="14" customHeight="1">
      <c r="A1270" s="116" t="inlineStr">
        <is>
          <t>Gara N.</t>
        </is>
      </c>
      <c r="B1270" s="116" t="inlineStr">
        <is>
          <t>Squadra A</t>
        </is>
      </c>
      <c r="C1270" s="10" t="n"/>
      <c r="D1270" s="116" t="inlineStr">
        <is>
          <t>Squadra B</t>
        </is>
      </c>
      <c r="E1270" s="10" t="n"/>
      <c r="F1270" s="116" t="inlineStr">
        <is>
          <t>Giorno</t>
        </is>
      </c>
      <c r="G1270" s="116" t="inlineStr">
        <is>
          <t>Data</t>
        </is>
      </c>
      <c r="H1270" s="116" t="inlineStr">
        <is>
          <t>Ora</t>
        </is>
      </c>
      <c r="I1270" s="10" t="n"/>
      <c r="J1270" s="116" t="inlineStr">
        <is>
          <t>Risultato</t>
        </is>
      </c>
      <c r="K1270" s="9" t="n"/>
      <c r="L1270" s="10" t="n"/>
      <c r="M1270" s="211" t="inlineStr">
        <is>
          <t>1o Arbitro</t>
        </is>
      </c>
      <c r="N1270" s="211" t="inlineStr">
        <is>
          <t>2o Arbitro</t>
        </is>
      </c>
      <c r="O1270" s="211" t="inlineStr">
        <is>
          <t>3o Arbitro/Tirocinante</t>
        </is>
      </c>
      <c r="P1270" s="211" t="inlineStr">
        <is>
          <t>Referto</t>
        </is>
      </c>
      <c r="Q1270" s="211" t="inlineStr">
        <is>
          <t>Cronometro</t>
        </is>
      </c>
      <c r="R1270" s="211" t="inlineStr">
        <is>
          <t>Foglio Tiri</t>
        </is>
      </c>
    </row>
    <row r="1271" ht="22" customHeight="1">
      <c r="A1271" s="118">
        <f>IF('Calendario H'!A81="","",'Calendario H'!A81)</f>
        <v/>
      </c>
      <c r="B1271" s="61">
        <f>IF('Calendario H'!B81="","",'Calendario H'!B81)</f>
        <v/>
      </c>
      <c r="C1271" s="62">
        <f>IF('Calendario H'!C81="","",'Calendario H'!C81)</f>
        <v/>
      </c>
      <c r="D1271" s="61">
        <f>IF('Calendario H'!D81="","",'Calendario H'!D81)</f>
        <v/>
      </c>
      <c r="E1271" s="62">
        <f>IF('Calendario H'!E81="","",'Calendario H'!E81)</f>
        <v/>
      </c>
      <c r="F1271" s="63">
        <f>IF('Calendario H'!F81="","",'Calendario H'!F81)</f>
        <v/>
      </c>
      <c r="G1271" s="9" t="n"/>
      <c r="H1271" s="9" t="n"/>
      <c r="I1271" s="10" t="n"/>
      <c r="J1271" s="195">
        <f>IF('Calendario H'!J81="","",'Calendario H'!J81)</f>
        <v/>
      </c>
      <c r="K1271" s="64" t="inlineStr">
        <is>
          <t>-</t>
        </is>
      </c>
      <c r="L1271" s="195">
        <f>IF('Calendario H'!L81="","",'Calendario H'!L81)</f>
        <v/>
      </c>
      <c r="M1271" s="196" t="n"/>
      <c r="N1271" s="196" t="n"/>
      <c r="O1271" s="196" t="n"/>
      <c r="P1271" s="196" t="n"/>
      <c r="Q1271" s="196" t="n"/>
      <c r="R1271" s="196" t="n"/>
    </row>
    <row r="1272" ht="15" customHeight="1">
      <c r="A1272" s="141" t="n"/>
      <c r="B1272" s="69">
        <f>IF('Calendario H'!B82="","",'Calendario H'!B82)</f>
        <v/>
      </c>
      <c r="C1272" s="9" t="n"/>
      <c r="D1272" s="9" t="n"/>
      <c r="E1272" s="9" t="n"/>
      <c r="F1272" s="9" t="n"/>
      <c r="G1272" s="9" t="n"/>
      <c r="H1272" s="10" t="n"/>
      <c r="I1272" s="62">
        <f>IF('Calendario H'!I82="","",'Calendario H'!I82)</f>
        <v/>
      </c>
      <c r="J1272" s="141" t="n"/>
      <c r="K1272" s="141" t="n"/>
      <c r="L1272" s="141" t="n"/>
      <c r="M1272" s="141" t="n"/>
      <c r="N1272" s="141" t="n"/>
      <c r="O1272" s="141" t="n"/>
      <c r="P1272" s="141" t="n"/>
      <c r="Q1272" s="141" t="n"/>
      <c r="R1272" s="141" t="n"/>
    </row>
    <row r="1273" ht="14" customHeight="1">
      <c r="A1273" s="116" t="inlineStr">
        <is>
          <t>Gara N.</t>
        </is>
      </c>
      <c r="B1273" s="116" t="inlineStr">
        <is>
          <t>Squadra A</t>
        </is>
      </c>
      <c r="C1273" s="10" t="n"/>
      <c r="D1273" s="116" t="inlineStr">
        <is>
          <t>Squadra B</t>
        </is>
      </c>
      <c r="E1273" s="10" t="n"/>
      <c r="F1273" s="116" t="inlineStr">
        <is>
          <t>Giorno</t>
        </is>
      </c>
      <c r="G1273" s="116" t="inlineStr">
        <is>
          <t>Data</t>
        </is>
      </c>
      <c r="H1273" s="116" t="inlineStr">
        <is>
          <t>Ora</t>
        </is>
      </c>
      <c r="I1273" s="10" t="n"/>
      <c r="J1273" s="116" t="inlineStr">
        <is>
          <t>Risultato</t>
        </is>
      </c>
      <c r="K1273" s="9" t="n"/>
      <c r="L1273" s="10" t="n"/>
      <c r="M1273" s="211" t="inlineStr">
        <is>
          <t>1o Arbitro</t>
        </is>
      </c>
      <c r="N1273" s="211" t="inlineStr">
        <is>
          <t>2o Arbitro</t>
        </is>
      </c>
      <c r="O1273" s="211" t="inlineStr">
        <is>
          <t>3o Arbitro/Tirocinante</t>
        </is>
      </c>
      <c r="P1273" s="211" t="inlineStr">
        <is>
          <t>Referto</t>
        </is>
      </c>
      <c r="Q1273" s="211" t="inlineStr">
        <is>
          <t>Cronometro</t>
        </is>
      </c>
      <c r="R1273" s="211" t="inlineStr">
        <is>
          <t>Foglio Tiri</t>
        </is>
      </c>
    </row>
    <row r="1274" ht="22" customHeight="1">
      <c r="A1274" s="118">
        <f>IF('Calendario H'!A84="","",'Calendario H'!A84)</f>
        <v/>
      </c>
      <c r="B1274" s="61">
        <f>IF('Calendario H'!B84="","",'Calendario H'!B84)</f>
        <v/>
      </c>
      <c r="C1274" s="62">
        <f>IF('Calendario H'!C84="","",'Calendario H'!C84)</f>
        <v/>
      </c>
      <c r="D1274" s="61">
        <f>IF('Calendario H'!D84="","",'Calendario H'!D84)</f>
        <v/>
      </c>
      <c r="E1274" s="62">
        <f>IF('Calendario H'!E84="","",'Calendario H'!E84)</f>
        <v/>
      </c>
      <c r="F1274" s="63">
        <f>IF('Calendario H'!F84="","",'Calendario H'!F84)</f>
        <v/>
      </c>
      <c r="G1274" s="9" t="n"/>
      <c r="H1274" s="9" t="n"/>
      <c r="I1274" s="10" t="n"/>
      <c r="J1274" s="195">
        <f>IF('Calendario H'!J84="","",'Calendario H'!J84)</f>
        <v/>
      </c>
      <c r="K1274" s="64" t="inlineStr">
        <is>
          <t>-</t>
        </is>
      </c>
      <c r="L1274" s="195">
        <f>IF('Calendario H'!L84="","",'Calendario H'!L84)</f>
        <v/>
      </c>
      <c r="M1274" s="196" t="n"/>
      <c r="N1274" s="196" t="n"/>
      <c r="O1274" s="196" t="n"/>
      <c r="P1274" s="196" t="n"/>
      <c r="Q1274" s="196" t="n"/>
      <c r="R1274" s="196" t="n"/>
    </row>
    <row r="1275" ht="15" customHeight="1">
      <c r="A1275" s="141" t="n"/>
      <c r="B1275" s="69">
        <f>IF('Calendario H'!B85="","",'Calendario H'!B85)</f>
        <v/>
      </c>
      <c r="C1275" s="9" t="n"/>
      <c r="D1275" s="9" t="n"/>
      <c r="E1275" s="9" t="n"/>
      <c r="F1275" s="9" t="n"/>
      <c r="G1275" s="9" t="n"/>
      <c r="H1275" s="10" t="n"/>
      <c r="I1275" s="62">
        <f>IF('Calendario H'!I85="","",'Calendario H'!I85)</f>
        <v/>
      </c>
      <c r="J1275" s="141" t="n"/>
      <c r="K1275" s="141" t="n"/>
      <c r="L1275" s="141" t="n"/>
      <c r="M1275" s="141" t="n"/>
      <c r="N1275" s="141" t="n"/>
      <c r="O1275" s="141" t="n"/>
      <c r="P1275" s="141" t="n"/>
      <c r="Q1275" s="141" t="n"/>
      <c r="R1275" s="141" t="n"/>
    </row>
    <row r="1276" ht="14" customHeight="1">
      <c r="A1276" s="116" t="inlineStr">
        <is>
          <t>Gara N.</t>
        </is>
      </c>
      <c r="B1276" s="116" t="inlineStr">
        <is>
          <t>Squadra A</t>
        </is>
      </c>
      <c r="C1276" s="10" t="n"/>
      <c r="D1276" s="116" t="inlineStr">
        <is>
          <t>Squadra B</t>
        </is>
      </c>
      <c r="E1276" s="10" t="n"/>
      <c r="F1276" s="116" t="inlineStr">
        <is>
          <t>Giorno</t>
        </is>
      </c>
      <c r="G1276" s="116" t="inlineStr">
        <is>
          <t>Data</t>
        </is>
      </c>
      <c r="H1276" s="116" t="inlineStr">
        <is>
          <t>Ora</t>
        </is>
      </c>
      <c r="I1276" s="10" t="n"/>
      <c r="J1276" s="116" t="inlineStr">
        <is>
          <t>Risultato</t>
        </is>
      </c>
      <c r="K1276" s="9" t="n"/>
      <c r="L1276" s="10" t="n"/>
      <c r="M1276" s="211" t="inlineStr">
        <is>
          <t>1o Arbitro</t>
        </is>
      </c>
      <c r="N1276" s="211" t="inlineStr">
        <is>
          <t>2o Arbitro</t>
        </is>
      </c>
      <c r="O1276" s="211" t="inlineStr">
        <is>
          <t>3o Arbitro/Tirocinante</t>
        </is>
      </c>
      <c r="P1276" s="211" t="inlineStr">
        <is>
          <t>Referto</t>
        </is>
      </c>
      <c r="Q1276" s="211" t="inlineStr">
        <is>
          <t>Cronometro</t>
        </is>
      </c>
      <c r="R1276" s="211" t="inlineStr">
        <is>
          <t>Foglio Tiri</t>
        </is>
      </c>
    </row>
    <row r="1277" ht="22" customHeight="1">
      <c r="A1277" s="118">
        <f>IF('Calendario H'!A87="","",'Calendario H'!A87)</f>
        <v/>
      </c>
      <c r="B1277" s="61">
        <f>IF('Calendario H'!B87="","",'Calendario H'!B87)</f>
        <v/>
      </c>
      <c r="C1277" s="62">
        <f>IF('Calendario H'!C87="","",'Calendario H'!C87)</f>
        <v/>
      </c>
      <c r="D1277" s="61">
        <f>IF('Calendario H'!D87="","",'Calendario H'!D87)</f>
        <v/>
      </c>
      <c r="E1277" s="62">
        <f>IF('Calendario H'!E87="","",'Calendario H'!E87)</f>
        <v/>
      </c>
      <c r="F1277" s="63">
        <f>IF('Calendario H'!F87="","",'Calendario H'!F87)</f>
        <v/>
      </c>
      <c r="G1277" s="9" t="n"/>
      <c r="H1277" s="9" t="n"/>
      <c r="I1277" s="10" t="n"/>
      <c r="J1277" s="195">
        <f>IF('Calendario H'!J87="","",'Calendario H'!J87)</f>
        <v/>
      </c>
      <c r="K1277" s="64" t="inlineStr">
        <is>
          <t>-</t>
        </is>
      </c>
      <c r="L1277" s="195">
        <f>IF('Calendario H'!L87="","",'Calendario H'!L87)</f>
        <v/>
      </c>
      <c r="M1277" s="196" t="n"/>
      <c r="N1277" s="196" t="n"/>
      <c r="O1277" s="196" t="n"/>
      <c r="P1277" s="196" t="n"/>
      <c r="Q1277" s="196" t="n"/>
      <c r="R1277" s="196" t="n"/>
    </row>
    <row r="1278" ht="15" customHeight="1">
      <c r="A1278" s="141" t="n"/>
      <c r="B1278" s="69">
        <f>IF('Calendario H'!B88="","",'Calendario H'!B88)</f>
        <v/>
      </c>
      <c r="C1278" s="9" t="n"/>
      <c r="D1278" s="9" t="n"/>
      <c r="E1278" s="9" t="n"/>
      <c r="F1278" s="9" t="n"/>
      <c r="G1278" s="9" t="n"/>
      <c r="H1278" s="10" t="n"/>
      <c r="I1278" s="62">
        <f>IF('Calendario H'!I88="","",'Calendario H'!I88)</f>
        <v/>
      </c>
      <c r="J1278" s="141" t="n"/>
      <c r="K1278" s="141" t="n"/>
      <c r="L1278" s="141" t="n"/>
      <c r="M1278" s="141" t="n"/>
      <c r="N1278" s="141" t="n"/>
      <c r="O1278" s="141" t="n"/>
      <c r="P1278" s="141" t="n"/>
      <c r="Q1278" s="141" t="n"/>
      <c r="R1278" s="141" t="n"/>
    </row>
    <row r="1279" ht="14" customHeight="1">
      <c r="A1279" s="116" t="inlineStr">
        <is>
          <t>Gara N.</t>
        </is>
      </c>
      <c r="B1279" s="116" t="inlineStr">
        <is>
          <t>Squadra A</t>
        </is>
      </c>
      <c r="C1279" s="10" t="n"/>
      <c r="D1279" s="116" t="inlineStr">
        <is>
          <t>Squadra B</t>
        </is>
      </c>
      <c r="E1279" s="10" t="n"/>
      <c r="F1279" s="116" t="inlineStr">
        <is>
          <t>Giorno</t>
        </is>
      </c>
      <c r="G1279" s="116" t="inlineStr">
        <is>
          <t>Data</t>
        </is>
      </c>
      <c r="H1279" s="116" t="inlineStr">
        <is>
          <t>Ora</t>
        </is>
      </c>
      <c r="I1279" s="10" t="n"/>
      <c r="J1279" s="116" t="inlineStr">
        <is>
          <t>Risultato</t>
        </is>
      </c>
      <c r="K1279" s="9" t="n"/>
      <c r="L1279" s="10" t="n"/>
      <c r="M1279" s="211" t="inlineStr">
        <is>
          <t>1o Arbitro</t>
        </is>
      </c>
      <c r="N1279" s="211" t="inlineStr">
        <is>
          <t>2o Arbitro</t>
        </is>
      </c>
      <c r="O1279" s="211" t="inlineStr">
        <is>
          <t>3o Arbitro/Tirocinante</t>
        </is>
      </c>
      <c r="P1279" s="211" t="inlineStr">
        <is>
          <t>Referto</t>
        </is>
      </c>
      <c r="Q1279" s="211" t="inlineStr">
        <is>
          <t>Cronometro</t>
        </is>
      </c>
      <c r="R1279" s="211" t="inlineStr">
        <is>
          <t>Foglio Tiri</t>
        </is>
      </c>
    </row>
    <row r="1280" ht="22" customHeight="1">
      <c r="A1280" s="118">
        <f>IF('Calendario H'!A90="","",'Calendario H'!A90)</f>
        <v/>
      </c>
      <c r="B1280" s="61">
        <f>IF('Calendario H'!B90="","",'Calendario H'!B90)</f>
        <v/>
      </c>
      <c r="C1280" s="62">
        <f>IF('Calendario H'!C90="","",'Calendario H'!C90)</f>
        <v/>
      </c>
      <c r="D1280" s="61">
        <f>IF('Calendario H'!D90="","",'Calendario H'!D90)</f>
        <v/>
      </c>
      <c r="E1280" s="62">
        <f>IF('Calendario H'!E90="","",'Calendario H'!E90)</f>
        <v/>
      </c>
      <c r="F1280" s="63">
        <f>IF('Calendario H'!F90="","",'Calendario H'!F90)</f>
        <v/>
      </c>
      <c r="G1280" s="9" t="n"/>
      <c r="H1280" s="9" t="n"/>
      <c r="I1280" s="10" t="n"/>
      <c r="J1280" s="195">
        <f>IF('Calendario H'!J90="","",'Calendario H'!J90)</f>
        <v/>
      </c>
      <c r="K1280" s="64" t="inlineStr">
        <is>
          <t>-</t>
        </is>
      </c>
      <c r="L1280" s="195">
        <f>IF('Calendario H'!L90="","",'Calendario H'!L90)</f>
        <v/>
      </c>
      <c r="M1280" s="196" t="n"/>
      <c r="N1280" s="196" t="n"/>
      <c r="O1280" s="196" t="n"/>
      <c r="P1280" s="196" t="n"/>
      <c r="Q1280" s="196" t="n"/>
      <c r="R1280" s="196" t="n"/>
    </row>
    <row r="1281" ht="15" customHeight="1">
      <c r="A1281" s="141" t="n"/>
      <c r="B1281" s="69">
        <f>IF('Calendario H'!B91="","",'Calendario H'!B91)</f>
        <v/>
      </c>
      <c r="C1281" s="9" t="n"/>
      <c r="D1281" s="9" t="n"/>
      <c r="E1281" s="9" t="n"/>
      <c r="F1281" s="9" t="n"/>
      <c r="G1281" s="9" t="n"/>
      <c r="H1281" s="10" t="n"/>
      <c r="I1281" s="62">
        <f>IF('Calendario H'!I91="","",'Calendario H'!I91)</f>
        <v/>
      </c>
      <c r="J1281" s="141" t="n"/>
      <c r="K1281" s="141" t="n"/>
      <c r="L1281" s="141" t="n"/>
      <c r="M1281" s="141" t="n"/>
      <c r="N1281" s="141" t="n"/>
      <c r="O1281" s="141" t="n"/>
      <c r="P1281" s="141" t="n"/>
      <c r="Q1281" s="141" t="n"/>
      <c r="R1281" s="141" t="n"/>
    </row>
    <row r="1283" ht="20" customHeight="1">
      <c r="A1283" s="113">
        <f>IF('Calendario H'!A93="","",'Calendario H'!A93)</f>
        <v/>
      </c>
      <c r="B1283" s="114">
        <f>IF('Calendario H'!B93="","",'Calendario H'!B93)</f>
        <v/>
      </c>
      <c r="C1283" s="9" t="n"/>
      <c r="D1283" s="9" t="n"/>
      <c r="E1283" s="9" t="n"/>
      <c r="F1283" s="9" t="n"/>
      <c r="G1283" s="9" t="n"/>
      <c r="H1283" s="9" t="n"/>
      <c r="I1283" s="9" t="n"/>
      <c r="J1283" s="9" t="n"/>
      <c r="K1283" s="9" t="n"/>
      <c r="L1283" s="10" t="n"/>
      <c r="M1283" s="210" t="inlineStr">
        <is>
          <t>ARBITRI</t>
        </is>
      </c>
      <c r="N1283" s="9" t="n"/>
      <c r="O1283" s="10" t="n"/>
      <c r="P1283" s="210" t="inlineStr">
        <is>
          <t>UFFICIALI DI CAMPO</t>
        </is>
      </c>
      <c r="Q1283" s="9" t="n"/>
      <c r="R1283" s="10" t="n"/>
    </row>
    <row r="1284" ht="14" customHeight="1">
      <c r="A1284" s="116" t="inlineStr">
        <is>
          <t>Gara N.</t>
        </is>
      </c>
      <c r="B1284" s="116" t="inlineStr">
        <is>
          <t>Squadra A</t>
        </is>
      </c>
      <c r="C1284" s="10" t="n"/>
      <c r="D1284" s="116" t="inlineStr">
        <is>
          <t>Squadra B</t>
        </is>
      </c>
      <c r="E1284" s="10" t="n"/>
      <c r="F1284" s="116" t="inlineStr">
        <is>
          <t>Giorno</t>
        </is>
      </c>
      <c r="G1284" s="116" t="inlineStr">
        <is>
          <t>Data</t>
        </is>
      </c>
      <c r="H1284" s="116" t="inlineStr">
        <is>
          <t>Ora</t>
        </is>
      </c>
      <c r="I1284" s="10" t="n"/>
      <c r="J1284" s="116" t="inlineStr">
        <is>
          <t>Risultato</t>
        </is>
      </c>
      <c r="K1284" s="9" t="n"/>
      <c r="L1284" s="10" t="n"/>
      <c r="M1284" s="211" t="inlineStr">
        <is>
          <t>1o Arbitro</t>
        </is>
      </c>
      <c r="N1284" s="211" t="inlineStr">
        <is>
          <t>2o Arbitro</t>
        </is>
      </c>
      <c r="O1284" s="211" t="inlineStr">
        <is>
          <t>3o Arbitro/Tirocinante</t>
        </is>
      </c>
      <c r="P1284" s="211" t="inlineStr">
        <is>
          <t>Referto</t>
        </is>
      </c>
      <c r="Q1284" s="211" t="inlineStr">
        <is>
          <t>Cronometro</t>
        </is>
      </c>
      <c r="R1284" s="211" t="inlineStr">
        <is>
          <t>Foglio Tiri</t>
        </is>
      </c>
    </row>
    <row r="1285" ht="22" customHeight="1">
      <c r="A1285" s="118">
        <f>IF('Calendario H'!A95="","",'Calendario H'!A95)</f>
        <v/>
      </c>
      <c r="B1285" s="61">
        <f>IF('Calendario H'!B95="","",'Calendario H'!B95)</f>
        <v/>
      </c>
      <c r="C1285" s="62">
        <f>IF('Calendario H'!C95="","",'Calendario H'!C95)</f>
        <v/>
      </c>
      <c r="D1285" s="61">
        <f>IF('Calendario H'!D95="","",'Calendario H'!D95)</f>
        <v/>
      </c>
      <c r="E1285" s="62">
        <f>IF('Calendario H'!E95="","",'Calendario H'!E95)</f>
        <v/>
      </c>
      <c r="F1285" s="63">
        <f>IF('Calendario H'!F95="","",'Calendario H'!F95)</f>
        <v/>
      </c>
      <c r="G1285" s="9" t="n"/>
      <c r="H1285" s="9" t="n"/>
      <c r="I1285" s="10" t="n"/>
      <c r="J1285" s="195">
        <f>IF('Calendario H'!J95="","",'Calendario H'!J95)</f>
        <v/>
      </c>
      <c r="K1285" s="64" t="inlineStr">
        <is>
          <t>-</t>
        </is>
      </c>
      <c r="L1285" s="195">
        <f>IF('Calendario H'!L95="","",'Calendario H'!L95)</f>
        <v/>
      </c>
      <c r="M1285" s="196" t="n"/>
      <c r="N1285" s="196" t="n"/>
      <c r="O1285" s="196" t="n"/>
      <c r="P1285" s="196" t="n"/>
      <c r="Q1285" s="196" t="n"/>
      <c r="R1285" s="196" t="n"/>
    </row>
    <row r="1286" ht="15" customHeight="1">
      <c r="A1286" s="141" t="n"/>
      <c r="B1286" s="69">
        <f>IF('Calendario H'!B96="","",'Calendario H'!B96)</f>
        <v/>
      </c>
      <c r="C1286" s="9" t="n"/>
      <c r="D1286" s="9" t="n"/>
      <c r="E1286" s="9" t="n"/>
      <c r="F1286" s="9" t="n"/>
      <c r="G1286" s="9" t="n"/>
      <c r="H1286" s="10" t="n"/>
      <c r="I1286" s="62">
        <f>IF('Calendario H'!I96="","",'Calendario H'!I96)</f>
        <v/>
      </c>
      <c r="J1286" s="141" t="n"/>
      <c r="K1286" s="141" t="n"/>
      <c r="L1286" s="141" t="n"/>
      <c r="M1286" s="141" t="n"/>
      <c r="N1286" s="141" t="n"/>
      <c r="O1286" s="141" t="n"/>
      <c r="P1286" s="141" t="n"/>
      <c r="Q1286" s="141" t="n"/>
      <c r="R1286" s="141" t="n"/>
    </row>
    <row r="1287" ht="14" customHeight="1">
      <c r="A1287" s="116" t="inlineStr">
        <is>
          <t>Gara N.</t>
        </is>
      </c>
      <c r="B1287" s="116" t="inlineStr">
        <is>
          <t>Squadra A</t>
        </is>
      </c>
      <c r="C1287" s="10" t="n"/>
      <c r="D1287" s="116" t="inlineStr">
        <is>
          <t>Squadra B</t>
        </is>
      </c>
      <c r="E1287" s="10" t="n"/>
      <c r="F1287" s="116" t="inlineStr">
        <is>
          <t>Giorno</t>
        </is>
      </c>
      <c r="G1287" s="116" t="inlineStr">
        <is>
          <t>Data</t>
        </is>
      </c>
      <c r="H1287" s="116" t="inlineStr">
        <is>
          <t>Ora</t>
        </is>
      </c>
      <c r="I1287" s="10" t="n"/>
      <c r="J1287" s="116" t="inlineStr">
        <is>
          <t>Risultato</t>
        </is>
      </c>
      <c r="K1287" s="9" t="n"/>
      <c r="L1287" s="10" t="n"/>
      <c r="M1287" s="211" t="inlineStr">
        <is>
          <t>1o Arbitro</t>
        </is>
      </c>
      <c r="N1287" s="211" t="inlineStr">
        <is>
          <t>2o Arbitro</t>
        </is>
      </c>
      <c r="O1287" s="211" t="inlineStr">
        <is>
          <t>3o Arbitro/Tirocinante</t>
        </is>
      </c>
      <c r="P1287" s="211" t="inlineStr">
        <is>
          <t>Referto</t>
        </is>
      </c>
      <c r="Q1287" s="211" t="inlineStr">
        <is>
          <t>Cronometro</t>
        </is>
      </c>
      <c r="R1287" s="211" t="inlineStr">
        <is>
          <t>Foglio Tiri</t>
        </is>
      </c>
    </row>
    <row r="1288" ht="22" customHeight="1">
      <c r="A1288" s="118">
        <f>IF('Calendario H'!A98="","",'Calendario H'!A98)</f>
        <v/>
      </c>
      <c r="B1288" s="61">
        <f>IF('Calendario H'!B98="","",'Calendario H'!B98)</f>
        <v/>
      </c>
      <c r="C1288" s="62">
        <f>IF('Calendario H'!C98="","",'Calendario H'!C98)</f>
        <v/>
      </c>
      <c r="D1288" s="61">
        <f>IF('Calendario H'!D98="","",'Calendario H'!D98)</f>
        <v/>
      </c>
      <c r="E1288" s="62">
        <f>IF('Calendario H'!E98="","",'Calendario H'!E98)</f>
        <v/>
      </c>
      <c r="F1288" s="63">
        <f>IF('Calendario H'!F98="","",'Calendario H'!F98)</f>
        <v/>
      </c>
      <c r="G1288" s="9" t="n"/>
      <c r="H1288" s="9" t="n"/>
      <c r="I1288" s="10" t="n"/>
      <c r="J1288" s="195">
        <f>IF('Calendario H'!J98="","",'Calendario H'!J98)</f>
        <v/>
      </c>
      <c r="K1288" s="64" t="inlineStr">
        <is>
          <t>-</t>
        </is>
      </c>
      <c r="L1288" s="195">
        <f>IF('Calendario H'!L98="","",'Calendario H'!L98)</f>
        <v/>
      </c>
      <c r="M1288" s="196" t="n"/>
      <c r="N1288" s="196" t="n"/>
      <c r="O1288" s="196" t="n"/>
      <c r="P1288" s="196" t="n"/>
      <c r="Q1288" s="196" t="n"/>
      <c r="R1288" s="196" t="n"/>
    </row>
    <row r="1289" ht="15" customHeight="1">
      <c r="A1289" s="141" t="n"/>
      <c r="B1289" s="69">
        <f>IF('Calendario H'!B99="","",'Calendario H'!B99)</f>
        <v/>
      </c>
      <c r="C1289" s="9" t="n"/>
      <c r="D1289" s="9" t="n"/>
      <c r="E1289" s="9" t="n"/>
      <c r="F1289" s="9" t="n"/>
      <c r="G1289" s="9" t="n"/>
      <c r="H1289" s="10" t="n"/>
      <c r="I1289" s="62">
        <f>IF('Calendario H'!I99="","",'Calendario H'!I99)</f>
        <v/>
      </c>
      <c r="J1289" s="141" t="n"/>
      <c r="K1289" s="141" t="n"/>
      <c r="L1289" s="141" t="n"/>
      <c r="M1289" s="141" t="n"/>
      <c r="N1289" s="141" t="n"/>
      <c r="O1289" s="141" t="n"/>
      <c r="P1289" s="141" t="n"/>
      <c r="Q1289" s="141" t="n"/>
      <c r="R1289" s="141" t="n"/>
    </row>
    <row r="1290" ht="14" customHeight="1">
      <c r="A1290" s="116" t="inlineStr">
        <is>
          <t>Gara N.</t>
        </is>
      </c>
      <c r="B1290" s="116" t="inlineStr">
        <is>
          <t>Squadra A</t>
        </is>
      </c>
      <c r="C1290" s="10" t="n"/>
      <c r="D1290" s="116" t="inlineStr">
        <is>
          <t>Squadra B</t>
        </is>
      </c>
      <c r="E1290" s="10" t="n"/>
      <c r="F1290" s="116" t="inlineStr">
        <is>
          <t>Giorno</t>
        </is>
      </c>
      <c r="G1290" s="116" t="inlineStr">
        <is>
          <t>Data</t>
        </is>
      </c>
      <c r="H1290" s="116" t="inlineStr">
        <is>
          <t>Ora</t>
        </is>
      </c>
      <c r="I1290" s="10" t="n"/>
      <c r="J1290" s="116" t="inlineStr">
        <is>
          <t>Risultato</t>
        </is>
      </c>
      <c r="K1290" s="9" t="n"/>
      <c r="L1290" s="10" t="n"/>
      <c r="M1290" s="211" t="inlineStr">
        <is>
          <t>1o Arbitro</t>
        </is>
      </c>
      <c r="N1290" s="211" t="inlineStr">
        <is>
          <t>2o Arbitro</t>
        </is>
      </c>
      <c r="O1290" s="211" t="inlineStr">
        <is>
          <t>3o Arbitro/Tirocinante</t>
        </is>
      </c>
      <c r="P1290" s="211" t="inlineStr">
        <is>
          <t>Referto</t>
        </is>
      </c>
      <c r="Q1290" s="211" t="inlineStr">
        <is>
          <t>Cronometro</t>
        </is>
      </c>
      <c r="R1290" s="211" t="inlineStr">
        <is>
          <t>Foglio Tiri</t>
        </is>
      </c>
    </row>
    <row r="1291" ht="22" customHeight="1">
      <c r="A1291" s="118">
        <f>IF('Calendario H'!A101="","",'Calendario H'!A101)</f>
        <v/>
      </c>
      <c r="B1291" s="61">
        <f>IF('Calendario H'!B101="","",'Calendario H'!B101)</f>
        <v/>
      </c>
      <c r="C1291" s="62">
        <f>IF('Calendario H'!C101="","",'Calendario H'!C101)</f>
        <v/>
      </c>
      <c r="D1291" s="61">
        <f>IF('Calendario H'!D101="","",'Calendario H'!D101)</f>
        <v/>
      </c>
      <c r="E1291" s="62">
        <f>IF('Calendario H'!E101="","",'Calendario H'!E101)</f>
        <v/>
      </c>
      <c r="F1291" s="63">
        <f>IF('Calendario H'!F101="","",'Calendario H'!F101)</f>
        <v/>
      </c>
      <c r="G1291" s="9" t="n"/>
      <c r="H1291" s="9" t="n"/>
      <c r="I1291" s="10" t="n"/>
      <c r="J1291" s="195">
        <f>IF('Calendario H'!J101="","",'Calendario H'!J101)</f>
        <v/>
      </c>
      <c r="K1291" s="64" t="inlineStr">
        <is>
          <t>-</t>
        </is>
      </c>
      <c r="L1291" s="195">
        <f>IF('Calendario H'!L101="","",'Calendario H'!L101)</f>
        <v/>
      </c>
      <c r="M1291" s="196" t="n"/>
      <c r="N1291" s="196" t="n"/>
      <c r="O1291" s="196" t="n"/>
      <c r="P1291" s="196" t="n"/>
      <c r="Q1291" s="196" t="n"/>
      <c r="R1291" s="196" t="n"/>
    </row>
    <row r="1292" ht="15" customHeight="1">
      <c r="A1292" s="141" t="n"/>
      <c r="B1292" s="69">
        <f>IF('Calendario H'!B102="","",'Calendario H'!B102)</f>
        <v/>
      </c>
      <c r="C1292" s="9" t="n"/>
      <c r="D1292" s="9" t="n"/>
      <c r="E1292" s="9" t="n"/>
      <c r="F1292" s="9" t="n"/>
      <c r="G1292" s="9" t="n"/>
      <c r="H1292" s="10" t="n"/>
      <c r="I1292" s="62">
        <f>IF('Calendario H'!I102="","",'Calendario H'!I102)</f>
        <v/>
      </c>
      <c r="J1292" s="141" t="n"/>
      <c r="K1292" s="141" t="n"/>
      <c r="L1292" s="141" t="n"/>
      <c r="M1292" s="141" t="n"/>
      <c r="N1292" s="141" t="n"/>
      <c r="O1292" s="141" t="n"/>
      <c r="P1292" s="141" t="n"/>
      <c r="Q1292" s="141" t="n"/>
      <c r="R1292" s="141" t="n"/>
    </row>
    <row r="1293" ht="14" customHeight="1">
      <c r="A1293" s="116" t="inlineStr">
        <is>
          <t>Gara N.</t>
        </is>
      </c>
      <c r="B1293" s="116" t="inlineStr">
        <is>
          <t>Squadra A</t>
        </is>
      </c>
      <c r="C1293" s="10" t="n"/>
      <c r="D1293" s="116" t="inlineStr">
        <is>
          <t>Squadra B</t>
        </is>
      </c>
      <c r="E1293" s="10" t="n"/>
      <c r="F1293" s="116" t="inlineStr">
        <is>
          <t>Giorno</t>
        </is>
      </c>
      <c r="G1293" s="116" t="inlineStr">
        <is>
          <t>Data</t>
        </is>
      </c>
      <c r="H1293" s="116" t="inlineStr">
        <is>
          <t>Ora</t>
        </is>
      </c>
      <c r="I1293" s="10" t="n"/>
      <c r="J1293" s="116" t="inlineStr">
        <is>
          <t>Risultato</t>
        </is>
      </c>
      <c r="K1293" s="9" t="n"/>
      <c r="L1293" s="10" t="n"/>
      <c r="M1293" s="211" t="inlineStr">
        <is>
          <t>1o Arbitro</t>
        </is>
      </c>
      <c r="N1293" s="211" t="inlineStr">
        <is>
          <t>2o Arbitro</t>
        </is>
      </c>
      <c r="O1293" s="211" t="inlineStr">
        <is>
          <t>3o Arbitro/Tirocinante</t>
        </is>
      </c>
      <c r="P1293" s="211" t="inlineStr">
        <is>
          <t>Referto</t>
        </is>
      </c>
      <c r="Q1293" s="211" t="inlineStr">
        <is>
          <t>Cronometro</t>
        </is>
      </c>
      <c r="R1293" s="211" t="inlineStr">
        <is>
          <t>Foglio Tiri</t>
        </is>
      </c>
    </row>
    <row r="1294" ht="22" customHeight="1">
      <c r="A1294" s="118">
        <f>IF('Calendario H'!A104="","",'Calendario H'!A104)</f>
        <v/>
      </c>
      <c r="B1294" s="61">
        <f>IF('Calendario H'!B104="","",'Calendario H'!B104)</f>
        <v/>
      </c>
      <c r="C1294" s="62">
        <f>IF('Calendario H'!C104="","",'Calendario H'!C104)</f>
        <v/>
      </c>
      <c r="D1294" s="61">
        <f>IF('Calendario H'!D104="","",'Calendario H'!D104)</f>
        <v/>
      </c>
      <c r="E1294" s="62">
        <f>IF('Calendario H'!E104="","",'Calendario H'!E104)</f>
        <v/>
      </c>
      <c r="F1294" s="63">
        <f>IF('Calendario H'!F104="","",'Calendario H'!F104)</f>
        <v/>
      </c>
      <c r="G1294" s="9" t="n"/>
      <c r="H1294" s="9" t="n"/>
      <c r="I1294" s="10" t="n"/>
      <c r="J1294" s="195">
        <f>IF('Calendario H'!J104="","",'Calendario H'!J104)</f>
        <v/>
      </c>
      <c r="K1294" s="64" t="inlineStr">
        <is>
          <t>-</t>
        </is>
      </c>
      <c r="L1294" s="195">
        <f>IF('Calendario H'!L104="","",'Calendario H'!L104)</f>
        <v/>
      </c>
      <c r="M1294" s="196" t="n"/>
      <c r="N1294" s="196" t="n"/>
      <c r="O1294" s="196" t="n"/>
      <c r="P1294" s="196" t="n"/>
      <c r="Q1294" s="196" t="n"/>
      <c r="R1294" s="196" t="n"/>
    </row>
    <row r="1295" ht="15" customHeight="1">
      <c r="A1295" s="141" t="n"/>
      <c r="B1295" s="69">
        <f>IF('Calendario H'!B105="","",'Calendario H'!B105)</f>
        <v/>
      </c>
      <c r="C1295" s="9" t="n"/>
      <c r="D1295" s="9" t="n"/>
      <c r="E1295" s="9" t="n"/>
      <c r="F1295" s="9" t="n"/>
      <c r="G1295" s="9" t="n"/>
      <c r="H1295" s="10" t="n"/>
      <c r="I1295" s="62">
        <f>IF('Calendario H'!I105="","",'Calendario H'!I105)</f>
        <v/>
      </c>
      <c r="J1295" s="141" t="n"/>
      <c r="K1295" s="141" t="n"/>
      <c r="L1295" s="141" t="n"/>
      <c r="M1295" s="141" t="n"/>
      <c r="N1295" s="141" t="n"/>
      <c r="O1295" s="141" t="n"/>
      <c r="P1295" s="141" t="n"/>
      <c r="Q1295" s="141" t="n"/>
      <c r="R1295" s="141" t="n"/>
    </row>
    <row r="1296" ht="14" customHeight="1">
      <c r="A1296" s="116" t="inlineStr">
        <is>
          <t>Gara N.</t>
        </is>
      </c>
      <c r="B1296" s="116" t="inlineStr">
        <is>
          <t>Squadra A</t>
        </is>
      </c>
      <c r="C1296" s="10" t="n"/>
      <c r="D1296" s="116" t="inlineStr">
        <is>
          <t>Squadra B</t>
        </is>
      </c>
      <c r="E1296" s="10" t="n"/>
      <c r="F1296" s="116" t="inlineStr">
        <is>
          <t>Giorno</t>
        </is>
      </c>
      <c r="G1296" s="116" t="inlineStr">
        <is>
          <t>Data</t>
        </is>
      </c>
      <c r="H1296" s="116" t="inlineStr">
        <is>
          <t>Ora</t>
        </is>
      </c>
      <c r="I1296" s="10" t="n"/>
      <c r="J1296" s="116" t="inlineStr">
        <is>
          <t>Risultato</t>
        </is>
      </c>
      <c r="K1296" s="9" t="n"/>
      <c r="L1296" s="10" t="n"/>
      <c r="M1296" s="211" t="inlineStr">
        <is>
          <t>1o Arbitro</t>
        </is>
      </c>
      <c r="N1296" s="211" t="inlineStr">
        <is>
          <t>2o Arbitro</t>
        </is>
      </c>
      <c r="O1296" s="211" t="inlineStr">
        <is>
          <t>3o Arbitro/Tirocinante</t>
        </is>
      </c>
      <c r="P1296" s="211" t="inlineStr">
        <is>
          <t>Referto</t>
        </is>
      </c>
      <c r="Q1296" s="211" t="inlineStr">
        <is>
          <t>Cronometro</t>
        </is>
      </c>
      <c r="R1296" s="211" t="inlineStr">
        <is>
          <t>Foglio Tiri</t>
        </is>
      </c>
    </row>
    <row r="1297" ht="22" customHeight="1">
      <c r="A1297" s="118">
        <f>IF('Calendario H'!A107="","",'Calendario H'!A107)</f>
        <v/>
      </c>
      <c r="B1297" s="61">
        <f>IF('Calendario H'!B107="","",'Calendario H'!B107)</f>
        <v/>
      </c>
      <c r="C1297" s="62">
        <f>IF('Calendario H'!C107="","",'Calendario H'!C107)</f>
        <v/>
      </c>
      <c r="D1297" s="61">
        <f>IF('Calendario H'!D107="","",'Calendario H'!D107)</f>
        <v/>
      </c>
      <c r="E1297" s="62">
        <f>IF('Calendario H'!E107="","",'Calendario H'!E107)</f>
        <v/>
      </c>
      <c r="F1297" s="63">
        <f>IF('Calendario H'!F107="","",'Calendario H'!F107)</f>
        <v/>
      </c>
      <c r="G1297" s="9" t="n"/>
      <c r="H1297" s="9" t="n"/>
      <c r="I1297" s="10" t="n"/>
      <c r="J1297" s="195">
        <f>IF('Calendario H'!J107="","",'Calendario H'!J107)</f>
        <v/>
      </c>
      <c r="K1297" s="64" t="inlineStr">
        <is>
          <t>-</t>
        </is>
      </c>
      <c r="L1297" s="195">
        <f>IF('Calendario H'!L107="","",'Calendario H'!L107)</f>
        <v/>
      </c>
      <c r="M1297" s="196" t="n"/>
      <c r="N1297" s="196" t="n"/>
      <c r="O1297" s="196" t="n"/>
      <c r="P1297" s="196" t="n"/>
      <c r="Q1297" s="196" t="n"/>
      <c r="R1297" s="196" t="n"/>
    </row>
    <row r="1298" ht="15" customHeight="1">
      <c r="A1298" s="141" t="n"/>
      <c r="B1298" s="69">
        <f>IF('Calendario H'!B108="","",'Calendario H'!B108)</f>
        <v/>
      </c>
      <c r="C1298" s="9" t="n"/>
      <c r="D1298" s="9" t="n"/>
      <c r="E1298" s="9" t="n"/>
      <c r="F1298" s="9" t="n"/>
      <c r="G1298" s="9" t="n"/>
      <c r="H1298" s="10" t="n"/>
      <c r="I1298" s="62">
        <f>IF('Calendario H'!I108="","",'Calendario H'!I108)</f>
        <v/>
      </c>
      <c r="J1298" s="141" t="n"/>
      <c r="K1298" s="141" t="n"/>
      <c r="L1298" s="141" t="n"/>
      <c r="M1298" s="141" t="n"/>
      <c r="N1298" s="141" t="n"/>
      <c r="O1298" s="141" t="n"/>
      <c r="P1298" s="141" t="n"/>
      <c r="Q1298" s="141" t="n"/>
      <c r="R1298" s="141" t="n"/>
    </row>
    <row r="1300" ht="20" customHeight="1">
      <c r="A1300" s="113">
        <f>IF('Calendario H'!A110="","",'Calendario H'!A110)</f>
        <v/>
      </c>
      <c r="B1300" s="114">
        <f>IF('Calendario H'!B110="","",'Calendario H'!B110)</f>
        <v/>
      </c>
      <c r="C1300" s="9" t="n"/>
      <c r="D1300" s="9" t="n"/>
      <c r="E1300" s="9" t="n"/>
      <c r="F1300" s="9" t="n"/>
      <c r="G1300" s="9" t="n"/>
      <c r="H1300" s="9" t="n"/>
      <c r="I1300" s="9" t="n"/>
      <c r="J1300" s="9" t="n"/>
      <c r="K1300" s="9" t="n"/>
      <c r="L1300" s="10" t="n"/>
      <c r="M1300" s="210" t="inlineStr">
        <is>
          <t>ARBITRI</t>
        </is>
      </c>
      <c r="N1300" s="9" t="n"/>
      <c r="O1300" s="10" t="n"/>
      <c r="P1300" s="210" t="inlineStr">
        <is>
          <t>UFFICIALI DI CAMPO</t>
        </is>
      </c>
      <c r="Q1300" s="9" t="n"/>
      <c r="R1300" s="10" t="n"/>
    </row>
    <row r="1301" ht="14" customHeight="1">
      <c r="A1301" s="116" t="inlineStr">
        <is>
          <t>Gara N.</t>
        </is>
      </c>
      <c r="B1301" s="116" t="inlineStr">
        <is>
          <t>Squadra A</t>
        </is>
      </c>
      <c r="C1301" s="10" t="n"/>
      <c r="D1301" s="116" t="inlineStr">
        <is>
          <t>Squadra B</t>
        </is>
      </c>
      <c r="E1301" s="10" t="n"/>
      <c r="F1301" s="116" t="inlineStr">
        <is>
          <t>Giorno</t>
        </is>
      </c>
      <c r="G1301" s="116" t="inlineStr">
        <is>
          <t>Data</t>
        </is>
      </c>
      <c r="H1301" s="116" t="inlineStr">
        <is>
          <t>Ora</t>
        </is>
      </c>
      <c r="I1301" s="10" t="n"/>
      <c r="J1301" s="116" t="inlineStr">
        <is>
          <t>Risultato</t>
        </is>
      </c>
      <c r="K1301" s="9" t="n"/>
      <c r="L1301" s="10" t="n"/>
      <c r="M1301" s="211" t="inlineStr">
        <is>
          <t>1o Arbitro</t>
        </is>
      </c>
      <c r="N1301" s="211" t="inlineStr">
        <is>
          <t>2o Arbitro</t>
        </is>
      </c>
      <c r="O1301" s="211" t="inlineStr">
        <is>
          <t>3o Arbitro/Tirocinante</t>
        </is>
      </c>
      <c r="P1301" s="211" t="inlineStr">
        <is>
          <t>Referto</t>
        </is>
      </c>
      <c r="Q1301" s="211" t="inlineStr">
        <is>
          <t>Cronometro</t>
        </is>
      </c>
      <c r="R1301" s="211" t="inlineStr">
        <is>
          <t>Foglio Tiri</t>
        </is>
      </c>
    </row>
    <row r="1302" ht="22" customHeight="1">
      <c r="A1302" s="118">
        <f>IF('Calendario H'!A112="","",'Calendario H'!A112)</f>
        <v/>
      </c>
      <c r="B1302" s="61">
        <f>IF('Calendario H'!B112="","",'Calendario H'!B112)</f>
        <v/>
      </c>
      <c r="C1302" s="62">
        <f>IF('Calendario H'!C112="","",'Calendario H'!C112)</f>
        <v/>
      </c>
      <c r="D1302" s="61">
        <f>IF('Calendario H'!D112="","",'Calendario H'!D112)</f>
        <v/>
      </c>
      <c r="E1302" s="62">
        <f>IF('Calendario H'!E112="","",'Calendario H'!E112)</f>
        <v/>
      </c>
      <c r="F1302" s="63">
        <f>IF('Calendario H'!F112="","",'Calendario H'!F112)</f>
        <v/>
      </c>
      <c r="G1302" s="9" t="n"/>
      <c r="H1302" s="9" t="n"/>
      <c r="I1302" s="10" t="n"/>
      <c r="J1302" s="195">
        <f>IF('Calendario H'!J112="","",'Calendario H'!J112)</f>
        <v/>
      </c>
      <c r="K1302" s="64" t="inlineStr">
        <is>
          <t>-</t>
        </is>
      </c>
      <c r="L1302" s="195">
        <f>IF('Calendario H'!L112="","",'Calendario H'!L112)</f>
        <v/>
      </c>
      <c r="M1302" s="196" t="n"/>
      <c r="N1302" s="196" t="n"/>
      <c r="O1302" s="196" t="n"/>
      <c r="P1302" s="196" t="n"/>
      <c r="Q1302" s="196" t="n"/>
      <c r="R1302" s="196" t="n"/>
    </row>
    <row r="1303" ht="15" customHeight="1">
      <c r="A1303" s="141" t="n"/>
      <c r="B1303" s="69">
        <f>IF('Calendario H'!B113="","",'Calendario H'!B113)</f>
        <v/>
      </c>
      <c r="C1303" s="9" t="n"/>
      <c r="D1303" s="9" t="n"/>
      <c r="E1303" s="9" t="n"/>
      <c r="F1303" s="9" t="n"/>
      <c r="G1303" s="9" t="n"/>
      <c r="H1303" s="10" t="n"/>
      <c r="I1303" s="62">
        <f>IF('Calendario H'!I113="","",'Calendario H'!I113)</f>
        <v/>
      </c>
      <c r="J1303" s="141" t="n"/>
      <c r="K1303" s="141" t="n"/>
      <c r="L1303" s="141" t="n"/>
      <c r="M1303" s="141" t="n"/>
      <c r="N1303" s="141" t="n"/>
      <c r="O1303" s="141" t="n"/>
      <c r="P1303" s="141" t="n"/>
      <c r="Q1303" s="141" t="n"/>
      <c r="R1303" s="141" t="n"/>
    </row>
    <row r="1304" ht="14" customHeight="1">
      <c r="A1304" s="116" t="inlineStr">
        <is>
          <t>Gara N.</t>
        </is>
      </c>
      <c r="B1304" s="116" t="inlineStr">
        <is>
          <t>Squadra A</t>
        </is>
      </c>
      <c r="C1304" s="10" t="n"/>
      <c r="D1304" s="116" t="inlineStr">
        <is>
          <t>Squadra B</t>
        </is>
      </c>
      <c r="E1304" s="10" t="n"/>
      <c r="F1304" s="116" t="inlineStr">
        <is>
          <t>Giorno</t>
        </is>
      </c>
      <c r="G1304" s="116" t="inlineStr">
        <is>
          <t>Data</t>
        </is>
      </c>
      <c r="H1304" s="116" t="inlineStr">
        <is>
          <t>Ora</t>
        </is>
      </c>
      <c r="I1304" s="10" t="n"/>
      <c r="J1304" s="116" t="inlineStr">
        <is>
          <t>Risultato</t>
        </is>
      </c>
      <c r="K1304" s="9" t="n"/>
      <c r="L1304" s="10" t="n"/>
      <c r="M1304" s="211" t="inlineStr">
        <is>
          <t>1o Arbitro</t>
        </is>
      </c>
      <c r="N1304" s="211" t="inlineStr">
        <is>
          <t>2o Arbitro</t>
        </is>
      </c>
      <c r="O1304" s="211" t="inlineStr">
        <is>
          <t>3o Arbitro/Tirocinante</t>
        </is>
      </c>
      <c r="P1304" s="211" t="inlineStr">
        <is>
          <t>Referto</t>
        </is>
      </c>
      <c r="Q1304" s="211" t="inlineStr">
        <is>
          <t>Cronometro</t>
        </is>
      </c>
      <c r="R1304" s="211" t="inlineStr">
        <is>
          <t>Foglio Tiri</t>
        </is>
      </c>
    </row>
    <row r="1305" ht="22" customHeight="1">
      <c r="A1305" s="118">
        <f>IF('Calendario H'!A115="","",'Calendario H'!A115)</f>
        <v/>
      </c>
      <c r="B1305" s="61">
        <f>IF('Calendario H'!B115="","",'Calendario H'!B115)</f>
        <v/>
      </c>
      <c r="C1305" s="62">
        <f>IF('Calendario H'!C115="","",'Calendario H'!C115)</f>
        <v/>
      </c>
      <c r="D1305" s="61">
        <f>IF('Calendario H'!D115="","",'Calendario H'!D115)</f>
        <v/>
      </c>
      <c r="E1305" s="62">
        <f>IF('Calendario H'!E115="","",'Calendario H'!E115)</f>
        <v/>
      </c>
      <c r="F1305" s="63">
        <f>IF('Calendario H'!F115="","",'Calendario H'!F115)</f>
        <v/>
      </c>
      <c r="G1305" s="9" t="n"/>
      <c r="H1305" s="9" t="n"/>
      <c r="I1305" s="10" t="n"/>
      <c r="J1305" s="195">
        <f>IF('Calendario H'!J115="","",'Calendario H'!J115)</f>
        <v/>
      </c>
      <c r="K1305" s="64" t="inlineStr">
        <is>
          <t>-</t>
        </is>
      </c>
      <c r="L1305" s="195">
        <f>IF('Calendario H'!L115="","",'Calendario H'!L115)</f>
        <v/>
      </c>
      <c r="M1305" s="196" t="n"/>
      <c r="N1305" s="196" t="n"/>
      <c r="O1305" s="196" t="n"/>
      <c r="P1305" s="196" t="n"/>
      <c r="Q1305" s="196" t="n"/>
      <c r="R1305" s="196" t="n"/>
    </row>
    <row r="1306" ht="15" customHeight="1">
      <c r="A1306" s="141" t="n"/>
      <c r="B1306" s="69">
        <f>IF('Calendario H'!B116="","",'Calendario H'!B116)</f>
        <v/>
      </c>
      <c r="C1306" s="9" t="n"/>
      <c r="D1306" s="9" t="n"/>
      <c r="E1306" s="9" t="n"/>
      <c r="F1306" s="9" t="n"/>
      <c r="G1306" s="9" t="n"/>
      <c r="H1306" s="10" t="n"/>
      <c r="I1306" s="62">
        <f>IF('Calendario H'!I116="","",'Calendario H'!I116)</f>
        <v/>
      </c>
      <c r="J1306" s="141" t="n"/>
      <c r="K1306" s="141" t="n"/>
      <c r="L1306" s="141" t="n"/>
      <c r="M1306" s="141" t="n"/>
      <c r="N1306" s="141" t="n"/>
      <c r="O1306" s="141" t="n"/>
      <c r="P1306" s="141" t="n"/>
      <c r="Q1306" s="141" t="n"/>
      <c r="R1306" s="141" t="n"/>
    </row>
    <row r="1307" ht="14" customHeight="1">
      <c r="A1307" s="116" t="inlineStr">
        <is>
          <t>Gara N.</t>
        </is>
      </c>
      <c r="B1307" s="116" t="inlineStr">
        <is>
          <t>Squadra A</t>
        </is>
      </c>
      <c r="C1307" s="10" t="n"/>
      <c r="D1307" s="116" t="inlineStr">
        <is>
          <t>Squadra B</t>
        </is>
      </c>
      <c r="E1307" s="10" t="n"/>
      <c r="F1307" s="116" t="inlineStr">
        <is>
          <t>Giorno</t>
        </is>
      </c>
      <c r="G1307" s="116" t="inlineStr">
        <is>
          <t>Data</t>
        </is>
      </c>
      <c r="H1307" s="116" t="inlineStr">
        <is>
          <t>Ora</t>
        </is>
      </c>
      <c r="I1307" s="10" t="n"/>
      <c r="J1307" s="116" t="inlineStr">
        <is>
          <t>Risultato</t>
        </is>
      </c>
      <c r="K1307" s="9" t="n"/>
      <c r="L1307" s="10" t="n"/>
      <c r="M1307" s="211" t="inlineStr">
        <is>
          <t>1o Arbitro</t>
        </is>
      </c>
      <c r="N1307" s="211" t="inlineStr">
        <is>
          <t>2o Arbitro</t>
        </is>
      </c>
      <c r="O1307" s="211" t="inlineStr">
        <is>
          <t>3o Arbitro/Tirocinante</t>
        </is>
      </c>
      <c r="P1307" s="211" t="inlineStr">
        <is>
          <t>Referto</t>
        </is>
      </c>
      <c r="Q1307" s="211" t="inlineStr">
        <is>
          <t>Cronometro</t>
        </is>
      </c>
      <c r="R1307" s="211" t="inlineStr">
        <is>
          <t>Foglio Tiri</t>
        </is>
      </c>
    </row>
    <row r="1308" ht="22" customHeight="1">
      <c r="A1308" s="118">
        <f>IF('Calendario H'!A118="","",'Calendario H'!A118)</f>
        <v/>
      </c>
      <c r="B1308" s="61">
        <f>IF('Calendario H'!B118="","",'Calendario H'!B118)</f>
        <v/>
      </c>
      <c r="C1308" s="62">
        <f>IF('Calendario H'!C118="","",'Calendario H'!C118)</f>
        <v/>
      </c>
      <c r="D1308" s="61">
        <f>IF('Calendario H'!D118="","",'Calendario H'!D118)</f>
        <v/>
      </c>
      <c r="E1308" s="62">
        <f>IF('Calendario H'!E118="","",'Calendario H'!E118)</f>
        <v/>
      </c>
      <c r="F1308" s="63">
        <f>IF('Calendario H'!F118="","",'Calendario H'!F118)</f>
        <v/>
      </c>
      <c r="G1308" s="9" t="n"/>
      <c r="H1308" s="9" t="n"/>
      <c r="I1308" s="10" t="n"/>
      <c r="J1308" s="195">
        <f>IF('Calendario H'!J118="","",'Calendario H'!J118)</f>
        <v/>
      </c>
      <c r="K1308" s="64" t="inlineStr">
        <is>
          <t>-</t>
        </is>
      </c>
      <c r="L1308" s="195">
        <f>IF('Calendario H'!L118="","",'Calendario H'!L118)</f>
        <v/>
      </c>
      <c r="M1308" s="196" t="n"/>
      <c r="N1308" s="196" t="n"/>
      <c r="O1308" s="196" t="n"/>
      <c r="P1308" s="196" t="n"/>
      <c r="Q1308" s="196" t="n"/>
      <c r="R1308" s="196" t="n"/>
    </row>
    <row r="1309" ht="15" customHeight="1">
      <c r="A1309" s="141" t="n"/>
      <c r="B1309" s="69">
        <f>IF('Calendario H'!B119="","",'Calendario H'!B119)</f>
        <v/>
      </c>
      <c r="C1309" s="9" t="n"/>
      <c r="D1309" s="9" t="n"/>
      <c r="E1309" s="9" t="n"/>
      <c r="F1309" s="9" t="n"/>
      <c r="G1309" s="9" t="n"/>
      <c r="H1309" s="10" t="n"/>
      <c r="I1309" s="62">
        <f>IF('Calendario H'!I119="","",'Calendario H'!I119)</f>
        <v/>
      </c>
      <c r="J1309" s="141" t="n"/>
      <c r="K1309" s="141" t="n"/>
      <c r="L1309" s="141" t="n"/>
      <c r="M1309" s="141" t="n"/>
      <c r="N1309" s="141" t="n"/>
      <c r="O1309" s="141" t="n"/>
      <c r="P1309" s="141" t="n"/>
      <c r="Q1309" s="141" t="n"/>
      <c r="R1309" s="141" t="n"/>
    </row>
    <row r="1310" ht="14" customHeight="1">
      <c r="A1310" s="116" t="inlineStr">
        <is>
          <t>Gara N.</t>
        </is>
      </c>
      <c r="B1310" s="116" t="inlineStr">
        <is>
          <t>Squadra A</t>
        </is>
      </c>
      <c r="C1310" s="10" t="n"/>
      <c r="D1310" s="116" t="inlineStr">
        <is>
          <t>Squadra B</t>
        </is>
      </c>
      <c r="E1310" s="10" t="n"/>
      <c r="F1310" s="116" t="inlineStr">
        <is>
          <t>Giorno</t>
        </is>
      </c>
      <c r="G1310" s="116" t="inlineStr">
        <is>
          <t>Data</t>
        </is>
      </c>
      <c r="H1310" s="116" t="inlineStr">
        <is>
          <t>Ora</t>
        </is>
      </c>
      <c r="I1310" s="10" t="n"/>
      <c r="J1310" s="116" t="inlineStr">
        <is>
          <t>Risultato</t>
        </is>
      </c>
      <c r="K1310" s="9" t="n"/>
      <c r="L1310" s="10" t="n"/>
      <c r="M1310" s="211" t="inlineStr">
        <is>
          <t>1o Arbitro</t>
        </is>
      </c>
      <c r="N1310" s="211" t="inlineStr">
        <is>
          <t>2o Arbitro</t>
        </is>
      </c>
      <c r="O1310" s="211" t="inlineStr">
        <is>
          <t>3o Arbitro/Tirocinante</t>
        </is>
      </c>
      <c r="P1310" s="211" t="inlineStr">
        <is>
          <t>Referto</t>
        </is>
      </c>
      <c r="Q1310" s="211" t="inlineStr">
        <is>
          <t>Cronometro</t>
        </is>
      </c>
      <c r="R1310" s="211" t="inlineStr">
        <is>
          <t>Foglio Tiri</t>
        </is>
      </c>
    </row>
    <row r="1311" ht="22" customHeight="1">
      <c r="A1311" s="118">
        <f>IF('Calendario H'!A121="","",'Calendario H'!A121)</f>
        <v/>
      </c>
      <c r="B1311" s="61">
        <f>IF('Calendario H'!B121="","",'Calendario H'!B121)</f>
        <v/>
      </c>
      <c r="C1311" s="62">
        <f>IF('Calendario H'!C121="","",'Calendario H'!C121)</f>
        <v/>
      </c>
      <c r="D1311" s="61">
        <f>IF('Calendario H'!D121="","",'Calendario H'!D121)</f>
        <v/>
      </c>
      <c r="E1311" s="62">
        <f>IF('Calendario H'!E121="","",'Calendario H'!E121)</f>
        <v/>
      </c>
      <c r="F1311" s="63">
        <f>IF('Calendario H'!F121="","",'Calendario H'!F121)</f>
        <v/>
      </c>
      <c r="G1311" s="9" t="n"/>
      <c r="H1311" s="9" t="n"/>
      <c r="I1311" s="10" t="n"/>
      <c r="J1311" s="195">
        <f>IF('Calendario H'!J121="","",'Calendario H'!J121)</f>
        <v/>
      </c>
      <c r="K1311" s="64" t="inlineStr">
        <is>
          <t>-</t>
        </is>
      </c>
      <c r="L1311" s="195">
        <f>IF('Calendario H'!L121="","",'Calendario H'!L121)</f>
        <v/>
      </c>
      <c r="M1311" s="196" t="n"/>
      <c r="N1311" s="196" t="n"/>
      <c r="O1311" s="196" t="n"/>
      <c r="P1311" s="196" t="n"/>
      <c r="Q1311" s="196" t="n"/>
      <c r="R1311" s="196" t="n"/>
    </row>
    <row r="1312" ht="15" customHeight="1">
      <c r="A1312" s="141" t="n"/>
      <c r="B1312" s="69">
        <f>IF('Calendario H'!B122="","",'Calendario H'!B122)</f>
        <v/>
      </c>
      <c r="C1312" s="9" t="n"/>
      <c r="D1312" s="9" t="n"/>
      <c r="E1312" s="9" t="n"/>
      <c r="F1312" s="9" t="n"/>
      <c r="G1312" s="9" t="n"/>
      <c r="H1312" s="10" t="n"/>
      <c r="I1312" s="62">
        <f>IF('Calendario H'!I122="","",'Calendario H'!I122)</f>
        <v/>
      </c>
      <c r="J1312" s="141" t="n"/>
      <c r="K1312" s="141" t="n"/>
      <c r="L1312" s="141" t="n"/>
      <c r="M1312" s="141" t="n"/>
      <c r="N1312" s="141" t="n"/>
      <c r="O1312" s="141" t="n"/>
      <c r="P1312" s="141" t="n"/>
      <c r="Q1312" s="141" t="n"/>
      <c r="R1312" s="141" t="n"/>
    </row>
    <row r="1313" ht="14" customHeight="1">
      <c r="A1313" s="116" t="inlineStr">
        <is>
          <t>Gara N.</t>
        </is>
      </c>
      <c r="B1313" s="116" t="inlineStr">
        <is>
          <t>Squadra A</t>
        </is>
      </c>
      <c r="C1313" s="10" t="n"/>
      <c r="D1313" s="116" t="inlineStr">
        <is>
          <t>Squadra B</t>
        </is>
      </c>
      <c r="E1313" s="10" t="n"/>
      <c r="F1313" s="116" t="inlineStr">
        <is>
          <t>Giorno</t>
        </is>
      </c>
      <c r="G1313" s="116" t="inlineStr">
        <is>
          <t>Data</t>
        </is>
      </c>
      <c r="H1313" s="116" t="inlineStr">
        <is>
          <t>Ora</t>
        </is>
      </c>
      <c r="I1313" s="10" t="n"/>
      <c r="J1313" s="116" t="inlineStr">
        <is>
          <t>Risultato</t>
        </is>
      </c>
      <c r="K1313" s="9" t="n"/>
      <c r="L1313" s="10" t="n"/>
      <c r="M1313" s="211" t="inlineStr">
        <is>
          <t>1o Arbitro</t>
        </is>
      </c>
      <c r="N1313" s="211" t="inlineStr">
        <is>
          <t>2o Arbitro</t>
        </is>
      </c>
      <c r="O1313" s="211" t="inlineStr">
        <is>
          <t>3o Arbitro/Tirocinante</t>
        </is>
      </c>
      <c r="P1313" s="211" t="inlineStr">
        <is>
          <t>Referto</t>
        </is>
      </c>
      <c r="Q1313" s="211" t="inlineStr">
        <is>
          <t>Cronometro</t>
        </is>
      </c>
      <c r="R1313" s="211" t="inlineStr">
        <is>
          <t>Foglio Tiri</t>
        </is>
      </c>
    </row>
    <row r="1314" ht="22" customHeight="1">
      <c r="A1314" s="118">
        <f>IF('Calendario H'!A124="","",'Calendario H'!A124)</f>
        <v/>
      </c>
      <c r="B1314" s="61">
        <f>IF('Calendario H'!B124="","",'Calendario H'!B124)</f>
        <v/>
      </c>
      <c r="C1314" s="62">
        <f>IF('Calendario H'!C124="","",'Calendario H'!C124)</f>
        <v/>
      </c>
      <c r="D1314" s="61">
        <f>IF('Calendario H'!D124="","",'Calendario H'!D124)</f>
        <v/>
      </c>
      <c r="E1314" s="62">
        <f>IF('Calendario H'!E124="","",'Calendario H'!E124)</f>
        <v/>
      </c>
      <c r="F1314" s="63">
        <f>IF('Calendario H'!F124="","",'Calendario H'!F124)</f>
        <v/>
      </c>
      <c r="G1314" s="9" t="n"/>
      <c r="H1314" s="9" t="n"/>
      <c r="I1314" s="10" t="n"/>
      <c r="J1314" s="195">
        <f>IF('Calendario H'!J124="","",'Calendario H'!J124)</f>
        <v/>
      </c>
      <c r="K1314" s="64" t="inlineStr">
        <is>
          <t>-</t>
        </is>
      </c>
      <c r="L1314" s="195">
        <f>IF('Calendario H'!L124="","",'Calendario H'!L124)</f>
        <v/>
      </c>
      <c r="M1314" s="196" t="n"/>
      <c r="N1314" s="196" t="n"/>
      <c r="O1314" s="196" t="n"/>
      <c r="P1314" s="196" t="n"/>
      <c r="Q1314" s="196" t="n"/>
      <c r="R1314" s="196" t="n"/>
    </row>
    <row r="1315" ht="15" customHeight="1">
      <c r="A1315" s="141" t="n"/>
      <c r="B1315" s="69">
        <f>IF('Calendario H'!B125="","",'Calendario H'!B125)</f>
        <v/>
      </c>
      <c r="C1315" s="9" t="n"/>
      <c r="D1315" s="9" t="n"/>
      <c r="E1315" s="9" t="n"/>
      <c r="F1315" s="9" t="n"/>
      <c r="G1315" s="9" t="n"/>
      <c r="H1315" s="10" t="n"/>
      <c r="I1315" s="62">
        <f>IF('Calendario H'!I125="","",'Calendario H'!I125)</f>
        <v/>
      </c>
      <c r="J1315" s="141" t="n"/>
      <c r="K1315" s="141" t="n"/>
      <c r="L1315" s="141" t="n"/>
      <c r="M1315" s="141" t="n"/>
      <c r="N1315" s="141" t="n"/>
      <c r="O1315" s="141" t="n"/>
      <c r="P1315" s="141" t="n"/>
      <c r="Q1315" s="141" t="n"/>
      <c r="R1315" s="141" t="n"/>
    </row>
    <row r="1317" ht="20" customHeight="1">
      <c r="A1317" s="113">
        <f>IF('Calendario H'!A127="","",'Calendario H'!A127)</f>
        <v/>
      </c>
      <c r="B1317" s="114">
        <f>IF('Calendario H'!B127="","",'Calendario H'!B127)</f>
        <v/>
      </c>
      <c r="C1317" s="9" t="n"/>
      <c r="D1317" s="9" t="n"/>
      <c r="E1317" s="9" t="n"/>
      <c r="F1317" s="9" t="n"/>
      <c r="G1317" s="9" t="n"/>
      <c r="H1317" s="9" t="n"/>
      <c r="I1317" s="9" t="n"/>
      <c r="J1317" s="9" t="n"/>
      <c r="K1317" s="9" t="n"/>
      <c r="L1317" s="10" t="n"/>
      <c r="M1317" s="210" t="inlineStr">
        <is>
          <t>ARBITRI</t>
        </is>
      </c>
      <c r="N1317" s="9" t="n"/>
      <c r="O1317" s="10" t="n"/>
      <c r="P1317" s="210" t="inlineStr">
        <is>
          <t>UFFICIALI DI CAMPO</t>
        </is>
      </c>
      <c r="Q1317" s="9" t="n"/>
      <c r="R1317" s="10" t="n"/>
    </row>
    <row r="1318" ht="14" customHeight="1">
      <c r="A1318" s="116" t="inlineStr">
        <is>
          <t>Gara N.</t>
        </is>
      </c>
      <c r="B1318" s="116" t="inlineStr">
        <is>
          <t>Squadra A</t>
        </is>
      </c>
      <c r="C1318" s="10" t="n"/>
      <c r="D1318" s="116" t="inlineStr">
        <is>
          <t>Squadra B</t>
        </is>
      </c>
      <c r="E1318" s="10" t="n"/>
      <c r="F1318" s="116" t="inlineStr">
        <is>
          <t>Giorno</t>
        </is>
      </c>
      <c r="G1318" s="116" t="inlineStr">
        <is>
          <t>Data</t>
        </is>
      </c>
      <c r="H1318" s="116" t="inlineStr">
        <is>
          <t>Ora</t>
        </is>
      </c>
      <c r="I1318" s="10" t="n"/>
      <c r="J1318" s="116" t="inlineStr">
        <is>
          <t>Risultato</t>
        </is>
      </c>
      <c r="K1318" s="9" t="n"/>
      <c r="L1318" s="10" t="n"/>
      <c r="M1318" s="211" t="inlineStr">
        <is>
          <t>1o Arbitro</t>
        </is>
      </c>
      <c r="N1318" s="211" t="inlineStr">
        <is>
          <t>2o Arbitro</t>
        </is>
      </c>
      <c r="O1318" s="211" t="inlineStr">
        <is>
          <t>3o Arbitro/Tirocinante</t>
        </is>
      </c>
      <c r="P1318" s="211" t="inlineStr">
        <is>
          <t>Referto</t>
        </is>
      </c>
      <c r="Q1318" s="211" t="inlineStr">
        <is>
          <t>Cronometro</t>
        </is>
      </c>
      <c r="R1318" s="211" t="inlineStr">
        <is>
          <t>Foglio Tiri</t>
        </is>
      </c>
    </row>
    <row r="1319" ht="22" customHeight="1">
      <c r="A1319" s="118">
        <f>IF('Calendario H'!A129="","",'Calendario H'!A129)</f>
        <v/>
      </c>
      <c r="B1319" s="61">
        <f>IF('Calendario H'!B129="","",'Calendario H'!B129)</f>
        <v/>
      </c>
      <c r="C1319" s="62">
        <f>IF('Calendario H'!C129="","",'Calendario H'!C129)</f>
        <v/>
      </c>
      <c r="D1319" s="61">
        <f>IF('Calendario H'!D129="","",'Calendario H'!D129)</f>
        <v/>
      </c>
      <c r="E1319" s="62">
        <f>IF('Calendario H'!E129="","",'Calendario H'!E129)</f>
        <v/>
      </c>
      <c r="F1319" s="63">
        <f>IF('Calendario H'!F129="","",'Calendario H'!F129)</f>
        <v/>
      </c>
      <c r="G1319" s="9" t="n"/>
      <c r="H1319" s="9" t="n"/>
      <c r="I1319" s="10" t="n"/>
      <c r="J1319" s="195">
        <f>IF('Calendario H'!J129="","",'Calendario H'!J129)</f>
        <v/>
      </c>
      <c r="K1319" s="64" t="inlineStr">
        <is>
          <t>-</t>
        </is>
      </c>
      <c r="L1319" s="195">
        <f>IF('Calendario H'!L129="","",'Calendario H'!L129)</f>
        <v/>
      </c>
      <c r="M1319" s="196" t="n"/>
      <c r="N1319" s="196" t="n"/>
      <c r="O1319" s="196" t="n"/>
      <c r="P1319" s="196" t="n"/>
      <c r="Q1319" s="196" t="n"/>
      <c r="R1319" s="196" t="n"/>
    </row>
    <row r="1320" ht="15" customHeight="1">
      <c r="A1320" s="141" t="n"/>
      <c r="B1320" s="69">
        <f>IF('Calendario H'!B130="","",'Calendario H'!B130)</f>
        <v/>
      </c>
      <c r="C1320" s="9" t="n"/>
      <c r="D1320" s="9" t="n"/>
      <c r="E1320" s="9" t="n"/>
      <c r="F1320" s="9" t="n"/>
      <c r="G1320" s="9" t="n"/>
      <c r="H1320" s="10" t="n"/>
      <c r="I1320" s="62">
        <f>IF('Calendario H'!I130="","",'Calendario H'!I130)</f>
        <v/>
      </c>
      <c r="J1320" s="141" t="n"/>
      <c r="K1320" s="141" t="n"/>
      <c r="L1320" s="141" t="n"/>
      <c r="M1320" s="141" t="n"/>
      <c r="N1320" s="141" t="n"/>
      <c r="O1320" s="141" t="n"/>
      <c r="P1320" s="141" t="n"/>
      <c r="Q1320" s="141" t="n"/>
      <c r="R1320" s="141" t="n"/>
    </row>
    <row r="1321" ht="14" customHeight="1">
      <c r="A1321" s="116" t="inlineStr">
        <is>
          <t>Gara N.</t>
        </is>
      </c>
      <c r="B1321" s="116" t="inlineStr">
        <is>
          <t>Squadra A</t>
        </is>
      </c>
      <c r="C1321" s="10" t="n"/>
      <c r="D1321" s="116" t="inlineStr">
        <is>
          <t>Squadra B</t>
        </is>
      </c>
      <c r="E1321" s="10" t="n"/>
      <c r="F1321" s="116" t="inlineStr">
        <is>
          <t>Giorno</t>
        </is>
      </c>
      <c r="G1321" s="116" t="inlineStr">
        <is>
          <t>Data</t>
        </is>
      </c>
      <c r="H1321" s="116" t="inlineStr">
        <is>
          <t>Ora</t>
        </is>
      </c>
      <c r="I1321" s="10" t="n"/>
      <c r="J1321" s="116" t="inlineStr">
        <is>
          <t>Risultato</t>
        </is>
      </c>
      <c r="K1321" s="9" t="n"/>
      <c r="L1321" s="10" t="n"/>
      <c r="M1321" s="211" t="inlineStr">
        <is>
          <t>1o Arbitro</t>
        </is>
      </c>
      <c r="N1321" s="211" t="inlineStr">
        <is>
          <t>2o Arbitro</t>
        </is>
      </c>
      <c r="O1321" s="211" t="inlineStr">
        <is>
          <t>3o Arbitro/Tirocinante</t>
        </is>
      </c>
      <c r="P1321" s="211" t="inlineStr">
        <is>
          <t>Referto</t>
        </is>
      </c>
      <c r="Q1321" s="211" t="inlineStr">
        <is>
          <t>Cronometro</t>
        </is>
      </c>
      <c r="R1321" s="211" t="inlineStr">
        <is>
          <t>Foglio Tiri</t>
        </is>
      </c>
    </row>
    <row r="1322" ht="22" customHeight="1">
      <c r="A1322" s="118">
        <f>IF('Calendario H'!A132="","",'Calendario H'!A132)</f>
        <v/>
      </c>
      <c r="B1322" s="61">
        <f>IF('Calendario H'!B132="","",'Calendario H'!B132)</f>
        <v/>
      </c>
      <c r="C1322" s="62">
        <f>IF('Calendario H'!C132="","",'Calendario H'!C132)</f>
        <v/>
      </c>
      <c r="D1322" s="61">
        <f>IF('Calendario H'!D132="","",'Calendario H'!D132)</f>
        <v/>
      </c>
      <c r="E1322" s="62">
        <f>IF('Calendario H'!E132="","",'Calendario H'!E132)</f>
        <v/>
      </c>
      <c r="F1322" s="63">
        <f>IF('Calendario H'!F132="","",'Calendario H'!F132)</f>
        <v/>
      </c>
      <c r="G1322" s="9" t="n"/>
      <c r="H1322" s="9" t="n"/>
      <c r="I1322" s="10" t="n"/>
      <c r="J1322" s="195">
        <f>IF('Calendario H'!J132="","",'Calendario H'!J132)</f>
        <v/>
      </c>
      <c r="K1322" s="64" t="inlineStr">
        <is>
          <t>-</t>
        </is>
      </c>
      <c r="L1322" s="195">
        <f>IF('Calendario H'!L132="","",'Calendario H'!L132)</f>
        <v/>
      </c>
      <c r="M1322" s="196" t="n"/>
      <c r="N1322" s="196" t="n"/>
      <c r="O1322" s="196" t="n"/>
      <c r="P1322" s="196" t="n"/>
      <c r="Q1322" s="196" t="n"/>
      <c r="R1322" s="196" t="n"/>
    </row>
    <row r="1323" ht="15" customHeight="1">
      <c r="A1323" s="141" t="n"/>
      <c r="B1323" s="69">
        <f>IF('Calendario H'!B133="","",'Calendario H'!B133)</f>
        <v/>
      </c>
      <c r="C1323" s="9" t="n"/>
      <c r="D1323" s="9" t="n"/>
      <c r="E1323" s="9" t="n"/>
      <c r="F1323" s="9" t="n"/>
      <c r="G1323" s="9" t="n"/>
      <c r="H1323" s="10" t="n"/>
      <c r="I1323" s="62">
        <f>IF('Calendario H'!I133="","",'Calendario H'!I133)</f>
        <v/>
      </c>
      <c r="J1323" s="141" t="n"/>
      <c r="K1323" s="141" t="n"/>
      <c r="L1323" s="141" t="n"/>
      <c r="M1323" s="141" t="n"/>
      <c r="N1323" s="141" t="n"/>
      <c r="O1323" s="141" t="n"/>
      <c r="P1323" s="141" t="n"/>
      <c r="Q1323" s="141" t="n"/>
      <c r="R1323" s="141" t="n"/>
    </row>
    <row r="1324" ht="14" customHeight="1">
      <c r="A1324" s="116" t="inlineStr">
        <is>
          <t>Gara N.</t>
        </is>
      </c>
      <c r="B1324" s="116" t="inlineStr">
        <is>
          <t>Squadra A</t>
        </is>
      </c>
      <c r="C1324" s="10" t="n"/>
      <c r="D1324" s="116" t="inlineStr">
        <is>
          <t>Squadra B</t>
        </is>
      </c>
      <c r="E1324" s="10" t="n"/>
      <c r="F1324" s="116" t="inlineStr">
        <is>
          <t>Giorno</t>
        </is>
      </c>
      <c r="G1324" s="116" t="inlineStr">
        <is>
          <t>Data</t>
        </is>
      </c>
      <c r="H1324" s="116" t="inlineStr">
        <is>
          <t>Ora</t>
        </is>
      </c>
      <c r="I1324" s="10" t="n"/>
      <c r="J1324" s="116" t="inlineStr">
        <is>
          <t>Risultato</t>
        </is>
      </c>
      <c r="K1324" s="9" t="n"/>
      <c r="L1324" s="10" t="n"/>
      <c r="M1324" s="211" t="inlineStr">
        <is>
          <t>1o Arbitro</t>
        </is>
      </c>
      <c r="N1324" s="211" t="inlineStr">
        <is>
          <t>2o Arbitro</t>
        </is>
      </c>
      <c r="O1324" s="211" t="inlineStr">
        <is>
          <t>3o Arbitro/Tirocinante</t>
        </is>
      </c>
      <c r="P1324" s="211" t="inlineStr">
        <is>
          <t>Referto</t>
        </is>
      </c>
      <c r="Q1324" s="211" t="inlineStr">
        <is>
          <t>Cronometro</t>
        </is>
      </c>
      <c r="R1324" s="211" t="inlineStr">
        <is>
          <t>Foglio Tiri</t>
        </is>
      </c>
    </row>
    <row r="1325" ht="22" customHeight="1">
      <c r="A1325" s="118">
        <f>IF('Calendario H'!A135="","",'Calendario H'!A135)</f>
        <v/>
      </c>
      <c r="B1325" s="61">
        <f>IF('Calendario H'!B135="","",'Calendario H'!B135)</f>
        <v/>
      </c>
      <c r="C1325" s="62">
        <f>IF('Calendario H'!C135="","",'Calendario H'!C135)</f>
        <v/>
      </c>
      <c r="D1325" s="61">
        <f>IF('Calendario H'!D135="","",'Calendario H'!D135)</f>
        <v/>
      </c>
      <c r="E1325" s="62">
        <f>IF('Calendario H'!E135="","",'Calendario H'!E135)</f>
        <v/>
      </c>
      <c r="F1325" s="63">
        <f>IF('Calendario H'!F135="","",'Calendario H'!F135)</f>
        <v/>
      </c>
      <c r="G1325" s="9" t="n"/>
      <c r="H1325" s="9" t="n"/>
      <c r="I1325" s="10" t="n"/>
      <c r="J1325" s="195">
        <f>IF('Calendario H'!J135="","",'Calendario H'!J135)</f>
        <v/>
      </c>
      <c r="K1325" s="64" t="inlineStr">
        <is>
          <t>-</t>
        </is>
      </c>
      <c r="L1325" s="195">
        <f>IF('Calendario H'!L135="","",'Calendario H'!L135)</f>
        <v/>
      </c>
      <c r="M1325" s="196" t="n"/>
      <c r="N1325" s="196" t="n"/>
      <c r="O1325" s="196" t="n"/>
      <c r="P1325" s="196" t="n"/>
      <c r="Q1325" s="196" t="n"/>
      <c r="R1325" s="196" t="n"/>
    </row>
    <row r="1326" ht="15" customHeight="1">
      <c r="A1326" s="141" t="n"/>
      <c r="B1326" s="69">
        <f>IF('Calendario H'!B136="","",'Calendario H'!B136)</f>
        <v/>
      </c>
      <c r="C1326" s="9" t="n"/>
      <c r="D1326" s="9" t="n"/>
      <c r="E1326" s="9" t="n"/>
      <c r="F1326" s="9" t="n"/>
      <c r="G1326" s="9" t="n"/>
      <c r="H1326" s="10" t="n"/>
      <c r="I1326" s="62">
        <f>IF('Calendario H'!I136="","",'Calendario H'!I136)</f>
        <v/>
      </c>
      <c r="J1326" s="141" t="n"/>
      <c r="K1326" s="141" t="n"/>
      <c r="L1326" s="141" t="n"/>
      <c r="M1326" s="141" t="n"/>
      <c r="N1326" s="141" t="n"/>
      <c r="O1326" s="141" t="n"/>
      <c r="P1326" s="141" t="n"/>
      <c r="Q1326" s="141" t="n"/>
      <c r="R1326" s="141" t="n"/>
    </row>
    <row r="1327" ht="14" customHeight="1">
      <c r="A1327" s="116" t="inlineStr">
        <is>
          <t>Gara N.</t>
        </is>
      </c>
      <c r="B1327" s="116" t="inlineStr">
        <is>
          <t>Squadra A</t>
        </is>
      </c>
      <c r="C1327" s="10" t="n"/>
      <c r="D1327" s="116" t="inlineStr">
        <is>
          <t>Squadra B</t>
        </is>
      </c>
      <c r="E1327" s="10" t="n"/>
      <c r="F1327" s="116" t="inlineStr">
        <is>
          <t>Giorno</t>
        </is>
      </c>
      <c r="G1327" s="116" t="inlineStr">
        <is>
          <t>Data</t>
        </is>
      </c>
      <c r="H1327" s="116" t="inlineStr">
        <is>
          <t>Ora</t>
        </is>
      </c>
      <c r="I1327" s="10" t="n"/>
      <c r="J1327" s="116" t="inlineStr">
        <is>
          <t>Risultato</t>
        </is>
      </c>
      <c r="K1327" s="9" t="n"/>
      <c r="L1327" s="10" t="n"/>
      <c r="M1327" s="211" t="inlineStr">
        <is>
          <t>1o Arbitro</t>
        </is>
      </c>
      <c r="N1327" s="211" t="inlineStr">
        <is>
          <t>2o Arbitro</t>
        </is>
      </c>
      <c r="O1327" s="211" t="inlineStr">
        <is>
          <t>3o Arbitro/Tirocinante</t>
        </is>
      </c>
      <c r="P1327" s="211" t="inlineStr">
        <is>
          <t>Referto</t>
        </is>
      </c>
      <c r="Q1327" s="211" t="inlineStr">
        <is>
          <t>Cronometro</t>
        </is>
      </c>
      <c r="R1327" s="211" t="inlineStr">
        <is>
          <t>Foglio Tiri</t>
        </is>
      </c>
    </row>
    <row r="1328" ht="22" customHeight="1">
      <c r="A1328" s="118">
        <f>IF('Calendario H'!A138="","",'Calendario H'!A138)</f>
        <v/>
      </c>
      <c r="B1328" s="61">
        <f>IF('Calendario H'!B138="","",'Calendario H'!B138)</f>
        <v/>
      </c>
      <c r="C1328" s="62">
        <f>IF('Calendario H'!C138="","",'Calendario H'!C138)</f>
        <v/>
      </c>
      <c r="D1328" s="61">
        <f>IF('Calendario H'!D138="","",'Calendario H'!D138)</f>
        <v/>
      </c>
      <c r="E1328" s="62">
        <f>IF('Calendario H'!E138="","",'Calendario H'!E138)</f>
        <v/>
      </c>
      <c r="F1328" s="63">
        <f>IF('Calendario H'!F138="","",'Calendario H'!F138)</f>
        <v/>
      </c>
      <c r="G1328" s="9" t="n"/>
      <c r="H1328" s="9" t="n"/>
      <c r="I1328" s="10" t="n"/>
      <c r="J1328" s="195">
        <f>IF('Calendario H'!J138="","",'Calendario H'!J138)</f>
        <v/>
      </c>
      <c r="K1328" s="64" t="inlineStr">
        <is>
          <t>-</t>
        </is>
      </c>
      <c r="L1328" s="195">
        <f>IF('Calendario H'!L138="","",'Calendario H'!L138)</f>
        <v/>
      </c>
      <c r="M1328" s="196" t="n"/>
      <c r="N1328" s="196" t="n"/>
      <c r="O1328" s="196" t="n"/>
      <c r="P1328" s="196" t="n"/>
      <c r="Q1328" s="196" t="n"/>
      <c r="R1328" s="196" t="n"/>
    </row>
    <row r="1329" ht="15" customHeight="1">
      <c r="A1329" s="141" t="n"/>
      <c r="B1329" s="69">
        <f>IF('Calendario H'!B139="","",'Calendario H'!B139)</f>
        <v/>
      </c>
      <c r="C1329" s="9" t="n"/>
      <c r="D1329" s="9" t="n"/>
      <c r="E1329" s="9" t="n"/>
      <c r="F1329" s="9" t="n"/>
      <c r="G1329" s="9" t="n"/>
      <c r="H1329" s="10" t="n"/>
      <c r="I1329" s="62">
        <f>IF('Calendario H'!I139="","",'Calendario H'!I139)</f>
        <v/>
      </c>
      <c r="J1329" s="141" t="n"/>
      <c r="K1329" s="141" t="n"/>
      <c r="L1329" s="141" t="n"/>
      <c r="M1329" s="141" t="n"/>
      <c r="N1329" s="141" t="n"/>
      <c r="O1329" s="141" t="n"/>
      <c r="P1329" s="141" t="n"/>
      <c r="Q1329" s="141" t="n"/>
      <c r="R1329" s="141" t="n"/>
    </row>
    <row r="1330" ht="14" customHeight="1">
      <c r="A1330" s="116" t="inlineStr">
        <is>
          <t>Gara N.</t>
        </is>
      </c>
      <c r="B1330" s="116" t="inlineStr">
        <is>
          <t>Squadra A</t>
        </is>
      </c>
      <c r="C1330" s="10" t="n"/>
      <c r="D1330" s="116" t="inlineStr">
        <is>
          <t>Squadra B</t>
        </is>
      </c>
      <c r="E1330" s="10" t="n"/>
      <c r="F1330" s="116" t="inlineStr">
        <is>
          <t>Giorno</t>
        </is>
      </c>
      <c r="G1330" s="116" t="inlineStr">
        <is>
          <t>Data</t>
        </is>
      </c>
      <c r="H1330" s="116" t="inlineStr">
        <is>
          <t>Ora</t>
        </is>
      </c>
      <c r="I1330" s="10" t="n"/>
      <c r="J1330" s="116" t="inlineStr">
        <is>
          <t>Risultato</t>
        </is>
      </c>
      <c r="K1330" s="9" t="n"/>
      <c r="L1330" s="10" t="n"/>
      <c r="M1330" s="211" t="inlineStr">
        <is>
          <t>1o Arbitro</t>
        </is>
      </c>
      <c r="N1330" s="211" t="inlineStr">
        <is>
          <t>2o Arbitro</t>
        </is>
      </c>
      <c r="O1330" s="211" t="inlineStr">
        <is>
          <t>3o Arbitro/Tirocinante</t>
        </is>
      </c>
      <c r="P1330" s="211" t="inlineStr">
        <is>
          <t>Referto</t>
        </is>
      </c>
      <c r="Q1330" s="211" t="inlineStr">
        <is>
          <t>Cronometro</t>
        </is>
      </c>
      <c r="R1330" s="211" t="inlineStr">
        <is>
          <t>Foglio Tiri</t>
        </is>
      </c>
    </row>
    <row r="1331" ht="22" customHeight="1">
      <c r="A1331" s="118">
        <f>IF('Calendario H'!A141="","",'Calendario H'!A141)</f>
        <v/>
      </c>
      <c r="B1331" s="61">
        <f>IF('Calendario H'!B141="","",'Calendario H'!B141)</f>
        <v/>
      </c>
      <c r="C1331" s="62">
        <f>IF('Calendario H'!C141="","",'Calendario H'!C141)</f>
        <v/>
      </c>
      <c r="D1331" s="61">
        <f>IF('Calendario H'!D141="","",'Calendario H'!D141)</f>
        <v/>
      </c>
      <c r="E1331" s="62">
        <f>IF('Calendario H'!E141="","",'Calendario H'!E141)</f>
        <v/>
      </c>
      <c r="F1331" s="63">
        <f>IF('Calendario H'!F141="","",'Calendario H'!F141)</f>
        <v/>
      </c>
      <c r="G1331" s="9" t="n"/>
      <c r="H1331" s="9" t="n"/>
      <c r="I1331" s="10" t="n"/>
      <c r="J1331" s="195">
        <f>IF('Calendario H'!J141="","",'Calendario H'!J141)</f>
        <v/>
      </c>
      <c r="K1331" s="64" t="inlineStr">
        <is>
          <t>-</t>
        </is>
      </c>
      <c r="L1331" s="195">
        <f>IF('Calendario H'!L141="","",'Calendario H'!L141)</f>
        <v/>
      </c>
      <c r="M1331" s="196" t="n"/>
      <c r="N1331" s="196" t="n"/>
      <c r="O1331" s="196" t="n"/>
      <c r="P1331" s="196" t="n"/>
      <c r="Q1331" s="196" t="n"/>
      <c r="R1331" s="196" t="n"/>
    </row>
    <row r="1332" ht="15" customHeight="1">
      <c r="A1332" s="141" t="n"/>
      <c r="B1332" s="69">
        <f>IF('Calendario H'!B142="","",'Calendario H'!B142)</f>
        <v/>
      </c>
      <c r="C1332" s="9" t="n"/>
      <c r="D1332" s="9" t="n"/>
      <c r="E1332" s="9" t="n"/>
      <c r="F1332" s="9" t="n"/>
      <c r="G1332" s="9" t="n"/>
      <c r="H1332" s="10" t="n"/>
      <c r="I1332" s="62">
        <f>IF('Calendario H'!I142="","",'Calendario H'!I142)</f>
        <v/>
      </c>
      <c r="J1332" s="141" t="n"/>
      <c r="K1332" s="141" t="n"/>
      <c r="L1332" s="141" t="n"/>
      <c r="M1332" s="141" t="n"/>
      <c r="N1332" s="141" t="n"/>
      <c r="O1332" s="141" t="n"/>
      <c r="P1332" s="141" t="n"/>
      <c r="Q1332" s="141" t="n"/>
      <c r="R1332" s="141" t="n"/>
    </row>
    <row r="1334" ht="20" customHeight="1">
      <c r="A1334" s="113">
        <f>IF('Calendario H'!A144="","",'Calendario H'!A144)</f>
        <v/>
      </c>
      <c r="B1334" s="114">
        <f>IF('Calendario H'!B144="","",'Calendario H'!B144)</f>
        <v/>
      </c>
      <c r="C1334" s="9" t="n"/>
      <c r="D1334" s="9" t="n"/>
      <c r="E1334" s="9" t="n"/>
      <c r="F1334" s="9" t="n"/>
      <c r="G1334" s="9" t="n"/>
      <c r="H1334" s="9" t="n"/>
      <c r="I1334" s="9" t="n"/>
      <c r="J1334" s="9" t="n"/>
      <c r="K1334" s="9" t="n"/>
      <c r="L1334" s="10" t="n"/>
      <c r="M1334" s="210" t="inlineStr">
        <is>
          <t>ARBITRI</t>
        </is>
      </c>
      <c r="N1334" s="9" t="n"/>
      <c r="O1334" s="10" t="n"/>
      <c r="P1334" s="210" t="inlineStr">
        <is>
          <t>UFFICIALI DI CAMPO</t>
        </is>
      </c>
      <c r="Q1334" s="9" t="n"/>
      <c r="R1334" s="10" t="n"/>
    </row>
    <row r="1335" ht="14" customHeight="1">
      <c r="A1335" s="116" t="inlineStr">
        <is>
          <t>Gara N.</t>
        </is>
      </c>
      <c r="B1335" s="116" t="inlineStr">
        <is>
          <t>Squadra A</t>
        </is>
      </c>
      <c r="C1335" s="10" t="n"/>
      <c r="D1335" s="116" t="inlineStr">
        <is>
          <t>Squadra B</t>
        </is>
      </c>
      <c r="E1335" s="10" t="n"/>
      <c r="F1335" s="116" t="inlineStr">
        <is>
          <t>Giorno</t>
        </is>
      </c>
      <c r="G1335" s="116" t="inlineStr">
        <is>
          <t>Data</t>
        </is>
      </c>
      <c r="H1335" s="116" t="inlineStr">
        <is>
          <t>Ora</t>
        </is>
      </c>
      <c r="I1335" s="10" t="n"/>
      <c r="J1335" s="116" t="inlineStr">
        <is>
          <t>Risultato</t>
        </is>
      </c>
      <c r="K1335" s="9" t="n"/>
      <c r="L1335" s="10" t="n"/>
      <c r="M1335" s="211" t="inlineStr">
        <is>
          <t>1o Arbitro</t>
        </is>
      </c>
      <c r="N1335" s="211" t="inlineStr">
        <is>
          <t>2o Arbitro</t>
        </is>
      </c>
      <c r="O1335" s="211" t="inlineStr">
        <is>
          <t>3o Arbitro/Tirocinante</t>
        </is>
      </c>
      <c r="P1335" s="211" t="inlineStr">
        <is>
          <t>Referto</t>
        </is>
      </c>
      <c r="Q1335" s="211" t="inlineStr">
        <is>
          <t>Cronometro</t>
        </is>
      </c>
      <c r="R1335" s="211" t="inlineStr">
        <is>
          <t>Foglio Tiri</t>
        </is>
      </c>
    </row>
    <row r="1336" ht="22" customHeight="1">
      <c r="A1336" s="118">
        <f>IF('Calendario H'!A146="","",'Calendario H'!A146)</f>
        <v/>
      </c>
      <c r="B1336" s="61">
        <f>IF('Calendario H'!B146="","",'Calendario H'!B146)</f>
        <v/>
      </c>
      <c r="C1336" s="62">
        <f>IF('Calendario H'!C146="","",'Calendario H'!C146)</f>
        <v/>
      </c>
      <c r="D1336" s="61">
        <f>IF('Calendario H'!D146="","",'Calendario H'!D146)</f>
        <v/>
      </c>
      <c r="E1336" s="62">
        <f>IF('Calendario H'!E146="","",'Calendario H'!E146)</f>
        <v/>
      </c>
      <c r="F1336" s="63">
        <f>IF('Calendario H'!F146="","",'Calendario H'!F146)</f>
        <v/>
      </c>
      <c r="G1336" s="9" t="n"/>
      <c r="H1336" s="9" t="n"/>
      <c r="I1336" s="10" t="n"/>
      <c r="J1336" s="195">
        <f>IF('Calendario H'!J146="","",'Calendario H'!J146)</f>
        <v/>
      </c>
      <c r="K1336" s="64" t="inlineStr">
        <is>
          <t>-</t>
        </is>
      </c>
      <c r="L1336" s="195">
        <f>IF('Calendario H'!L146="","",'Calendario H'!L146)</f>
        <v/>
      </c>
      <c r="M1336" s="196" t="n"/>
      <c r="N1336" s="196" t="n"/>
      <c r="O1336" s="196" t="n"/>
      <c r="P1336" s="196" t="n"/>
      <c r="Q1336" s="196" t="n"/>
      <c r="R1336" s="196" t="n"/>
    </row>
    <row r="1337" ht="15" customHeight="1">
      <c r="A1337" s="141" t="n"/>
      <c r="B1337" s="69">
        <f>IF('Calendario H'!B147="","",'Calendario H'!B147)</f>
        <v/>
      </c>
      <c r="C1337" s="9" t="n"/>
      <c r="D1337" s="9" t="n"/>
      <c r="E1337" s="9" t="n"/>
      <c r="F1337" s="9" t="n"/>
      <c r="G1337" s="9" t="n"/>
      <c r="H1337" s="10" t="n"/>
      <c r="I1337" s="62">
        <f>IF('Calendario H'!I147="","",'Calendario H'!I147)</f>
        <v/>
      </c>
      <c r="J1337" s="141" t="n"/>
      <c r="K1337" s="141" t="n"/>
      <c r="L1337" s="141" t="n"/>
      <c r="M1337" s="141" t="n"/>
      <c r="N1337" s="141" t="n"/>
      <c r="O1337" s="141" t="n"/>
      <c r="P1337" s="141" t="n"/>
      <c r="Q1337" s="141" t="n"/>
      <c r="R1337" s="141" t="n"/>
    </row>
    <row r="1338" ht="14" customHeight="1">
      <c r="A1338" s="116" t="inlineStr">
        <is>
          <t>Gara N.</t>
        </is>
      </c>
      <c r="B1338" s="116" t="inlineStr">
        <is>
          <t>Squadra A</t>
        </is>
      </c>
      <c r="C1338" s="10" t="n"/>
      <c r="D1338" s="116" t="inlineStr">
        <is>
          <t>Squadra B</t>
        </is>
      </c>
      <c r="E1338" s="10" t="n"/>
      <c r="F1338" s="116" t="inlineStr">
        <is>
          <t>Giorno</t>
        </is>
      </c>
      <c r="G1338" s="116" t="inlineStr">
        <is>
          <t>Data</t>
        </is>
      </c>
      <c r="H1338" s="116" t="inlineStr">
        <is>
          <t>Ora</t>
        </is>
      </c>
      <c r="I1338" s="10" t="n"/>
      <c r="J1338" s="116" t="inlineStr">
        <is>
          <t>Risultato</t>
        </is>
      </c>
      <c r="K1338" s="9" t="n"/>
      <c r="L1338" s="10" t="n"/>
      <c r="M1338" s="211" t="inlineStr">
        <is>
          <t>1o Arbitro</t>
        </is>
      </c>
      <c r="N1338" s="211" t="inlineStr">
        <is>
          <t>2o Arbitro</t>
        </is>
      </c>
      <c r="O1338" s="211" t="inlineStr">
        <is>
          <t>3o Arbitro/Tirocinante</t>
        </is>
      </c>
      <c r="P1338" s="211" t="inlineStr">
        <is>
          <t>Referto</t>
        </is>
      </c>
      <c r="Q1338" s="211" t="inlineStr">
        <is>
          <t>Cronometro</t>
        </is>
      </c>
      <c r="R1338" s="211" t="inlineStr">
        <is>
          <t>Foglio Tiri</t>
        </is>
      </c>
    </row>
    <row r="1339" ht="22" customHeight="1">
      <c r="A1339" s="118">
        <f>IF('Calendario H'!A149="","",'Calendario H'!A149)</f>
        <v/>
      </c>
      <c r="B1339" s="61">
        <f>IF('Calendario H'!B149="","",'Calendario H'!B149)</f>
        <v/>
      </c>
      <c r="C1339" s="62">
        <f>IF('Calendario H'!C149="","",'Calendario H'!C149)</f>
        <v/>
      </c>
      <c r="D1339" s="61">
        <f>IF('Calendario H'!D149="","",'Calendario H'!D149)</f>
        <v/>
      </c>
      <c r="E1339" s="62">
        <f>IF('Calendario H'!E149="","",'Calendario H'!E149)</f>
        <v/>
      </c>
      <c r="F1339" s="63">
        <f>IF('Calendario H'!F149="","",'Calendario H'!F149)</f>
        <v/>
      </c>
      <c r="G1339" s="9" t="n"/>
      <c r="H1339" s="9" t="n"/>
      <c r="I1339" s="10" t="n"/>
      <c r="J1339" s="195">
        <f>IF('Calendario H'!J149="","",'Calendario H'!J149)</f>
        <v/>
      </c>
      <c r="K1339" s="64" t="inlineStr">
        <is>
          <t>-</t>
        </is>
      </c>
      <c r="L1339" s="195">
        <f>IF('Calendario H'!L149="","",'Calendario H'!L149)</f>
        <v/>
      </c>
      <c r="M1339" s="196" t="n"/>
      <c r="N1339" s="196" t="n"/>
      <c r="O1339" s="196" t="n"/>
      <c r="P1339" s="196" t="n"/>
      <c r="Q1339" s="196" t="n"/>
      <c r="R1339" s="196" t="n"/>
    </row>
    <row r="1340" ht="15" customHeight="1">
      <c r="A1340" s="141" t="n"/>
      <c r="B1340" s="69">
        <f>IF('Calendario H'!B150="","",'Calendario H'!B150)</f>
        <v/>
      </c>
      <c r="C1340" s="9" t="n"/>
      <c r="D1340" s="9" t="n"/>
      <c r="E1340" s="9" t="n"/>
      <c r="F1340" s="9" t="n"/>
      <c r="G1340" s="9" t="n"/>
      <c r="H1340" s="10" t="n"/>
      <c r="I1340" s="62">
        <f>IF('Calendario H'!I150="","",'Calendario H'!I150)</f>
        <v/>
      </c>
      <c r="J1340" s="141" t="n"/>
      <c r="K1340" s="141" t="n"/>
      <c r="L1340" s="141" t="n"/>
      <c r="M1340" s="141" t="n"/>
      <c r="N1340" s="141" t="n"/>
      <c r="O1340" s="141" t="n"/>
      <c r="P1340" s="141" t="n"/>
      <c r="Q1340" s="141" t="n"/>
      <c r="R1340" s="141" t="n"/>
    </row>
    <row r="1341" ht="14" customHeight="1">
      <c r="A1341" s="116" t="inlineStr">
        <is>
          <t>Gara N.</t>
        </is>
      </c>
      <c r="B1341" s="116" t="inlineStr">
        <is>
          <t>Squadra A</t>
        </is>
      </c>
      <c r="C1341" s="10" t="n"/>
      <c r="D1341" s="116" t="inlineStr">
        <is>
          <t>Squadra B</t>
        </is>
      </c>
      <c r="E1341" s="10" t="n"/>
      <c r="F1341" s="116" t="inlineStr">
        <is>
          <t>Giorno</t>
        </is>
      </c>
      <c r="G1341" s="116" t="inlineStr">
        <is>
          <t>Data</t>
        </is>
      </c>
      <c r="H1341" s="116" t="inlineStr">
        <is>
          <t>Ora</t>
        </is>
      </c>
      <c r="I1341" s="10" t="n"/>
      <c r="J1341" s="116" t="inlineStr">
        <is>
          <t>Risultato</t>
        </is>
      </c>
      <c r="K1341" s="9" t="n"/>
      <c r="L1341" s="10" t="n"/>
      <c r="M1341" s="211" t="inlineStr">
        <is>
          <t>1o Arbitro</t>
        </is>
      </c>
      <c r="N1341" s="211" t="inlineStr">
        <is>
          <t>2o Arbitro</t>
        </is>
      </c>
      <c r="O1341" s="211" t="inlineStr">
        <is>
          <t>3o Arbitro/Tirocinante</t>
        </is>
      </c>
      <c r="P1341" s="211" t="inlineStr">
        <is>
          <t>Referto</t>
        </is>
      </c>
      <c r="Q1341" s="211" t="inlineStr">
        <is>
          <t>Cronometro</t>
        </is>
      </c>
      <c r="R1341" s="211" t="inlineStr">
        <is>
          <t>Foglio Tiri</t>
        </is>
      </c>
    </row>
    <row r="1342" ht="22" customHeight="1">
      <c r="A1342" s="118">
        <f>IF('Calendario H'!A152="","",'Calendario H'!A152)</f>
        <v/>
      </c>
      <c r="B1342" s="61">
        <f>IF('Calendario H'!B152="","",'Calendario H'!B152)</f>
        <v/>
      </c>
      <c r="C1342" s="62">
        <f>IF('Calendario H'!C152="","",'Calendario H'!C152)</f>
        <v/>
      </c>
      <c r="D1342" s="61">
        <f>IF('Calendario H'!D152="","",'Calendario H'!D152)</f>
        <v/>
      </c>
      <c r="E1342" s="62">
        <f>IF('Calendario H'!E152="","",'Calendario H'!E152)</f>
        <v/>
      </c>
      <c r="F1342" s="63">
        <f>IF('Calendario H'!F152="","",'Calendario H'!F152)</f>
        <v/>
      </c>
      <c r="G1342" s="9" t="n"/>
      <c r="H1342" s="9" t="n"/>
      <c r="I1342" s="10" t="n"/>
      <c r="J1342" s="195">
        <f>IF('Calendario H'!J152="","",'Calendario H'!J152)</f>
        <v/>
      </c>
      <c r="K1342" s="64" t="inlineStr">
        <is>
          <t>-</t>
        </is>
      </c>
      <c r="L1342" s="195">
        <f>IF('Calendario H'!L152="","",'Calendario H'!L152)</f>
        <v/>
      </c>
      <c r="M1342" s="196" t="n"/>
      <c r="N1342" s="196" t="n"/>
      <c r="O1342" s="196" t="n"/>
      <c r="P1342" s="196" t="n"/>
      <c r="Q1342" s="196" t="n"/>
      <c r="R1342" s="196" t="n"/>
    </row>
    <row r="1343" ht="15" customHeight="1">
      <c r="A1343" s="141" t="n"/>
      <c r="B1343" s="69">
        <f>IF('Calendario H'!B153="","",'Calendario H'!B153)</f>
        <v/>
      </c>
      <c r="C1343" s="9" t="n"/>
      <c r="D1343" s="9" t="n"/>
      <c r="E1343" s="9" t="n"/>
      <c r="F1343" s="9" t="n"/>
      <c r="G1343" s="9" t="n"/>
      <c r="H1343" s="10" t="n"/>
      <c r="I1343" s="62">
        <f>IF('Calendario H'!I153="","",'Calendario H'!I153)</f>
        <v/>
      </c>
      <c r="J1343" s="141" t="n"/>
      <c r="K1343" s="141" t="n"/>
      <c r="L1343" s="141" t="n"/>
      <c r="M1343" s="141" t="n"/>
      <c r="N1343" s="141" t="n"/>
      <c r="O1343" s="141" t="n"/>
      <c r="P1343" s="141" t="n"/>
      <c r="Q1343" s="141" t="n"/>
      <c r="R1343" s="141" t="n"/>
    </row>
    <row r="1344" ht="14" customHeight="1">
      <c r="A1344" s="116" t="inlineStr">
        <is>
          <t>Gara N.</t>
        </is>
      </c>
      <c r="B1344" s="116" t="inlineStr">
        <is>
          <t>Squadra A</t>
        </is>
      </c>
      <c r="C1344" s="10" t="n"/>
      <c r="D1344" s="116" t="inlineStr">
        <is>
          <t>Squadra B</t>
        </is>
      </c>
      <c r="E1344" s="10" t="n"/>
      <c r="F1344" s="116" t="inlineStr">
        <is>
          <t>Giorno</t>
        </is>
      </c>
      <c r="G1344" s="116" t="inlineStr">
        <is>
          <t>Data</t>
        </is>
      </c>
      <c r="H1344" s="116" t="inlineStr">
        <is>
          <t>Ora</t>
        </is>
      </c>
      <c r="I1344" s="10" t="n"/>
      <c r="J1344" s="116" t="inlineStr">
        <is>
          <t>Risultato</t>
        </is>
      </c>
      <c r="K1344" s="9" t="n"/>
      <c r="L1344" s="10" t="n"/>
      <c r="M1344" s="211" t="inlineStr">
        <is>
          <t>1o Arbitro</t>
        </is>
      </c>
      <c r="N1344" s="211" t="inlineStr">
        <is>
          <t>2o Arbitro</t>
        </is>
      </c>
      <c r="O1344" s="211" t="inlineStr">
        <is>
          <t>3o Arbitro/Tirocinante</t>
        </is>
      </c>
      <c r="P1344" s="211" t="inlineStr">
        <is>
          <t>Referto</t>
        </is>
      </c>
      <c r="Q1344" s="211" t="inlineStr">
        <is>
          <t>Cronometro</t>
        </is>
      </c>
      <c r="R1344" s="211" t="inlineStr">
        <is>
          <t>Foglio Tiri</t>
        </is>
      </c>
    </row>
    <row r="1345" ht="22" customHeight="1">
      <c r="A1345" s="118">
        <f>IF('Calendario H'!A155="","",'Calendario H'!A155)</f>
        <v/>
      </c>
      <c r="B1345" s="61">
        <f>IF('Calendario H'!B155="","",'Calendario H'!B155)</f>
        <v/>
      </c>
      <c r="C1345" s="62">
        <f>IF('Calendario H'!C155="","",'Calendario H'!C155)</f>
        <v/>
      </c>
      <c r="D1345" s="61">
        <f>IF('Calendario H'!D155="","",'Calendario H'!D155)</f>
        <v/>
      </c>
      <c r="E1345" s="62">
        <f>IF('Calendario H'!E155="","",'Calendario H'!E155)</f>
        <v/>
      </c>
      <c r="F1345" s="63">
        <f>IF('Calendario H'!F155="","",'Calendario H'!F155)</f>
        <v/>
      </c>
      <c r="G1345" s="9" t="n"/>
      <c r="H1345" s="9" t="n"/>
      <c r="I1345" s="10" t="n"/>
      <c r="J1345" s="195">
        <f>IF('Calendario H'!J155="","",'Calendario H'!J155)</f>
        <v/>
      </c>
      <c r="K1345" s="64" t="inlineStr">
        <is>
          <t>-</t>
        </is>
      </c>
      <c r="L1345" s="195">
        <f>IF('Calendario H'!L155="","",'Calendario H'!L155)</f>
        <v/>
      </c>
      <c r="M1345" s="196" t="n"/>
      <c r="N1345" s="196" t="n"/>
      <c r="O1345" s="196" t="n"/>
      <c r="P1345" s="196" t="n"/>
      <c r="Q1345" s="196" t="n"/>
      <c r="R1345" s="196" t="n"/>
    </row>
    <row r="1346" ht="15" customHeight="1">
      <c r="A1346" s="141" t="n"/>
      <c r="B1346" s="69">
        <f>IF('Calendario H'!B156="","",'Calendario H'!B156)</f>
        <v/>
      </c>
      <c r="C1346" s="9" t="n"/>
      <c r="D1346" s="9" t="n"/>
      <c r="E1346" s="9" t="n"/>
      <c r="F1346" s="9" t="n"/>
      <c r="G1346" s="9" t="n"/>
      <c r="H1346" s="10" t="n"/>
      <c r="I1346" s="62">
        <f>IF('Calendario H'!I156="","",'Calendario H'!I156)</f>
        <v/>
      </c>
      <c r="J1346" s="141" t="n"/>
      <c r="K1346" s="141" t="n"/>
      <c r="L1346" s="141" t="n"/>
      <c r="M1346" s="141" t="n"/>
      <c r="N1346" s="141" t="n"/>
      <c r="O1346" s="141" t="n"/>
      <c r="P1346" s="141" t="n"/>
      <c r="Q1346" s="141" t="n"/>
      <c r="R1346" s="141" t="n"/>
    </row>
    <row r="1347" ht="14" customHeight="1">
      <c r="A1347" s="116" t="inlineStr">
        <is>
          <t>Gara N.</t>
        </is>
      </c>
      <c r="B1347" s="116" t="inlineStr">
        <is>
          <t>Squadra A</t>
        </is>
      </c>
      <c r="C1347" s="10" t="n"/>
      <c r="D1347" s="116" t="inlineStr">
        <is>
          <t>Squadra B</t>
        </is>
      </c>
      <c r="E1347" s="10" t="n"/>
      <c r="F1347" s="116" t="inlineStr">
        <is>
          <t>Giorno</t>
        </is>
      </c>
      <c r="G1347" s="116" t="inlineStr">
        <is>
          <t>Data</t>
        </is>
      </c>
      <c r="H1347" s="116" t="inlineStr">
        <is>
          <t>Ora</t>
        </is>
      </c>
      <c r="I1347" s="10" t="n"/>
      <c r="J1347" s="116" t="inlineStr">
        <is>
          <t>Risultato</t>
        </is>
      </c>
      <c r="K1347" s="9" t="n"/>
      <c r="L1347" s="10" t="n"/>
      <c r="M1347" s="211" t="inlineStr">
        <is>
          <t>1o Arbitro</t>
        </is>
      </c>
      <c r="N1347" s="211" t="inlineStr">
        <is>
          <t>2o Arbitro</t>
        </is>
      </c>
      <c r="O1347" s="211" t="inlineStr">
        <is>
          <t>3o Arbitro/Tirocinante</t>
        </is>
      </c>
      <c r="P1347" s="211" t="inlineStr">
        <is>
          <t>Referto</t>
        </is>
      </c>
      <c r="Q1347" s="211" t="inlineStr">
        <is>
          <t>Cronometro</t>
        </is>
      </c>
      <c r="R1347" s="211" t="inlineStr">
        <is>
          <t>Foglio Tiri</t>
        </is>
      </c>
    </row>
    <row r="1348" ht="22" customHeight="1">
      <c r="A1348" s="118">
        <f>IF('Calendario H'!A158="","",'Calendario H'!A158)</f>
        <v/>
      </c>
      <c r="B1348" s="61">
        <f>IF('Calendario H'!B158="","",'Calendario H'!B158)</f>
        <v/>
      </c>
      <c r="C1348" s="62">
        <f>IF('Calendario H'!C158="","",'Calendario H'!C158)</f>
        <v/>
      </c>
      <c r="D1348" s="61">
        <f>IF('Calendario H'!D158="","",'Calendario H'!D158)</f>
        <v/>
      </c>
      <c r="E1348" s="62">
        <f>IF('Calendario H'!E158="","",'Calendario H'!E158)</f>
        <v/>
      </c>
      <c r="F1348" s="63">
        <f>IF('Calendario H'!F158="","",'Calendario H'!F158)</f>
        <v/>
      </c>
      <c r="G1348" s="9" t="n"/>
      <c r="H1348" s="9" t="n"/>
      <c r="I1348" s="10" t="n"/>
      <c r="J1348" s="195">
        <f>IF('Calendario H'!J158="","",'Calendario H'!J158)</f>
        <v/>
      </c>
      <c r="K1348" s="64" t="inlineStr">
        <is>
          <t>-</t>
        </is>
      </c>
      <c r="L1348" s="195">
        <f>IF('Calendario H'!L158="","",'Calendario H'!L158)</f>
        <v/>
      </c>
      <c r="M1348" s="196" t="n"/>
      <c r="N1348" s="196" t="n"/>
      <c r="O1348" s="196" t="n"/>
      <c r="P1348" s="196" t="n"/>
      <c r="Q1348" s="196" t="n"/>
      <c r="R1348" s="196" t="n"/>
    </row>
    <row r="1349" ht="15" customHeight="1">
      <c r="A1349" s="141" t="n"/>
      <c r="B1349" s="69">
        <f>IF('Calendario H'!B159="","",'Calendario H'!B159)</f>
        <v/>
      </c>
      <c r="C1349" s="9" t="n"/>
      <c r="D1349" s="9" t="n"/>
      <c r="E1349" s="9" t="n"/>
      <c r="F1349" s="9" t="n"/>
      <c r="G1349" s="9" t="n"/>
      <c r="H1349" s="10" t="n"/>
      <c r="I1349" s="62">
        <f>IF('Calendario H'!I159="","",'Calendario H'!I159)</f>
        <v/>
      </c>
      <c r="J1349" s="141" t="n"/>
      <c r="K1349" s="141" t="n"/>
      <c r="L1349" s="141" t="n"/>
      <c r="M1349" s="141" t="n"/>
      <c r="N1349" s="141" t="n"/>
      <c r="O1349" s="141" t="n"/>
      <c r="P1349" s="141" t="n"/>
      <c r="Q1349" s="141" t="n"/>
      <c r="R1349" s="141" t="n"/>
    </row>
    <row r="1368" ht="20" customHeight="1">
      <c r="A1368" s="120">
        <f>IF('Calendario I'!A8="","",'Calendario I'!A8)</f>
        <v/>
      </c>
      <c r="B1368" s="121">
        <f>IF('Calendario I'!B8="","",'Calendario I'!B8)</f>
        <v/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10" t="n"/>
      <c r="M1368" s="212" t="inlineStr">
        <is>
          <t>ARBITRI</t>
        </is>
      </c>
      <c r="N1368" s="9" t="n"/>
      <c r="O1368" s="10" t="n"/>
      <c r="P1368" s="212" t="inlineStr">
        <is>
          <t>UFFICIALI DI CAMPO</t>
        </is>
      </c>
      <c r="Q1368" s="9" t="n"/>
      <c r="R1368" s="10" t="n"/>
    </row>
    <row r="1369" ht="14" customHeight="1">
      <c r="A1369" s="123" t="inlineStr">
        <is>
          <t>Gara N.</t>
        </is>
      </c>
      <c r="B1369" s="123" t="inlineStr">
        <is>
          <t>Squadra A</t>
        </is>
      </c>
      <c r="C1369" s="10" t="n"/>
      <c r="D1369" s="123" t="inlineStr">
        <is>
          <t>Squadra B</t>
        </is>
      </c>
      <c r="E1369" s="10" t="n"/>
      <c r="F1369" s="123" t="inlineStr">
        <is>
          <t>Giorno</t>
        </is>
      </c>
      <c r="G1369" s="123" t="inlineStr">
        <is>
          <t>Data</t>
        </is>
      </c>
      <c r="H1369" s="123" t="inlineStr">
        <is>
          <t>Ora</t>
        </is>
      </c>
      <c r="I1369" s="10" t="n"/>
      <c r="J1369" s="123" t="inlineStr">
        <is>
          <t>Risultato</t>
        </is>
      </c>
      <c r="K1369" s="9" t="n"/>
      <c r="L1369" s="10" t="n"/>
      <c r="M1369" s="213" t="inlineStr">
        <is>
          <t>1o Arbitro</t>
        </is>
      </c>
      <c r="N1369" s="213" t="inlineStr">
        <is>
          <t>2o Arbitro</t>
        </is>
      </c>
      <c r="O1369" s="213" t="inlineStr">
        <is>
          <t>3o Arbitro/Tirocinante</t>
        </is>
      </c>
      <c r="P1369" s="213" t="inlineStr">
        <is>
          <t>Referto</t>
        </is>
      </c>
      <c r="Q1369" s="213" t="inlineStr">
        <is>
          <t>Cronometro</t>
        </is>
      </c>
      <c r="R1369" s="213" t="inlineStr">
        <is>
          <t>Foglio Tiri</t>
        </is>
      </c>
    </row>
    <row r="1370" ht="22" customHeight="1">
      <c r="A1370" s="125">
        <f>IF('Calendario I'!A10="","",'Calendario I'!A10)</f>
        <v/>
      </c>
      <c r="B1370" s="61">
        <f>IF('Calendario I'!B10="","",'Calendario I'!B10)</f>
        <v/>
      </c>
      <c r="C1370" s="62">
        <f>IF('Calendario I'!C10="","",'Calendario I'!C10)</f>
        <v/>
      </c>
      <c r="D1370" s="61">
        <f>IF('Calendario I'!D10="","",'Calendario I'!D10)</f>
        <v/>
      </c>
      <c r="E1370" s="62">
        <f>IF('Calendario I'!E10="","",'Calendario I'!E10)</f>
        <v/>
      </c>
      <c r="F1370" s="63">
        <f>IF('Calendario I'!F10="","",'Calendario I'!F10)</f>
        <v/>
      </c>
      <c r="G1370" s="9" t="n"/>
      <c r="H1370" s="9" t="n"/>
      <c r="I1370" s="10" t="n"/>
      <c r="J1370" s="195">
        <f>IF('Calendario I'!J10="","",'Calendario I'!J10)</f>
        <v/>
      </c>
      <c r="K1370" s="64" t="inlineStr">
        <is>
          <t>-</t>
        </is>
      </c>
      <c r="L1370" s="195">
        <f>IF('Calendario I'!L10="","",'Calendario I'!L10)</f>
        <v/>
      </c>
      <c r="M1370" s="196" t="n"/>
      <c r="N1370" s="196" t="n"/>
      <c r="O1370" s="196" t="n"/>
      <c r="P1370" s="196" t="n"/>
      <c r="Q1370" s="196" t="n"/>
      <c r="R1370" s="196" t="n"/>
    </row>
    <row r="1371" ht="15" customHeight="1">
      <c r="A1371" s="141" t="n"/>
      <c r="B1371" s="69">
        <f>IF('Calendario I'!B11="","",'Calendario I'!B11)</f>
        <v/>
      </c>
      <c r="C1371" s="9" t="n"/>
      <c r="D1371" s="9" t="n"/>
      <c r="E1371" s="9" t="n"/>
      <c r="F1371" s="9" t="n"/>
      <c r="G1371" s="9" t="n"/>
      <c r="H1371" s="10" t="n"/>
      <c r="I1371" s="62">
        <f>IF('Calendario I'!I11="","",'Calendario I'!I11)</f>
        <v/>
      </c>
      <c r="J1371" s="141" t="n"/>
      <c r="K1371" s="141" t="n"/>
      <c r="L1371" s="141" t="n"/>
      <c r="M1371" s="141" t="n"/>
      <c r="N1371" s="141" t="n"/>
      <c r="O1371" s="141" t="n"/>
      <c r="P1371" s="141" t="n"/>
      <c r="Q1371" s="141" t="n"/>
      <c r="R1371" s="141" t="n"/>
    </row>
    <row r="1372" ht="14" customHeight="1">
      <c r="A1372" s="123" t="inlineStr">
        <is>
          <t>Gara N.</t>
        </is>
      </c>
      <c r="B1372" s="123" t="inlineStr">
        <is>
          <t>Squadra A</t>
        </is>
      </c>
      <c r="C1372" s="10" t="n"/>
      <c r="D1372" s="123" t="inlineStr">
        <is>
          <t>Squadra B</t>
        </is>
      </c>
      <c r="E1372" s="10" t="n"/>
      <c r="F1372" s="123" t="inlineStr">
        <is>
          <t>Giorno</t>
        </is>
      </c>
      <c r="G1372" s="123" t="inlineStr">
        <is>
          <t>Data</t>
        </is>
      </c>
      <c r="H1372" s="123" t="inlineStr">
        <is>
          <t>Ora</t>
        </is>
      </c>
      <c r="I1372" s="10" t="n"/>
      <c r="J1372" s="123" t="inlineStr">
        <is>
          <t>Risultato</t>
        </is>
      </c>
      <c r="K1372" s="9" t="n"/>
      <c r="L1372" s="10" t="n"/>
      <c r="M1372" s="213" t="inlineStr">
        <is>
          <t>1o Arbitro</t>
        </is>
      </c>
      <c r="N1372" s="213" t="inlineStr">
        <is>
          <t>2o Arbitro</t>
        </is>
      </c>
      <c r="O1372" s="213" t="inlineStr">
        <is>
          <t>3o Arbitro/Tirocinante</t>
        </is>
      </c>
      <c r="P1372" s="213" t="inlineStr">
        <is>
          <t>Referto</t>
        </is>
      </c>
      <c r="Q1372" s="213" t="inlineStr">
        <is>
          <t>Cronometro</t>
        </is>
      </c>
      <c r="R1372" s="213" t="inlineStr">
        <is>
          <t>Foglio Tiri</t>
        </is>
      </c>
    </row>
    <row r="1373" ht="22" customHeight="1">
      <c r="A1373" s="125">
        <f>IF('Calendario I'!A13="","",'Calendario I'!A13)</f>
        <v/>
      </c>
      <c r="B1373" s="61">
        <f>IF('Calendario I'!B13="","",'Calendario I'!B13)</f>
        <v/>
      </c>
      <c r="C1373" s="62">
        <f>IF('Calendario I'!C13="","",'Calendario I'!C13)</f>
        <v/>
      </c>
      <c r="D1373" s="61">
        <f>IF('Calendario I'!D13="","",'Calendario I'!D13)</f>
        <v/>
      </c>
      <c r="E1373" s="62">
        <f>IF('Calendario I'!E13="","",'Calendario I'!E13)</f>
        <v/>
      </c>
      <c r="F1373" s="63">
        <f>IF('Calendario I'!F13="","",'Calendario I'!F13)</f>
        <v/>
      </c>
      <c r="G1373" s="9" t="n"/>
      <c r="H1373" s="9" t="n"/>
      <c r="I1373" s="10" t="n"/>
      <c r="J1373" s="195">
        <f>IF('Calendario I'!J13="","",'Calendario I'!J13)</f>
        <v/>
      </c>
      <c r="K1373" s="64" t="inlineStr">
        <is>
          <t>-</t>
        </is>
      </c>
      <c r="L1373" s="195">
        <f>IF('Calendario I'!L13="","",'Calendario I'!L13)</f>
        <v/>
      </c>
      <c r="M1373" s="196" t="n"/>
      <c r="N1373" s="196" t="n"/>
      <c r="O1373" s="196" t="n"/>
      <c r="P1373" s="196" t="n"/>
      <c r="Q1373" s="196" t="n"/>
      <c r="R1373" s="196" t="n"/>
    </row>
    <row r="1374" ht="15" customHeight="1">
      <c r="A1374" s="141" t="n"/>
      <c r="B1374" s="69">
        <f>IF('Calendario I'!B14="","",'Calendario I'!B14)</f>
        <v/>
      </c>
      <c r="C1374" s="9" t="n"/>
      <c r="D1374" s="9" t="n"/>
      <c r="E1374" s="9" t="n"/>
      <c r="F1374" s="9" t="n"/>
      <c r="G1374" s="9" t="n"/>
      <c r="H1374" s="10" t="n"/>
      <c r="I1374" s="62">
        <f>IF('Calendario I'!I14="","",'Calendario I'!I14)</f>
        <v/>
      </c>
      <c r="J1374" s="141" t="n"/>
      <c r="K1374" s="141" t="n"/>
      <c r="L1374" s="141" t="n"/>
      <c r="M1374" s="141" t="n"/>
      <c r="N1374" s="141" t="n"/>
      <c r="O1374" s="141" t="n"/>
      <c r="P1374" s="141" t="n"/>
      <c r="Q1374" s="141" t="n"/>
      <c r="R1374" s="141" t="n"/>
    </row>
    <row r="1375" ht="14" customHeight="1">
      <c r="A1375" s="123" t="inlineStr">
        <is>
          <t>Gara N.</t>
        </is>
      </c>
      <c r="B1375" s="123" t="inlineStr">
        <is>
          <t>Squadra A</t>
        </is>
      </c>
      <c r="C1375" s="10" t="n"/>
      <c r="D1375" s="123" t="inlineStr">
        <is>
          <t>Squadra B</t>
        </is>
      </c>
      <c r="E1375" s="10" t="n"/>
      <c r="F1375" s="123" t="inlineStr">
        <is>
          <t>Giorno</t>
        </is>
      </c>
      <c r="G1375" s="123" t="inlineStr">
        <is>
          <t>Data</t>
        </is>
      </c>
      <c r="H1375" s="123" t="inlineStr">
        <is>
          <t>Ora</t>
        </is>
      </c>
      <c r="I1375" s="10" t="n"/>
      <c r="J1375" s="123" t="inlineStr">
        <is>
          <t>Risultato</t>
        </is>
      </c>
      <c r="K1375" s="9" t="n"/>
      <c r="L1375" s="10" t="n"/>
      <c r="M1375" s="213" t="inlineStr">
        <is>
          <t>1o Arbitro</t>
        </is>
      </c>
      <c r="N1375" s="213" t="inlineStr">
        <is>
          <t>2o Arbitro</t>
        </is>
      </c>
      <c r="O1375" s="213" t="inlineStr">
        <is>
          <t>3o Arbitro/Tirocinante</t>
        </is>
      </c>
      <c r="P1375" s="213" t="inlineStr">
        <is>
          <t>Referto</t>
        </is>
      </c>
      <c r="Q1375" s="213" t="inlineStr">
        <is>
          <t>Cronometro</t>
        </is>
      </c>
      <c r="R1375" s="213" t="inlineStr">
        <is>
          <t>Foglio Tiri</t>
        </is>
      </c>
    </row>
    <row r="1376" ht="22" customHeight="1">
      <c r="A1376" s="125">
        <f>IF('Calendario I'!A16="","",'Calendario I'!A16)</f>
        <v/>
      </c>
      <c r="B1376" s="61">
        <f>IF('Calendario I'!B16="","",'Calendario I'!B16)</f>
        <v/>
      </c>
      <c r="C1376" s="62">
        <f>IF('Calendario I'!C16="","",'Calendario I'!C16)</f>
        <v/>
      </c>
      <c r="D1376" s="61">
        <f>IF('Calendario I'!D16="","",'Calendario I'!D16)</f>
        <v/>
      </c>
      <c r="E1376" s="62">
        <f>IF('Calendario I'!E16="","",'Calendario I'!E16)</f>
        <v/>
      </c>
      <c r="F1376" s="63">
        <f>IF('Calendario I'!F16="","",'Calendario I'!F16)</f>
        <v/>
      </c>
      <c r="G1376" s="9" t="n"/>
      <c r="H1376" s="9" t="n"/>
      <c r="I1376" s="10" t="n"/>
      <c r="J1376" s="195">
        <f>IF('Calendario I'!J16="","",'Calendario I'!J16)</f>
        <v/>
      </c>
      <c r="K1376" s="64" t="inlineStr">
        <is>
          <t>-</t>
        </is>
      </c>
      <c r="L1376" s="195">
        <f>IF('Calendario I'!L16="","",'Calendario I'!L16)</f>
        <v/>
      </c>
      <c r="M1376" s="196" t="n"/>
      <c r="N1376" s="196" t="n"/>
      <c r="O1376" s="196" t="n"/>
      <c r="P1376" s="196" t="n"/>
      <c r="Q1376" s="196" t="n"/>
      <c r="R1376" s="196" t="n"/>
    </row>
    <row r="1377" ht="15" customHeight="1">
      <c r="A1377" s="141" t="n"/>
      <c r="B1377" s="69">
        <f>IF('Calendario I'!B17="","",'Calendario I'!B17)</f>
        <v/>
      </c>
      <c r="C1377" s="9" t="n"/>
      <c r="D1377" s="9" t="n"/>
      <c r="E1377" s="9" t="n"/>
      <c r="F1377" s="9" t="n"/>
      <c r="G1377" s="9" t="n"/>
      <c r="H1377" s="10" t="n"/>
      <c r="I1377" s="62">
        <f>IF('Calendario I'!I17="","",'Calendario I'!I17)</f>
        <v/>
      </c>
      <c r="J1377" s="141" t="n"/>
      <c r="K1377" s="141" t="n"/>
      <c r="L1377" s="141" t="n"/>
      <c r="M1377" s="141" t="n"/>
      <c r="N1377" s="141" t="n"/>
      <c r="O1377" s="141" t="n"/>
      <c r="P1377" s="141" t="n"/>
      <c r="Q1377" s="141" t="n"/>
      <c r="R1377" s="141" t="n"/>
    </row>
    <row r="1378" ht="14" customHeight="1">
      <c r="A1378" s="123" t="inlineStr">
        <is>
          <t>Gara N.</t>
        </is>
      </c>
      <c r="B1378" s="123" t="inlineStr">
        <is>
          <t>Squadra A</t>
        </is>
      </c>
      <c r="C1378" s="10" t="n"/>
      <c r="D1378" s="123" t="inlineStr">
        <is>
          <t>Squadra B</t>
        </is>
      </c>
      <c r="E1378" s="10" t="n"/>
      <c r="F1378" s="123" t="inlineStr">
        <is>
          <t>Giorno</t>
        </is>
      </c>
      <c r="G1378" s="123" t="inlineStr">
        <is>
          <t>Data</t>
        </is>
      </c>
      <c r="H1378" s="123" t="inlineStr">
        <is>
          <t>Ora</t>
        </is>
      </c>
      <c r="I1378" s="10" t="n"/>
      <c r="J1378" s="123" t="inlineStr">
        <is>
          <t>Risultato</t>
        </is>
      </c>
      <c r="K1378" s="9" t="n"/>
      <c r="L1378" s="10" t="n"/>
      <c r="M1378" s="213" t="inlineStr">
        <is>
          <t>1o Arbitro</t>
        </is>
      </c>
      <c r="N1378" s="213" t="inlineStr">
        <is>
          <t>2o Arbitro</t>
        </is>
      </c>
      <c r="O1378" s="213" t="inlineStr">
        <is>
          <t>3o Arbitro/Tirocinante</t>
        </is>
      </c>
      <c r="P1378" s="213" t="inlineStr">
        <is>
          <t>Referto</t>
        </is>
      </c>
      <c r="Q1378" s="213" t="inlineStr">
        <is>
          <t>Cronometro</t>
        </is>
      </c>
      <c r="R1378" s="213" t="inlineStr">
        <is>
          <t>Foglio Tiri</t>
        </is>
      </c>
    </row>
    <row r="1379" ht="22" customHeight="1">
      <c r="A1379" s="125">
        <f>IF('Calendario I'!A19="","",'Calendario I'!A19)</f>
        <v/>
      </c>
      <c r="B1379" s="61">
        <f>IF('Calendario I'!B19="","",'Calendario I'!B19)</f>
        <v/>
      </c>
      <c r="C1379" s="62">
        <f>IF('Calendario I'!C19="","",'Calendario I'!C19)</f>
        <v/>
      </c>
      <c r="D1379" s="61">
        <f>IF('Calendario I'!D19="","",'Calendario I'!D19)</f>
        <v/>
      </c>
      <c r="E1379" s="62">
        <f>IF('Calendario I'!E19="","",'Calendario I'!E19)</f>
        <v/>
      </c>
      <c r="F1379" s="63">
        <f>IF('Calendario I'!F19="","",'Calendario I'!F19)</f>
        <v/>
      </c>
      <c r="G1379" s="9" t="n"/>
      <c r="H1379" s="9" t="n"/>
      <c r="I1379" s="10" t="n"/>
      <c r="J1379" s="195">
        <f>IF('Calendario I'!J19="","",'Calendario I'!J19)</f>
        <v/>
      </c>
      <c r="K1379" s="64" t="inlineStr">
        <is>
          <t>-</t>
        </is>
      </c>
      <c r="L1379" s="195">
        <f>IF('Calendario I'!L19="","",'Calendario I'!L19)</f>
        <v/>
      </c>
      <c r="M1379" s="196" t="n"/>
      <c r="N1379" s="196" t="n"/>
      <c r="O1379" s="196" t="n"/>
      <c r="P1379" s="196" t="n"/>
      <c r="Q1379" s="196" t="n"/>
      <c r="R1379" s="196" t="n"/>
    </row>
    <row r="1380" ht="15" customHeight="1">
      <c r="A1380" s="141" t="n"/>
      <c r="B1380" s="69">
        <f>IF('Calendario I'!B20="","",'Calendario I'!B20)</f>
        <v/>
      </c>
      <c r="C1380" s="9" t="n"/>
      <c r="D1380" s="9" t="n"/>
      <c r="E1380" s="9" t="n"/>
      <c r="F1380" s="9" t="n"/>
      <c r="G1380" s="9" t="n"/>
      <c r="H1380" s="10" t="n"/>
      <c r="I1380" s="62">
        <f>IF('Calendario I'!I20="","",'Calendario I'!I20)</f>
        <v/>
      </c>
      <c r="J1380" s="141" t="n"/>
      <c r="K1380" s="141" t="n"/>
      <c r="L1380" s="141" t="n"/>
      <c r="M1380" s="141" t="n"/>
      <c r="N1380" s="141" t="n"/>
      <c r="O1380" s="141" t="n"/>
      <c r="P1380" s="141" t="n"/>
      <c r="Q1380" s="141" t="n"/>
      <c r="R1380" s="141" t="n"/>
    </row>
    <row r="1381" ht="14" customHeight="1">
      <c r="A1381" s="123" t="inlineStr">
        <is>
          <t>Gara N.</t>
        </is>
      </c>
      <c r="B1381" s="123" t="inlineStr">
        <is>
          <t>Squadra A</t>
        </is>
      </c>
      <c r="C1381" s="10" t="n"/>
      <c r="D1381" s="123" t="inlineStr">
        <is>
          <t>Squadra B</t>
        </is>
      </c>
      <c r="E1381" s="10" t="n"/>
      <c r="F1381" s="123" t="inlineStr">
        <is>
          <t>Giorno</t>
        </is>
      </c>
      <c r="G1381" s="123" t="inlineStr">
        <is>
          <t>Data</t>
        </is>
      </c>
      <c r="H1381" s="123" t="inlineStr">
        <is>
          <t>Ora</t>
        </is>
      </c>
      <c r="I1381" s="10" t="n"/>
      <c r="J1381" s="123" t="inlineStr">
        <is>
          <t>Risultato</t>
        </is>
      </c>
      <c r="K1381" s="9" t="n"/>
      <c r="L1381" s="10" t="n"/>
      <c r="M1381" s="213" t="inlineStr">
        <is>
          <t>1o Arbitro</t>
        </is>
      </c>
      <c r="N1381" s="213" t="inlineStr">
        <is>
          <t>2o Arbitro</t>
        </is>
      </c>
      <c r="O1381" s="213" t="inlineStr">
        <is>
          <t>3o Arbitro/Tirocinante</t>
        </is>
      </c>
      <c r="P1381" s="213" t="inlineStr">
        <is>
          <t>Referto</t>
        </is>
      </c>
      <c r="Q1381" s="213" t="inlineStr">
        <is>
          <t>Cronometro</t>
        </is>
      </c>
      <c r="R1381" s="213" t="inlineStr">
        <is>
          <t>Foglio Tiri</t>
        </is>
      </c>
    </row>
    <row r="1382" ht="22" customHeight="1">
      <c r="A1382" s="125">
        <f>IF('Calendario I'!A22="","",'Calendario I'!A22)</f>
        <v/>
      </c>
      <c r="B1382" s="61">
        <f>IF('Calendario I'!B22="","",'Calendario I'!B22)</f>
        <v/>
      </c>
      <c r="C1382" s="62">
        <f>IF('Calendario I'!C22="","",'Calendario I'!C22)</f>
        <v/>
      </c>
      <c r="D1382" s="61">
        <f>IF('Calendario I'!D22="","",'Calendario I'!D22)</f>
        <v/>
      </c>
      <c r="E1382" s="62">
        <f>IF('Calendario I'!E22="","",'Calendario I'!E22)</f>
        <v/>
      </c>
      <c r="F1382" s="63">
        <f>IF('Calendario I'!F22="","",'Calendario I'!F22)</f>
        <v/>
      </c>
      <c r="G1382" s="9" t="n"/>
      <c r="H1382" s="9" t="n"/>
      <c r="I1382" s="10" t="n"/>
      <c r="J1382" s="195">
        <f>IF('Calendario I'!J22="","",'Calendario I'!J22)</f>
        <v/>
      </c>
      <c r="K1382" s="64" t="inlineStr">
        <is>
          <t>-</t>
        </is>
      </c>
      <c r="L1382" s="195">
        <f>IF('Calendario I'!L22="","",'Calendario I'!L22)</f>
        <v/>
      </c>
      <c r="M1382" s="196" t="n"/>
      <c r="N1382" s="196" t="n"/>
      <c r="O1382" s="196" t="n"/>
      <c r="P1382" s="196" t="n"/>
      <c r="Q1382" s="196" t="n"/>
      <c r="R1382" s="196" t="n"/>
    </row>
    <row r="1383" ht="15" customHeight="1">
      <c r="A1383" s="141" t="n"/>
      <c r="B1383" s="69">
        <f>IF('Calendario I'!B23="","",'Calendario I'!B23)</f>
        <v/>
      </c>
      <c r="C1383" s="9" t="n"/>
      <c r="D1383" s="9" t="n"/>
      <c r="E1383" s="9" t="n"/>
      <c r="F1383" s="9" t="n"/>
      <c r="G1383" s="9" t="n"/>
      <c r="H1383" s="10" t="n"/>
      <c r="I1383" s="62">
        <f>IF('Calendario I'!I23="","",'Calendario I'!I23)</f>
        <v/>
      </c>
      <c r="J1383" s="141" t="n"/>
      <c r="K1383" s="141" t="n"/>
      <c r="L1383" s="141" t="n"/>
      <c r="M1383" s="141" t="n"/>
      <c r="N1383" s="141" t="n"/>
      <c r="O1383" s="141" t="n"/>
      <c r="P1383" s="141" t="n"/>
      <c r="Q1383" s="141" t="n"/>
      <c r="R1383" s="141" t="n"/>
    </row>
    <row r="1385" ht="20" customHeight="1">
      <c r="A1385" s="120">
        <f>IF('Calendario I'!A25="","",'Calendario I'!A25)</f>
        <v/>
      </c>
      <c r="B1385" s="121">
        <f>IF('Calendario I'!B25="","",'Calendario I'!B25)</f>
        <v/>
      </c>
      <c r="C1385" s="9" t="n"/>
      <c r="D1385" s="9" t="n"/>
      <c r="E1385" s="9" t="n"/>
      <c r="F1385" s="9" t="n"/>
      <c r="G1385" s="9" t="n"/>
      <c r="H1385" s="9" t="n"/>
      <c r="I1385" s="9" t="n"/>
      <c r="J1385" s="9" t="n"/>
      <c r="K1385" s="9" t="n"/>
      <c r="L1385" s="10" t="n"/>
      <c r="M1385" s="212" t="inlineStr">
        <is>
          <t>ARBITRI</t>
        </is>
      </c>
      <c r="N1385" s="9" t="n"/>
      <c r="O1385" s="10" t="n"/>
      <c r="P1385" s="212" t="inlineStr">
        <is>
          <t>UFFICIALI DI CAMPO</t>
        </is>
      </c>
      <c r="Q1385" s="9" t="n"/>
      <c r="R1385" s="10" t="n"/>
    </row>
    <row r="1386" ht="14" customHeight="1">
      <c r="A1386" s="123" t="inlineStr">
        <is>
          <t>Gara N.</t>
        </is>
      </c>
      <c r="B1386" s="123" t="inlineStr">
        <is>
          <t>Squadra A</t>
        </is>
      </c>
      <c r="C1386" s="10" t="n"/>
      <c r="D1386" s="123" t="inlineStr">
        <is>
          <t>Squadra B</t>
        </is>
      </c>
      <c r="E1386" s="10" t="n"/>
      <c r="F1386" s="123" t="inlineStr">
        <is>
          <t>Giorno</t>
        </is>
      </c>
      <c r="G1386" s="123" t="inlineStr">
        <is>
          <t>Data</t>
        </is>
      </c>
      <c r="H1386" s="123" t="inlineStr">
        <is>
          <t>Ora</t>
        </is>
      </c>
      <c r="I1386" s="10" t="n"/>
      <c r="J1386" s="123" t="inlineStr">
        <is>
          <t>Risultato</t>
        </is>
      </c>
      <c r="K1386" s="9" t="n"/>
      <c r="L1386" s="10" t="n"/>
      <c r="M1386" s="213" t="inlineStr">
        <is>
          <t>1o Arbitro</t>
        </is>
      </c>
      <c r="N1386" s="213" t="inlineStr">
        <is>
          <t>2o Arbitro</t>
        </is>
      </c>
      <c r="O1386" s="213" t="inlineStr">
        <is>
          <t>3o Arbitro/Tirocinante</t>
        </is>
      </c>
      <c r="P1386" s="213" t="inlineStr">
        <is>
          <t>Referto</t>
        </is>
      </c>
      <c r="Q1386" s="213" t="inlineStr">
        <is>
          <t>Cronometro</t>
        </is>
      </c>
      <c r="R1386" s="213" t="inlineStr">
        <is>
          <t>Foglio Tiri</t>
        </is>
      </c>
    </row>
    <row r="1387" ht="22" customHeight="1">
      <c r="A1387" s="125">
        <f>IF('Calendario I'!A27="","",'Calendario I'!A27)</f>
        <v/>
      </c>
      <c r="B1387" s="61">
        <f>IF('Calendario I'!B27="","",'Calendario I'!B27)</f>
        <v/>
      </c>
      <c r="C1387" s="62">
        <f>IF('Calendario I'!C27="","",'Calendario I'!C27)</f>
        <v/>
      </c>
      <c r="D1387" s="61">
        <f>IF('Calendario I'!D27="","",'Calendario I'!D27)</f>
        <v/>
      </c>
      <c r="E1387" s="62">
        <f>IF('Calendario I'!E27="","",'Calendario I'!E27)</f>
        <v/>
      </c>
      <c r="F1387" s="63">
        <f>IF('Calendario I'!F27="","",'Calendario I'!F27)</f>
        <v/>
      </c>
      <c r="G1387" s="9" t="n"/>
      <c r="H1387" s="9" t="n"/>
      <c r="I1387" s="10" t="n"/>
      <c r="J1387" s="195">
        <f>IF('Calendario I'!J27="","",'Calendario I'!J27)</f>
        <v/>
      </c>
      <c r="K1387" s="64" t="inlineStr">
        <is>
          <t>-</t>
        </is>
      </c>
      <c r="L1387" s="195">
        <f>IF('Calendario I'!L27="","",'Calendario I'!L27)</f>
        <v/>
      </c>
      <c r="M1387" s="196" t="n"/>
      <c r="N1387" s="196" t="n"/>
      <c r="O1387" s="196" t="n"/>
      <c r="P1387" s="196" t="n"/>
      <c r="Q1387" s="196" t="n"/>
      <c r="R1387" s="196" t="n"/>
    </row>
    <row r="1388" ht="15" customHeight="1">
      <c r="A1388" s="141" t="n"/>
      <c r="B1388" s="69">
        <f>IF('Calendario I'!B28="","",'Calendario I'!B28)</f>
        <v/>
      </c>
      <c r="C1388" s="9" t="n"/>
      <c r="D1388" s="9" t="n"/>
      <c r="E1388" s="9" t="n"/>
      <c r="F1388" s="9" t="n"/>
      <c r="G1388" s="9" t="n"/>
      <c r="H1388" s="10" t="n"/>
      <c r="I1388" s="62">
        <f>IF('Calendario I'!I28="","",'Calendario I'!I28)</f>
        <v/>
      </c>
      <c r="J1388" s="141" t="n"/>
      <c r="K1388" s="141" t="n"/>
      <c r="L1388" s="141" t="n"/>
      <c r="M1388" s="141" t="n"/>
      <c r="N1388" s="141" t="n"/>
      <c r="O1388" s="141" t="n"/>
      <c r="P1388" s="141" t="n"/>
      <c r="Q1388" s="141" t="n"/>
      <c r="R1388" s="141" t="n"/>
    </row>
    <row r="1389" ht="14" customHeight="1">
      <c r="A1389" s="123" t="inlineStr">
        <is>
          <t>Gara N.</t>
        </is>
      </c>
      <c r="B1389" s="123" t="inlineStr">
        <is>
          <t>Squadra A</t>
        </is>
      </c>
      <c r="C1389" s="10" t="n"/>
      <c r="D1389" s="123" t="inlineStr">
        <is>
          <t>Squadra B</t>
        </is>
      </c>
      <c r="E1389" s="10" t="n"/>
      <c r="F1389" s="123" t="inlineStr">
        <is>
          <t>Giorno</t>
        </is>
      </c>
      <c r="G1389" s="123" t="inlineStr">
        <is>
          <t>Data</t>
        </is>
      </c>
      <c r="H1389" s="123" t="inlineStr">
        <is>
          <t>Ora</t>
        </is>
      </c>
      <c r="I1389" s="10" t="n"/>
      <c r="J1389" s="123" t="inlineStr">
        <is>
          <t>Risultato</t>
        </is>
      </c>
      <c r="K1389" s="9" t="n"/>
      <c r="L1389" s="10" t="n"/>
      <c r="M1389" s="213" t="inlineStr">
        <is>
          <t>1o Arbitro</t>
        </is>
      </c>
      <c r="N1389" s="213" t="inlineStr">
        <is>
          <t>2o Arbitro</t>
        </is>
      </c>
      <c r="O1389" s="213" t="inlineStr">
        <is>
          <t>3o Arbitro/Tirocinante</t>
        </is>
      </c>
      <c r="P1389" s="213" t="inlineStr">
        <is>
          <t>Referto</t>
        </is>
      </c>
      <c r="Q1389" s="213" t="inlineStr">
        <is>
          <t>Cronometro</t>
        </is>
      </c>
      <c r="R1389" s="213" t="inlineStr">
        <is>
          <t>Foglio Tiri</t>
        </is>
      </c>
    </row>
    <row r="1390" ht="22" customHeight="1">
      <c r="A1390" s="125">
        <f>IF('Calendario I'!A30="","",'Calendario I'!A30)</f>
        <v/>
      </c>
      <c r="B1390" s="61">
        <f>IF('Calendario I'!B30="","",'Calendario I'!B30)</f>
        <v/>
      </c>
      <c r="C1390" s="62">
        <f>IF('Calendario I'!C30="","",'Calendario I'!C30)</f>
        <v/>
      </c>
      <c r="D1390" s="61">
        <f>IF('Calendario I'!D30="","",'Calendario I'!D30)</f>
        <v/>
      </c>
      <c r="E1390" s="62">
        <f>IF('Calendario I'!E30="","",'Calendario I'!E30)</f>
        <v/>
      </c>
      <c r="F1390" s="63">
        <f>IF('Calendario I'!F30="","",'Calendario I'!F30)</f>
        <v/>
      </c>
      <c r="G1390" s="9" t="n"/>
      <c r="H1390" s="9" t="n"/>
      <c r="I1390" s="10" t="n"/>
      <c r="J1390" s="195">
        <f>IF('Calendario I'!J30="","",'Calendario I'!J30)</f>
        <v/>
      </c>
      <c r="K1390" s="64" t="inlineStr">
        <is>
          <t>-</t>
        </is>
      </c>
      <c r="L1390" s="195">
        <f>IF('Calendario I'!L30="","",'Calendario I'!L30)</f>
        <v/>
      </c>
      <c r="M1390" s="196" t="n"/>
      <c r="N1390" s="196" t="n"/>
      <c r="O1390" s="196" t="n"/>
      <c r="P1390" s="196" t="n"/>
      <c r="Q1390" s="196" t="n"/>
      <c r="R1390" s="196" t="n"/>
    </row>
    <row r="1391" ht="15" customHeight="1">
      <c r="A1391" s="141" t="n"/>
      <c r="B1391" s="69">
        <f>IF('Calendario I'!B31="","",'Calendario I'!B31)</f>
        <v/>
      </c>
      <c r="C1391" s="9" t="n"/>
      <c r="D1391" s="9" t="n"/>
      <c r="E1391" s="9" t="n"/>
      <c r="F1391" s="9" t="n"/>
      <c r="G1391" s="9" t="n"/>
      <c r="H1391" s="10" t="n"/>
      <c r="I1391" s="62">
        <f>IF('Calendario I'!I31="","",'Calendario I'!I31)</f>
        <v/>
      </c>
      <c r="J1391" s="141" t="n"/>
      <c r="K1391" s="141" t="n"/>
      <c r="L1391" s="141" t="n"/>
      <c r="M1391" s="141" t="n"/>
      <c r="N1391" s="141" t="n"/>
      <c r="O1391" s="141" t="n"/>
      <c r="P1391" s="141" t="n"/>
      <c r="Q1391" s="141" t="n"/>
      <c r="R1391" s="141" t="n"/>
    </row>
    <row r="1392" ht="14" customHeight="1">
      <c r="A1392" s="123" t="inlineStr">
        <is>
          <t>Gara N.</t>
        </is>
      </c>
      <c r="B1392" s="123" t="inlineStr">
        <is>
          <t>Squadra A</t>
        </is>
      </c>
      <c r="C1392" s="10" t="n"/>
      <c r="D1392" s="123" t="inlineStr">
        <is>
          <t>Squadra B</t>
        </is>
      </c>
      <c r="E1392" s="10" t="n"/>
      <c r="F1392" s="123" t="inlineStr">
        <is>
          <t>Giorno</t>
        </is>
      </c>
      <c r="G1392" s="123" t="inlineStr">
        <is>
          <t>Data</t>
        </is>
      </c>
      <c r="H1392" s="123" t="inlineStr">
        <is>
          <t>Ora</t>
        </is>
      </c>
      <c r="I1392" s="10" t="n"/>
      <c r="J1392" s="123" t="inlineStr">
        <is>
          <t>Risultato</t>
        </is>
      </c>
      <c r="K1392" s="9" t="n"/>
      <c r="L1392" s="10" t="n"/>
      <c r="M1392" s="213" t="inlineStr">
        <is>
          <t>1o Arbitro</t>
        </is>
      </c>
      <c r="N1392" s="213" t="inlineStr">
        <is>
          <t>2o Arbitro</t>
        </is>
      </c>
      <c r="O1392" s="213" t="inlineStr">
        <is>
          <t>3o Arbitro/Tirocinante</t>
        </is>
      </c>
      <c r="P1392" s="213" t="inlineStr">
        <is>
          <t>Referto</t>
        </is>
      </c>
      <c r="Q1392" s="213" t="inlineStr">
        <is>
          <t>Cronometro</t>
        </is>
      </c>
      <c r="R1392" s="213" t="inlineStr">
        <is>
          <t>Foglio Tiri</t>
        </is>
      </c>
    </row>
    <row r="1393" ht="22" customHeight="1">
      <c r="A1393" s="125">
        <f>IF('Calendario I'!A33="","",'Calendario I'!A33)</f>
        <v/>
      </c>
      <c r="B1393" s="61">
        <f>IF('Calendario I'!B33="","",'Calendario I'!B33)</f>
        <v/>
      </c>
      <c r="C1393" s="62">
        <f>IF('Calendario I'!C33="","",'Calendario I'!C33)</f>
        <v/>
      </c>
      <c r="D1393" s="61">
        <f>IF('Calendario I'!D33="","",'Calendario I'!D33)</f>
        <v/>
      </c>
      <c r="E1393" s="62">
        <f>IF('Calendario I'!E33="","",'Calendario I'!E33)</f>
        <v/>
      </c>
      <c r="F1393" s="63">
        <f>IF('Calendario I'!F33="","",'Calendario I'!F33)</f>
        <v/>
      </c>
      <c r="G1393" s="9" t="n"/>
      <c r="H1393" s="9" t="n"/>
      <c r="I1393" s="10" t="n"/>
      <c r="J1393" s="195">
        <f>IF('Calendario I'!J33="","",'Calendario I'!J33)</f>
        <v/>
      </c>
      <c r="K1393" s="64" t="inlineStr">
        <is>
          <t>-</t>
        </is>
      </c>
      <c r="L1393" s="195">
        <f>IF('Calendario I'!L33="","",'Calendario I'!L33)</f>
        <v/>
      </c>
      <c r="M1393" s="196" t="n"/>
      <c r="N1393" s="196" t="n"/>
      <c r="O1393" s="196" t="n"/>
      <c r="P1393" s="196" t="n"/>
      <c r="Q1393" s="196" t="n"/>
      <c r="R1393" s="196" t="n"/>
    </row>
    <row r="1394" ht="15" customHeight="1">
      <c r="A1394" s="141" t="n"/>
      <c r="B1394" s="69">
        <f>IF('Calendario I'!B34="","",'Calendario I'!B34)</f>
        <v/>
      </c>
      <c r="C1394" s="9" t="n"/>
      <c r="D1394" s="9" t="n"/>
      <c r="E1394" s="9" t="n"/>
      <c r="F1394" s="9" t="n"/>
      <c r="G1394" s="9" t="n"/>
      <c r="H1394" s="10" t="n"/>
      <c r="I1394" s="62">
        <f>IF('Calendario I'!I34="","",'Calendario I'!I34)</f>
        <v/>
      </c>
      <c r="J1394" s="141" t="n"/>
      <c r="K1394" s="141" t="n"/>
      <c r="L1394" s="141" t="n"/>
      <c r="M1394" s="141" t="n"/>
      <c r="N1394" s="141" t="n"/>
      <c r="O1394" s="141" t="n"/>
      <c r="P1394" s="141" t="n"/>
      <c r="Q1394" s="141" t="n"/>
      <c r="R1394" s="141" t="n"/>
    </row>
    <row r="1395" ht="14" customHeight="1">
      <c r="A1395" s="123" t="inlineStr">
        <is>
          <t>Gara N.</t>
        </is>
      </c>
      <c r="B1395" s="123" t="inlineStr">
        <is>
          <t>Squadra A</t>
        </is>
      </c>
      <c r="C1395" s="10" t="n"/>
      <c r="D1395" s="123" t="inlineStr">
        <is>
          <t>Squadra B</t>
        </is>
      </c>
      <c r="E1395" s="10" t="n"/>
      <c r="F1395" s="123" t="inlineStr">
        <is>
          <t>Giorno</t>
        </is>
      </c>
      <c r="G1395" s="123" t="inlineStr">
        <is>
          <t>Data</t>
        </is>
      </c>
      <c r="H1395" s="123" t="inlineStr">
        <is>
          <t>Ora</t>
        </is>
      </c>
      <c r="I1395" s="10" t="n"/>
      <c r="J1395" s="123" t="inlineStr">
        <is>
          <t>Risultato</t>
        </is>
      </c>
      <c r="K1395" s="9" t="n"/>
      <c r="L1395" s="10" t="n"/>
      <c r="M1395" s="213" t="inlineStr">
        <is>
          <t>1o Arbitro</t>
        </is>
      </c>
      <c r="N1395" s="213" t="inlineStr">
        <is>
          <t>2o Arbitro</t>
        </is>
      </c>
      <c r="O1395" s="213" t="inlineStr">
        <is>
          <t>3o Arbitro/Tirocinante</t>
        </is>
      </c>
      <c r="P1395" s="213" t="inlineStr">
        <is>
          <t>Referto</t>
        </is>
      </c>
      <c r="Q1395" s="213" t="inlineStr">
        <is>
          <t>Cronometro</t>
        </is>
      </c>
      <c r="R1395" s="213" t="inlineStr">
        <is>
          <t>Foglio Tiri</t>
        </is>
      </c>
    </row>
    <row r="1396" ht="22" customHeight="1">
      <c r="A1396" s="125">
        <f>IF('Calendario I'!A36="","",'Calendario I'!A36)</f>
        <v/>
      </c>
      <c r="B1396" s="61">
        <f>IF('Calendario I'!B36="","",'Calendario I'!B36)</f>
        <v/>
      </c>
      <c r="C1396" s="62">
        <f>IF('Calendario I'!C36="","",'Calendario I'!C36)</f>
        <v/>
      </c>
      <c r="D1396" s="61">
        <f>IF('Calendario I'!D36="","",'Calendario I'!D36)</f>
        <v/>
      </c>
      <c r="E1396" s="62">
        <f>IF('Calendario I'!E36="","",'Calendario I'!E36)</f>
        <v/>
      </c>
      <c r="F1396" s="63">
        <f>IF('Calendario I'!F36="","",'Calendario I'!F36)</f>
        <v/>
      </c>
      <c r="G1396" s="9" t="n"/>
      <c r="H1396" s="9" t="n"/>
      <c r="I1396" s="10" t="n"/>
      <c r="J1396" s="195">
        <f>IF('Calendario I'!J36="","",'Calendario I'!J36)</f>
        <v/>
      </c>
      <c r="K1396" s="64" t="inlineStr">
        <is>
          <t>-</t>
        </is>
      </c>
      <c r="L1396" s="195">
        <f>IF('Calendario I'!L36="","",'Calendario I'!L36)</f>
        <v/>
      </c>
      <c r="M1396" s="196" t="n"/>
      <c r="N1396" s="196" t="n"/>
      <c r="O1396" s="196" t="n"/>
      <c r="P1396" s="196" t="n"/>
      <c r="Q1396" s="196" t="n"/>
      <c r="R1396" s="196" t="n"/>
    </row>
    <row r="1397" ht="15" customHeight="1">
      <c r="A1397" s="141" t="n"/>
      <c r="B1397" s="69">
        <f>IF('Calendario I'!B37="","",'Calendario I'!B37)</f>
        <v/>
      </c>
      <c r="C1397" s="9" t="n"/>
      <c r="D1397" s="9" t="n"/>
      <c r="E1397" s="9" t="n"/>
      <c r="F1397" s="9" t="n"/>
      <c r="G1397" s="9" t="n"/>
      <c r="H1397" s="10" t="n"/>
      <c r="I1397" s="62">
        <f>IF('Calendario I'!I37="","",'Calendario I'!I37)</f>
        <v/>
      </c>
      <c r="J1397" s="141" t="n"/>
      <c r="K1397" s="141" t="n"/>
      <c r="L1397" s="141" t="n"/>
      <c r="M1397" s="141" t="n"/>
      <c r="N1397" s="141" t="n"/>
      <c r="O1397" s="141" t="n"/>
      <c r="P1397" s="141" t="n"/>
      <c r="Q1397" s="141" t="n"/>
      <c r="R1397" s="141" t="n"/>
    </row>
    <row r="1398" ht="14" customHeight="1">
      <c r="A1398" s="123" t="inlineStr">
        <is>
          <t>Gara N.</t>
        </is>
      </c>
      <c r="B1398" s="123" t="inlineStr">
        <is>
          <t>Squadra A</t>
        </is>
      </c>
      <c r="C1398" s="10" t="n"/>
      <c r="D1398" s="123" t="inlineStr">
        <is>
          <t>Squadra B</t>
        </is>
      </c>
      <c r="E1398" s="10" t="n"/>
      <c r="F1398" s="123" t="inlineStr">
        <is>
          <t>Giorno</t>
        </is>
      </c>
      <c r="G1398" s="123" t="inlineStr">
        <is>
          <t>Data</t>
        </is>
      </c>
      <c r="H1398" s="123" t="inlineStr">
        <is>
          <t>Ora</t>
        </is>
      </c>
      <c r="I1398" s="10" t="n"/>
      <c r="J1398" s="123" t="inlineStr">
        <is>
          <t>Risultato</t>
        </is>
      </c>
      <c r="K1398" s="9" t="n"/>
      <c r="L1398" s="10" t="n"/>
      <c r="M1398" s="213" t="inlineStr">
        <is>
          <t>1o Arbitro</t>
        </is>
      </c>
      <c r="N1398" s="213" t="inlineStr">
        <is>
          <t>2o Arbitro</t>
        </is>
      </c>
      <c r="O1398" s="213" t="inlineStr">
        <is>
          <t>3o Arbitro/Tirocinante</t>
        </is>
      </c>
      <c r="P1398" s="213" t="inlineStr">
        <is>
          <t>Referto</t>
        </is>
      </c>
      <c r="Q1398" s="213" t="inlineStr">
        <is>
          <t>Cronometro</t>
        </is>
      </c>
      <c r="R1398" s="213" t="inlineStr">
        <is>
          <t>Foglio Tiri</t>
        </is>
      </c>
    </row>
    <row r="1399" ht="22" customHeight="1">
      <c r="A1399" s="125">
        <f>IF('Calendario I'!A39="","",'Calendario I'!A39)</f>
        <v/>
      </c>
      <c r="B1399" s="61">
        <f>IF('Calendario I'!B39="","",'Calendario I'!B39)</f>
        <v/>
      </c>
      <c r="C1399" s="62">
        <f>IF('Calendario I'!C39="","",'Calendario I'!C39)</f>
        <v/>
      </c>
      <c r="D1399" s="61">
        <f>IF('Calendario I'!D39="","",'Calendario I'!D39)</f>
        <v/>
      </c>
      <c r="E1399" s="62">
        <f>IF('Calendario I'!E39="","",'Calendario I'!E39)</f>
        <v/>
      </c>
      <c r="F1399" s="63">
        <f>IF('Calendario I'!F39="","",'Calendario I'!F39)</f>
        <v/>
      </c>
      <c r="G1399" s="9" t="n"/>
      <c r="H1399" s="9" t="n"/>
      <c r="I1399" s="10" t="n"/>
      <c r="J1399" s="195">
        <f>IF('Calendario I'!J39="","",'Calendario I'!J39)</f>
        <v/>
      </c>
      <c r="K1399" s="64" t="inlineStr">
        <is>
          <t>-</t>
        </is>
      </c>
      <c r="L1399" s="195">
        <f>IF('Calendario I'!L39="","",'Calendario I'!L39)</f>
        <v/>
      </c>
      <c r="M1399" s="196" t="n"/>
      <c r="N1399" s="196" t="n"/>
      <c r="O1399" s="196" t="n"/>
      <c r="P1399" s="196" t="n"/>
      <c r="Q1399" s="196" t="n"/>
      <c r="R1399" s="196" t="n"/>
    </row>
    <row r="1400" ht="15" customHeight="1">
      <c r="A1400" s="141" t="n"/>
      <c r="B1400" s="69">
        <f>IF('Calendario I'!B40="","",'Calendario I'!B40)</f>
        <v/>
      </c>
      <c r="C1400" s="9" t="n"/>
      <c r="D1400" s="9" t="n"/>
      <c r="E1400" s="9" t="n"/>
      <c r="F1400" s="9" t="n"/>
      <c r="G1400" s="9" t="n"/>
      <c r="H1400" s="10" t="n"/>
      <c r="I1400" s="62">
        <f>IF('Calendario I'!I40="","",'Calendario I'!I40)</f>
        <v/>
      </c>
      <c r="J1400" s="141" t="n"/>
      <c r="K1400" s="141" t="n"/>
      <c r="L1400" s="141" t="n"/>
      <c r="M1400" s="141" t="n"/>
      <c r="N1400" s="141" t="n"/>
      <c r="O1400" s="141" t="n"/>
      <c r="P1400" s="141" t="n"/>
      <c r="Q1400" s="141" t="n"/>
      <c r="R1400" s="141" t="n"/>
    </row>
    <row r="1402" ht="20" customHeight="1">
      <c r="A1402" s="120">
        <f>IF('Calendario I'!A42="","",'Calendario I'!A42)</f>
        <v/>
      </c>
      <c r="B1402" s="121">
        <f>IF('Calendario I'!B42="","",'Calendario I'!B42)</f>
        <v/>
      </c>
      <c r="C1402" s="9" t="n"/>
      <c r="D1402" s="9" t="n"/>
      <c r="E1402" s="9" t="n"/>
      <c r="F1402" s="9" t="n"/>
      <c r="G1402" s="9" t="n"/>
      <c r="H1402" s="9" t="n"/>
      <c r="I1402" s="9" t="n"/>
      <c r="J1402" s="9" t="n"/>
      <c r="K1402" s="9" t="n"/>
      <c r="L1402" s="10" t="n"/>
      <c r="M1402" s="212" t="inlineStr">
        <is>
          <t>ARBITRI</t>
        </is>
      </c>
      <c r="N1402" s="9" t="n"/>
      <c r="O1402" s="10" t="n"/>
      <c r="P1402" s="212" t="inlineStr">
        <is>
          <t>UFFICIALI DI CAMPO</t>
        </is>
      </c>
      <c r="Q1402" s="9" t="n"/>
      <c r="R1402" s="10" t="n"/>
    </row>
    <row r="1403" ht="14" customHeight="1">
      <c r="A1403" s="123" t="inlineStr">
        <is>
          <t>Gara N.</t>
        </is>
      </c>
      <c r="B1403" s="123" t="inlineStr">
        <is>
          <t>Squadra A</t>
        </is>
      </c>
      <c r="C1403" s="10" t="n"/>
      <c r="D1403" s="123" t="inlineStr">
        <is>
          <t>Squadra B</t>
        </is>
      </c>
      <c r="E1403" s="10" t="n"/>
      <c r="F1403" s="123" t="inlineStr">
        <is>
          <t>Giorno</t>
        </is>
      </c>
      <c r="G1403" s="123" t="inlineStr">
        <is>
          <t>Data</t>
        </is>
      </c>
      <c r="H1403" s="123" t="inlineStr">
        <is>
          <t>Ora</t>
        </is>
      </c>
      <c r="I1403" s="10" t="n"/>
      <c r="J1403" s="123" t="inlineStr">
        <is>
          <t>Risultato</t>
        </is>
      </c>
      <c r="K1403" s="9" t="n"/>
      <c r="L1403" s="10" t="n"/>
      <c r="M1403" s="213" t="inlineStr">
        <is>
          <t>1o Arbitro</t>
        </is>
      </c>
      <c r="N1403" s="213" t="inlineStr">
        <is>
          <t>2o Arbitro</t>
        </is>
      </c>
      <c r="O1403" s="213" t="inlineStr">
        <is>
          <t>3o Arbitro/Tirocinante</t>
        </is>
      </c>
      <c r="P1403" s="213" t="inlineStr">
        <is>
          <t>Referto</t>
        </is>
      </c>
      <c r="Q1403" s="213" t="inlineStr">
        <is>
          <t>Cronometro</t>
        </is>
      </c>
      <c r="R1403" s="213" t="inlineStr">
        <is>
          <t>Foglio Tiri</t>
        </is>
      </c>
    </row>
    <row r="1404" ht="22" customHeight="1">
      <c r="A1404" s="125">
        <f>IF('Calendario I'!A44="","",'Calendario I'!A44)</f>
        <v/>
      </c>
      <c r="B1404" s="61">
        <f>IF('Calendario I'!B44="","",'Calendario I'!B44)</f>
        <v/>
      </c>
      <c r="C1404" s="62">
        <f>IF('Calendario I'!C44="","",'Calendario I'!C44)</f>
        <v/>
      </c>
      <c r="D1404" s="61">
        <f>IF('Calendario I'!D44="","",'Calendario I'!D44)</f>
        <v/>
      </c>
      <c r="E1404" s="62">
        <f>IF('Calendario I'!E44="","",'Calendario I'!E44)</f>
        <v/>
      </c>
      <c r="F1404" s="63">
        <f>IF('Calendario I'!F44="","",'Calendario I'!F44)</f>
        <v/>
      </c>
      <c r="G1404" s="9" t="n"/>
      <c r="H1404" s="9" t="n"/>
      <c r="I1404" s="10" t="n"/>
      <c r="J1404" s="195">
        <f>IF('Calendario I'!J44="","",'Calendario I'!J44)</f>
        <v/>
      </c>
      <c r="K1404" s="64" t="inlineStr">
        <is>
          <t>-</t>
        </is>
      </c>
      <c r="L1404" s="195">
        <f>IF('Calendario I'!L44="","",'Calendario I'!L44)</f>
        <v/>
      </c>
      <c r="M1404" s="196" t="n"/>
      <c r="N1404" s="196" t="n"/>
      <c r="O1404" s="196" t="n"/>
      <c r="P1404" s="196" t="n"/>
      <c r="Q1404" s="196" t="n"/>
      <c r="R1404" s="196" t="n"/>
    </row>
    <row r="1405" ht="15" customHeight="1">
      <c r="A1405" s="141" t="n"/>
      <c r="B1405" s="69">
        <f>IF('Calendario I'!B45="","",'Calendario I'!B45)</f>
        <v/>
      </c>
      <c r="C1405" s="9" t="n"/>
      <c r="D1405" s="9" t="n"/>
      <c r="E1405" s="9" t="n"/>
      <c r="F1405" s="9" t="n"/>
      <c r="G1405" s="9" t="n"/>
      <c r="H1405" s="10" t="n"/>
      <c r="I1405" s="62">
        <f>IF('Calendario I'!I45="","",'Calendario I'!I45)</f>
        <v/>
      </c>
      <c r="J1405" s="141" t="n"/>
      <c r="K1405" s="141" t="n"/>
      <c r="L1405" s="141" t="n"/>
      <c r="M1405" s="141" t="n"/>
      <c r="N1405" s="141" t="n"/>
      <c r="O1405" s="141" t="n"/>
      <c r="P1405" s="141" t="n"/>
      <c r="Q1405" s="141" t="n"/>
      <c r="R1405" s="141" t="n"/>
    </row>
    <row r="1406" ht="14" customHeight="1">
      <c r="A1406" s="123" t="inlineStr">
        <is>
          <t>Gara N.</t>
        </is>
      </c>
      <c r="B1406" s="123" t="inlineStr">
        <is>
          <t>Squadra A</t>
        </is>
      </c>
      <c r="C1406" s="10" t="n"/>
      <c r="D1406" s="123" t="inlineStr">
        <is>
          <t>Squadra B</t>
        </is>
      </c>
      <c r="E1406" s="10" t="n"/>
      <c r="F1406" s="123" t="inlineStr">
        <is>
          <t>Giorno</t>
        </is>
      </c>
      <c r="G1406" s="123" t="inlineStr">
        <is>
          <t>Data</t>
        </is>
      </c>
      <c r="H1406" s="123" t="inlineStr">
        <is>
          <t>Ora</t>
        </is>
      </c>
      <c r="I1406" s="10" t="n"/>
      <c r="J1406" s="123" t="inlineStr">
        <is>
          <t>Risultato</t>
        </is>
      </c>
      <c r="K1406" s="9" t="n"/>
      <c r="L1406" s="10" t="n"/>
      <c r="M1406" s="213" t="inlineStr">
        <is>
          <t>1o Arbitro</t>
        </is>
      </c>
      <c r="N1406" s="213" t="inlineStr">
        <is>
          <t>2o Arbitro</t>
        </is>
      </c>
      <c r="O1406" s="213" t="inlineStr">
        <is>
          <t>3o Arbitro/Tirocinante</t>
        </is>
      </c>
      <c r="P1406" s="213" t="inlineStr">
        <is>
          <t>Referto</t>
        </is>
      </c>
      <c r="Q1406" s="213" t="inlineStr">
        <is>
          <t>Cronometro</t>
        </is>
      </c>
      <c r="R1406" s="213" t="inlineStr">
        <is>
          <t>Foglio Tiri</t>
        </is>
      </c>
    </row>
    <row r="1407" ht="22" customHeight="1">
      <c r="A1407" s="125">
        <f>IF('Calendario I'!A47="","",'Calendario I'!A47)</f>
        <v/>
      </c>
      <c r="B1407" s="61">
        <f>IF('Calendario I'!B47="","",'Calendario I'!B47)</f>
        <v/>
      </c>
      <c r="C1407" s="62">
        <f>IF('Calendario I'!C47="","",'Calendario I'!C47)</f>
        <v/>
      </c>
      <c r="D1407" s="61">
        <f>IF('Calendario I'!D47="","",'Calendario I'!D47)</f>
        <v/>
      </c>
      <c r="E1407" s="62">
        <f>IF('Calendario I'!E47="","",'Calendario I'!E47)</f>
        <v/>
      </c>
      <c r="F1407" s="63">
        <f>IF('Calendario I'!F47="","",'Calendario I'!F47)</f>
        <v/>
      </c>
      <c r="G1407" s="9" t="n"/>
      <c r="H1407" s="9" t="n"/>
      <c r="I1407" s="10" t="n"/>
      <c r="J1407" s="195">
        <f>IF('Calendario I'!J47="","",'Calendario I'!J47)</f>
        <v/>
      </c>
      <c r="K1407" s="64" t="inlineStr">
        <is>
          <t>-</t>
        </is>
      </c>
      <c r="L1407" s="195">
        <f>IF('Calendario I'!L47="","",'Calendario I'!L47)</f>
        <v/>
      </c>
      <c r="M1407" s="196" t="n"/>
      <c r="N1407" s="196" t="n"/>
      <c r="O1407" s="196" t="n"/>
      <c r="P1407" s="196" t="n"/>
      <c r="Q1407" s="196" t="n"/>
      <c r="R1407" s="196" t="n"/>
    </row>
    <row r="1408" ht="15" customHeight="1">
      <c r="A1408" s="141" t="n"/>
      <c r="B1408" s="69">
        <f>IF('Calendario I'!B48="","",'Calendario I'!B48)</f>
        <v/>
      </c>
      <c r="C1408" s="9" t="n"/>
      <c r="D1408" s="9" t="n"/>
      <c r="E1408" s="9" t="n"/>
      <c r="F1408" s="9" t="n"/>
      <c r="G1408" s="9" t="n"/>
      <c r="H1408" s="10" t="n"/>
      <c r="I1408" s="62">
        <f>IF('Calendario I'!I48="","",'Calendario I'!I48)</f>
        <v/>
      </c>
      <c r="J1408" s="141" t="n"/>
      <c r="K1408" s="141" t="n"/>
      <c r="L1408" s="141" t="n"/>
      <c r="M1408" s="141" t="n"/>
      <c r="N1408" s="141" t="n"/>
      <c r="O1408" s="141" t="n"/>
      <c r="P1408" s="141" t="n"/>
      <c r="Q1408" s="141" t="n"/>
      <c r="R1408" s="141" t="n"/>
    </row>
    <row r="1409" ht="14" customHeight="1">
      <c r="A1409" s="123" t="inlineStr">
        <is>
          <t>Gara N.</t>
        </is>
      </c>
      <c r="B1409" s="123" t="inlineStr">
        <is>
          <t>Squadra A</t>
        </is>
      </c>
      <c r="C1409" s="10" t="n"/>
      <c r="D1409" s="123" t="inlineStr">
        <is>
          <t>Squadra B</t>
        </is>
      </c>
      <c r="E1409" s="10" t="n"/>
      <c r="F1409" s="123" t="inlineStr">
        <is>
          <t>Giorno</t>
        </is>
      </c>
      <c r="G1409" s="123" t="inlineStr">
        <is>
          <t>Data</t>
        </is>
      </c>
      <c r="H1409" s="123" t="inlineStr">
        <is>
          <t>Ora</t>
        </is>
      </c>
      <c r="I1409" s="10" t="n"/>
      <c r="J1409" s="123" t="inlineStr">
        <is>
          <t>Risultato</t>
        </is>
      </c>
      <c r="K1409" s="9" t="n"/>
      <c r="L1409" s="10" t="n"/>
      <c r="M1409" s="213" t="inlineStr">
        <is>
          <t>1o Arbitro</t>
        </is>
      </c>
      <c r="N1409" s="213" t="inlineStr">
        <is>
          <t>2o Arbitro</t>
        </is>
      </c>
      <c r="O1409" s="213" t="inlineStr">
        <is>
          <t>3o Arbitro/Tirocinante</t>
        </is>
      </c>
      <c r="P1409" s="213" t="inlineStr">
        <is>
          <t>Referto</t>
        </is>
      </c>
      <c r="Q1409" s="213" t="inlineStr">
        <is>
          <t>Cronometro</t>
        </is>
      </c>
      <c r="R1409" s="213" t="inlineStr">
        <is>
          <t>Foglio Tiri</t>
        </is>
      </c>
    </row>
    <row r="1410" ht="22" customHeight="1">
      <c r="A1410" s="125">
        <f>IF('Calendario I'!A50="","",'Calendario I'!A50)</f>
        <v/>
      </c>
      <c r="B1410" s="61">
        <f>IF('Calendario I'!B50="","",'Calendario I'!B50)</f>
        <v/>
      </c>
      <c r="C1410" s="62">
        <f>IF('Calendario I'!C50="","",'Calendario I'!C50)</f>
        <v/>
      </c>
      <c r="D1410" s="61">
        <f>IF('Calendario I'!D50="","",'Calendario I'!D50)</f>
        <v/>
      </c>
      <c r="E1410" s="62">
        <f>IF('Calendario I'!E50="","",'Calendario I'!E50)</f>
        <v/>
      </c>
      <c r="F1410" s="63">
        <f>IF('Calendario I'!F50="","",'Calendario I'!F50)</f>
        <v/>
      </c>
      <c r="G1410" s="9" t="n"/>
      <c r="H1410" s="9" t="n"/>
      <c r="I1410" s="10" t="n"/>
      <c r="J1410" s="195">
        <f>IF('Calendario I'!J50="","",'Calendario I'!J50)</f>
        <v/>
      </c>
      <c r="K1410" s="64" t="inlineStr">
        <is>
          <t>-</t>
        </is>
      </c>
      <c r="L1410" s="195">
        <f>IF('Calendario I'!L50="","",'Calendario I'!L50)</f>
        <v/>
      </c>
      <c r="M1410" s="196" t="n"/>
      <c r="N1410" s="196" t="n"/>
      <c r="O1410" s="196" t="n"/>
      <c r="P1410" s="196" t="n"/>
      <c r="Q1410" s="196" t="n"/>
      <c r="R1410" s="196" t="n"/>
    </row>
    <row r="1411" ht="15" customHeight="1">
      <c r="A1411" s="141" t="n"/>
      <c r="B1411" s="69">
        <f>IF('Calendario I'!B51="","",'Calendario I'!B51)</f>
        <v/>
      </c>
      <c r="C1411" s="9" t="n"/>
      <c r="D1411" s="9" t="n"/>
      <c r="E1411" s="9" t="n"/>
      <c r="F1411" s="9" t="n"/>
      <c r="G1411" s="9" t="n"/>
      <c r="H1411" s="10" t="n"/>
      <c r="I1411" s="62">
        <f>IF('Calendario I'!I51="","",'Calendario I'!I51)</f>
        <v/>
      </c>
      <c r="J1411" s="141" t="n"/>
      <c r="K1411" s="141" t="n"/>
      <c r="L1411" s="141" t="n"/>
      <c r="M1411" s="141" t="n"/>
      <c r="N1411" s="141" t="n"/>
      <c r="O1411" s="141" t="n"/>
      <c r="P1411" s="141" t="n"/>
      <c r="Q1411" s="141" t="n"/>
      <c r="R1411" s="141" t="n"/>
    </row>
    <row r="1412" ht="14" customHeight="1">
      <c r="A1412" s="123" t="inlineStr">
        <is>
          <t>Gara N.</t>
        </is>
      </c>
      <c r="B1412" s="123" t="inlineStr">
        <is>
          <t>Squadra A</t>
        </is>
      </c>
      <c r="C1412" s="10" t="n"/>
      <c r="D1412" s="123" t="inlineStr">
        <is>
          <t>Squadra B</t>
        </is>
      </c>
      <c r="E1412" s="10" t="n"/>
      <c r="F1412" s="123" t="inlineStr">
        <is>
          <t>Giorno</t>
        </is>
      </c>
      <c r="G1412" s="123" t="inlineStr">
        <is>
          <t>Data</t>
        </is>
      </c>
      <c r="H1412" s="123" t="inlineStr">
        <is>
          <t>Ora</t>
        </is>
      </c>
      <c r="I1412" s="10" t="n"/>
      <c r="J1412" s="123" t="inlineStr">
        <is>
          <t>Risultato</t>
        </is>
      </c>
      <c r="K1412" s="9" t="n"/>
      <c r="L1412" s="10" t="n"/>
      <c r="M1412" s="213" t="inlineStr">
        <is>
          <t>1o Arbitro</t>
        </is>
      </c>
      <c r="N1412" s="213" t="inlineStr">
        <is>
          <t>2o Arbitro</t>
        </is>
      </c>
      <c r="O1412" s="213" t="inlineStr">
        <is>
          <t>3o Arbitro/Tirocinante</t>
        </is>
      </c>
      <c r="P1412" s="213" t="inlineStr">
        <is>
          <t>Referto</t>
        </is>
      </c>
      <c r="Q1412" s="213" t="inlineStr">
        <is>
          <t>Cronometro</t>
        </is>
      </c>
      <c r="R1412" s="213" t="inlineStr">
        <is>
          <t>Foglio Tiri</t>
        </is>
      </c>
    </row>
    <row r="1413" ht="22" customHeight="1">
      <c r="A1413" s="125">
        <f>IF('Calendario I'!A53="","",'Calendario I'!A53)</f>
        <v/>
      </c>
      <c r="B1413" s="61">
        <f>IF('Calendario I'!B53="","",'Calendario I'!B53)</f>
        <v/>
      </c>
      <c r="C1413" s="62">
        <f>IF('Calendario I'!C53="","",'Calendario I'!C53)</f>
        <v/>
      </c>
      <c r="D1413" s="61">
        <f>IF('Calendario I'!D53="","",'Calendario I'!D53)</f>
        <v/>
      </c>
      <c r="E1413" s="62">
        <f>IF('Calendario I'!E53="","",'Calendario I'!E53)</f>
        <v/>
      </c>
      <c r="F1413" s="63">
        <f>IF('Calendario I'!F53="","",'Calendario I'!F53)</f>
        <v/>
      </c>
      <c r="G1413" s="9" t="n"/>
      <c r="H1413" s="9" t="n"/>
      <c r="I1413" s="10" t="n"/>
      <c r="J1413" s="195">
        <f>IF('Calendario I'!J53="","",'Calendario I'!J53)</f>
        <v/>
      </c>
      <c r="K1413" s="64" t="inlineStr">
        <is>
          <t>-</t>
        </is>
      </c>
      <c r="L1413" s="195">
        <f>IF('Calendario I'!L53="","",'Calendario I'!L53)</f>
        <v/>
      </c>
      <c r="M1413" s="196" t="n"/>
      <c r="N1413" s="196" t="n"/>
      <c r="O1413" s="196" t="n"/>
      <c r="P1413" s="196" t="n"/>
      <c r="Q1413" s="196" t="n"/>
      <c r="R1413" s="196" t="n"/>
    </row>
    <row r="1414" ht="15" customHeight="1">
      <c r="A1414" s="141" t="n"/>
      <c r="B1414" s="69">
        <f>IF('Calendario I'!B54="","",'Calendario I'!B54)</f>
        <v/>
      </c>
      <c r="C1414" s="9" t="n"/>
      <c r="D1414" s="9" t="n"/>
      <c r="E1414" s="9" t="n"/>
      <c r="F1414" s="9" t="n"/>
      <c r="G1414" s="9" t="n"/>
      <c r="H1414" s="10" t="n"/>
      <c r="I1414" s="62">
        <f>IF('Calendario I'!I54="","",'Calendario I'!I54)</f>
        <v/>
      </c>
      <c r="J1414" s="141" t="n"/>
      <c r="K1414" s="141" t="n"/>
      <c r="L1414" s="141" t="n"/>
      <c r="M1414" s="141" t="n"/>
      <c r="N1414" s="141" t="n"/>
      <c r="O1414" s="141" t="n"/>
      <c r="P1414" s="141" t="n"/>
      <c r="Q1414" s="141" t="n"/>
      <c r="R1414" s="141" t="n"/>
    </row>
    <row r="1415" ht="14" customHeight="1">
      <c r="A1415" s="123" t="inlineStr">
        <is>
          <t>Gara N.</t>
        </is>
      </c>
      <c r="B1415" s="123" t="inlineStr">
        <is>
          <t>Squadra A</t>
        </is>
      </c>
      <c r="C1415" s="10" t="n"/>
      <c r="D1415" s="123" t="inlineStr">
        <is>
          <t>Squadra B</t>
        </is>
      </c>
      <c r="E1415" s="10" t="n"/>
      <c r="F1415" s="123" t="inlineStr">
        <is>
          <t>Giorno</t>
        </is>
      </c>
      <c r="G1415" s="123" t="inlineStr">
        <is>
          <t>Data</t>
        </is>
      </c>
      <c r="H1415" s="123" t="inlineStr">
        <is>
          <t>Ora</t>
        </is>
      </c>
      <c r="I1415" s="10" t="n"/>
      <c r="J1415" s="123" t="inlineStr">
        <is>
          <t>Risultato</t>
        </is>
      </c>
      <c r="K1415" s="9" t="n"/>
      <c r="L1415" s="10" t="n"/>
      <c r="M1415" s="213" t="inlineStr">
        <is>
          <t>1o Arbitro</t>
        </is>
      </c>
      <c r="N1415" s="213" t="inlineStr">
        <is>
          <t>2o Arbitro</t>
        </is>
      </c>
      <c r="O1415" s="213" t="inlineStr">
        <is>
          <t>3o Arbitro/Tirocinante</t>
        </is>
      </c>
      <c r="P1415" s="213" t="inlineStr">
        <is>
          <t>Referto</t>
        </is>
      </c>
      <c r="Q1415" s="213" t="inlineStr">
        <is>
          <t>Cronometro</t>
        </is>
      </c>
      <c r="R1415" s="213" t="inlineStr">
        <is>
          <t>Foglio Tiri</t>
        </is>
      </c>
    </row>
    <row r="1416" ht="22" customHeight="1">
      <c r="A1416" s="125">
        <f>IF('Calendario I'!A56="","",'Calendario I'!A56)</f>
        <v/>
      </c>
      <c r="B1416" s="61">
        <f>IF('Calendario I'!B56="","",'Calendario I'!B56)</f>
        <v/>
      </c>
      <c r="C1416" s="62">
        <f>IF('Calendario I'!C56="","",'Calendario I'!C56)</f>
        <v/>
      </c>
      <c r="D1416" s="61">
        <f>IF('Calendario I'!D56="","",'Calendario I'!D56)</f>
        <v/>
      </c>
      <c r="E1416" s="62">
        <f>IF('Calendario I'!E56="","",'Calendario I'!E56)</f>
        <v/>
      </c>
      <c r="F1416" s="63">
        <f>IF('Calendario I'!F56="","",'Calendario I'!F56)</f>
        <v/>
      </c>
      <c r="G1416" s="9" t="n"/>
      <c r="H1416" s="9" t="n"/>
      <c r="I1416" s="10" t="n"/>
      <c r="J1416" s="195">
        <f>IF('Calendario I'!J56="","",'Calendario I'!J56)</f>
        <v/>
      </c>
      <c r="K1416" s="64" t="inlineStr">
        <is>
          <t>-</t>
        </is>
      </c>
      <c r="L1416" s="195">
        <f>IF('Calendario I'!L56="","",'Calendario I'!L56)</f>
        <v/>
      </c>
      <c r="M1416" s="196" t="n"/>
      <c r="N1416" s="196" t="n"/>
      <c r="O1416" s="196" t="n"/>
      <c r="P1416" s="196" t="n"/>
      <c r="Q1416" s="196" t="n"/>
      <c r="R1416" s="196" t="n"/>
    </row>
    <row r="1417" ht="15" customHeight="1">
      <c r="A1417" s="141" t="n"/>
      <c r="B1417" s="69">
        <f>IF('Calendario I'!B57="","",'Calendario I'!B57)</f>
        <v/>
      </c>
      <c r="C1417" s="9" t="n"/>
      <c r="D1417" s="9" t="n"/>
      <c r="E1417" s="9" t="n"/>
      <c r="F1417" s="9" t="n"/>
      <c r="G1417" s="9" t="n"/>
      <c r="H1417" s="10" t="n"/>
      <c r="I1417" s="62">
        <f>IF('Calendario I'!I57="","",'Calendario I'!I57)</f>
        <v/>
      </c>
      <c r="J1417" s="141" t="n"/>
      <c r="K1417" s="141" t="n"/>
      <c r="L1417" s="141" t="n"/>
      <c r="M1417" s="141" t="n"/>
      <c r="N1417" s="141" t="n"/>
      <c r="O1417" s="141" t="n"/>
      <c r="P1417" s="141" t="n"/>
      <c r="Q1417" s="141" t="n"/>
      <c r="R1417" s="141" t="n"/>
    </row>
    <row r="1419" ht="20" customHeight="1">
      <c r="A1419" s="120">
        <f>IF('Calendario I'!A59="","",'Calendario I'!A59)</f>
        <v/>
      </c>
      <c r="B1419" s="121">
        <f>IF('Calendario I'!B59="","",'Calendario I'!B59)</f>
        <v/>
      </c>
      <c r="C1419" s="9" t="n"/>
      <c r="D1419" s="9" t="n"/>
      <c r="E1419" s="9" t="n"/>
      <c r="F1419" s="9" t="n"/>
      <c r="G1419" s="9" t="n"/>
      <c r="H1419" s="9" t="n"/>
      <c r="I1419" s="9" t="n"/>
      <c r="J1419" s="9" t="n"/>
      <c r="K1419" s="9" t="n"/>
      <c r="L1419" s="10" t="n"/>
      <c r="M1419" s="212" t="inlineStr">
        <is>
          <t>ARBITRI</t>
        </is>
      </c>
      <c r="N1419" s="9" t="n"/>
      <c r="O1419" s="10" t="n"/>
      <c r="P1419" s="212" t="inlineStr">
        <is>
          <t>UFFICIALI DI CAMPO</t>
        </is>
      </c>
      <c r="Q1419" s="9" t="n"/>
      <c r="R1419" s="10" t="n"/>
    </row>
    <row r="1420" ht="14" customHeight="1">
      <c r="A1420" s="123" t="inlineStr">
        <is>
          <t>Gara N.</t>
        </is>
      </c>
      <c r="B1420" s="123" t="inlineStr">
        <is>
          <t>Squadra A</t>
        </is>
      </c>
      <c r="C1420" s="10" t="n"/>
      <c r="D1420" s="123" t="inlineStr">
        <is>
          <t>Squadra B</t>
        </is>
      </c>
      <c r="E1420" s="10" t="n"/>
      <c r="F1420" s="123" t="inlineStr">
        <is>
          <t>Giorno</t>
        </is>
      </c>
      <c r="G1420" s="123" t="inlineStr">
        <is>
          <t>Data</t>
        </is>
      </c>
      <c r="H1420" s="123" t="inlineStr">
        <is>
          <t>Ora</t>
        </is>
      </c>
      <c r="I1420" s="10" t="n"/>
      <c r="J1420" s="123" t="inlineStr">
        <is>
          <t>Risultato</t>
        </is>
      </c>
      <c r="K1420" s="9" t="n"/>
      <c r="L1420" s="10" t="n"/>
      <c r="M1420" s="213" t="inlineStr">
        <is>
          <t>1o Arbitro</t>
        </is>
      </c>
      <c r="N1420" s="213" t="inlineStr">
        <is>
          <t>2o Arbitro</t>
        </is>
      </c>
      <c r="O1420" s="213" t="inlineStr">
        <is>
          <t>3o Arbitro/Tirocinante</t>
        </is>
      </c>
      <c r="P1420" s="213" t="inlineStr">
        <is>
          <t>Referto</t>
        </is>
      </c>
      <c r="Q1420" s="213" t="inlineStr">
        <is>
          <t>Cronometro</t>
        </is>
      </c>
      <c r="R1420" s="213" t="inlineStr">
        <is>
          <t>Foglio Tiri</t>
        </is>
      </c>
    </row>
    <row r="1421" ht="22" customHeight="1">
      <c r="A1421" s="125">
        <f>IF('Calendario I'!A61="","",'Calendario I'!A61)</f>
        <v/>
      </c>
      <c r="B1421" s="61">
        <f>IF('Calendario I'!B61="","",'Calendario I'!B61)</f>
        <v/>
      </c>
      <c r="C1421" s="62">
        <f>IF('Calendario I'!C61="","",'Calendario I'!C61)</f>
        <v/>
      </c>
      <c r="D1421" s="61">
        <f>IF('Calendario I'!D61="","",'Calendario I'!D61)</f>
        <v/>
      </c>
      <c r="E1421" s="62">
        <f>IF('Calendario I'!E61="","",'Calendario I'!E61)</f>
        <v/>
      </c>
      <c r="F1421" s="63">
        <f>IF('Calendario I'!F61="","",'Calendario I'!F61)</f>
        <v/>
      </c>
      <c r="G1421" s="9" t="n"/>
      <c r="H1421" s="9" t="n"/>
      <c r="I1421" s="10" t="n"/>
      <c r="J1421" s="195">
        <f>IF('Calendario I'!J61="","",'Calendario I'!J61)</f>
        <v/>
      </c>
      <c r="K1421" s="64" t="inlineStr">
        <is>
          <t>-</t>
        </is>
      </c>
      <c r="L1421" s="195">
        <f>IF('Calendario I'!L61="","",'Calendario I'!L61)</f>
        <v/>
      </c>
      <c r="M1421" s="196" t="n"/>
      <c r="N1421" s="196" t="n"/>
      <c r="O1421" s="196" t="n"/>
      <c r="P1421" s="196" t="n"/>
      <c r="Q1421" s="196" t="n"/>
      <c r="R1421" s="196" t="n"/>
    </row>
    <row r="1422" ht="15" customHeight="1">
      <c r="A1422" s="141" t="n"/>
      <c r="B1422" s="69">
        <f>IF('Calendario I'!B62="","",'Calendario I'!B62)</f>
        <v/>
      </c>
      <c r="C1422" s="9" t="n"/>
      <c r="D1422" s="9" t="n"/>
      <c r="E1422" s="9" t="n"/>
      <c r="F1422" s="9" t="n"/>
      <c r="G1422" s="9" t="n"/>
      <c r="H1422" s="10" t="n"/>
      <c r="I1422" s="62">
        <f>IF('Calendario I'!I62="","",'Calendario I'!I62)</f>
        <v/>
      </c>
      <c r="J1422" s="141" t="n"/>
      <c r="K1422" s="141" t="n"/>
      <c r="L1422" s="141" t="n"/>
      <c r="M1422" s="141" t="n"/>
      <c r="N1422" s="141" t="n"/>
      <c r="O1422" s="141" t="n"/>
      <c r="P1422" s="141" t="n"/>
      <c r="Q1422" s="141" t="n"/>
      <c r="R1422" s="141" t="n"/>
    </row>
    <row r="1423" ht="14" customHeight="1">
      <c r="A1423" s="123" t="inlineStr">
        <is>
          <t>Gara N.</t>
        </is>
      </c>
      <c r="B1423" s="123" t="inlineStr">
        <is>
          <t>Squadra A</t>
        </is>
      </c>
      <c r="C1423" s="10" t="n"/>
      <c r="D1423" s="123" t="inlineStr">
        <is>
          <t>Squadra B</t>
        </is>
      </c>
      <c r="E1423" s="10" t="n"/>
      <c r="F1423" s="123" t="inlineStr">
        <is>
          <t>Giorno</t>
        </is>
      </c>
      <c r="G1423" s="123" t="inlineStr">
        <is>
          <t>Data</t>
        </is>
      </c>
      <c r="H1423" s="123" t="inlineStr">
        <is>
          <t>Ora</t>
        </is>
      </c>
      <c r="I1423" s="10" t="n"/>
      <c r="J1423" s="123" t="inlineStr">
        <is>
          <t>Risultato</t>
        </is>
      </c>
      <c r="K1423" s="9" t="n"/>
      <c r="L1423" s="10" t="n"/>
      <c r="M1423" s="213" t="inlineStr">
        <is>
          <t>1o Arbitro</t>
        </is>
      </c>
      <c r="N1423" s="213" t="inlineStr">
        <is>
          <t>2o Arbitro</t>
        </is>
      </c>
      <c r="O1423" s="213" t="inlineStr">
        <is>
          <t>3o Arbitro/Tirocinante</t>
        </is>
      </c>
      <c r="P1423" s="213" t="inlineStr">
        <is>
          <t>Referto</t>
        </is>
      </c>
      <c r="Q1423" s="213" t="inlineStr">
        <is>
          <t>Cronometro</t>
        </is>
      </c>
      <c r="R1423" s="213" t="inlineStr">
        <is>
          <t>Foglio Tiri</t>
        </is>
      </c>
    </row>
    <row r="1424" ht="22" customHeight="1">
      <c r="A1424" s="125">
        <f>IF('Calendario I'!A64="","",'Calendario I'!A64)</f>
        <v/>
      </c>
      <c r="B1424" s="61">
        <f>IF('Calendario I'!B64="","",'Calendario I'!B64)</f>
        <v/>
      </c>
      <c r="C1424" s="62">
        <f>IF('Calendario I'!C64="","",'Calendario I'!C64)</f>
        <v/>
      </c>
      <c r="D1424" s="61">
        <f>IF('Calendario I'!D64="","",'Calendario I'!D64)</f>
        <v/>
      </c>
      <c r="E1424" s="62">
        <f>IF('Calendario I'!E64="","",'Calendario I'!E64)</f>
        <v/>
      </c>
      <c r="F1424" s="63">
        <f>IF('Calendario I'!F64="","",'Calendario I'!F64)</f>
        <v/>
      </c>
      <c r="G1424" s="9" t="n"/>
      <c r="H1424" s="9" t="n"/>
      <c r="I1424" s="10" t="n"/>
      <c r="J1424" s="195">
        <f>IF('Calendario I'!J64="","",'Calendario I'!J64)</f>
        <v/>
      </c>
      <c r="K1424" s="64" t="inlineStr">
        <is>
          <t>-</t>
        </is>
      </c>
      <c r="L1424" s="195">
        <f>IF('Calendario I'!L64="","",'Calendario I'!L64)</f>
        <v/>
      </c>
      <c r="M1424" s="196" t="n"/>
      <c r="N1424" s="196" t="n"/>
      <c r="O1424" s="196" t="n"/>
      <c r="P1424" s="196" t="n"/>
      <c r="Q1424" s="196" t="n"/>
      <c r="R1424" s="196" t="n"/>
    </row>
    <row r="1425" ht="15" customHeight="1">
      <c r="A1425" s="141" t="n"/>
      <c r="B1425" s="69">
        <f>IF('Calendario I'!B65="","",'Calendario I'!B65)</f>
        <v/>
      </c>
      <c r="C1425" s="9" t="n"/>
      <c r="D1425" s="9" t="n"/>
      <c r="E1425" s="9" t="n"/>
      <c r="F1425" s="9" t="n"/>
      <c r="G1425" s="9" t="n"/>
      <c r="H1425" s="10" t="n"/>
      <c r="I1425" s="62">
        <f>IF('Calendario I'!I65="","",'Calendario I'!I65)</f>
        <v/>
      </c>
      <c r="J1425" s="141" t="n"/>
      <c r="K1425" s="141" t="n"/>
      <c r="L1425" s="141" t="n"/>
      <c r="M1425" s="141" t="n"/>
      <c r="N1425" s="141" t="n"/>
      <c r="O1425" s="141" t="n"/>
      <c r="P1425" s="141" t="n"/>
      <c r="Q1425" s="141" t="n"/>
      <c r="R1425" s="141" t="n"/>
    </row>
    <row r="1426" ht="14" customHeight="1">
      <c r="A1426" s="123" t="inlineStr">
        <is>
          <t>Gara N.</t>
        </is>
      </c>
      <c r="B1426" s="123" t="inlineStr">
        <is>
          <t>Squadra A</t>
        </is>
      </c>
      <c r="C1426" s="10" t="n"/>
      <c r="D1426" s="123" t="inlineStr">
        <is>
          <t>Squadra B</t>
        </is>
      </c>
      <c r="E1426" s="10" t="n"/>
      <c r="F1426" s="123" t="inlineStr">
        <is>
          <t>Giorno</t>
        </is>
      </c>
      <c r="G1426" s="123" t="inlineStr">
        <is>
          <t>Data</t>
        </is>
      </c>
      <c r="H1426" s="123" t="inlineStr">
        <is>
          <t>Ora</t>
        </is>
      </c>
      <c r="I1426" s="10" t="n"/>
      <c r="J1426" s="123" t="inlineStr">
        <is>
          <t>Risultato</t>
        </is>
      </c>
      <c r="K1426" s="9" t="n"/>
      <c r="L1426" s="10" t="n"/>
      <c r="M1426" s="213" t="inlineStr">
        <is>
          <t>1o Arbitro</t>
        </is>
      </c>
      <c r="N1426" s="213" t="inlineStr">
        <is>
          <t>2o Arbitro</t>
        </is>
      </c>
      <c r="O1426" s="213" t="inlineStr">
        <is>
          <t>3o Arbitro/Tirocinante</t>
        </is>
      </c>
      <c r="P1426" s="213" t="inlineStr">
        <is>
          <t>Referto</t>
        </is>
      </c>
      <c r="Q1426" s="213" t="inlineStr">
        <is>
          <t>Cronometro</t>
        </is>
      </c>
      <c r="R1426" s="213" t="inlineStr">
        <is>
          <t>Foglio Tiri</t>
        </is>
      </c>
    </row>
    <row r="1427" ht="22" customHeight="1">
      <c r="A1427" s="125">
        <f>IF('Calendario I'!A67="","",'Calendario I'!A67)</f>
        <v/>
      </c>
      <c r="B1427" s="61">
        <f>IF('Calendario I'!B67="","",'Calendario I'!B67)</f>
        <v/>
      </c>
      <c r="C1427" s="62">
        <f>IF('Calendario I'!C67="","",'Calendario I'!C67)</f>
        <v/>
      </c>
      <c r="D1427" s="61">
        <f>IF('Calendario I'!D67="","",'Calendario I'!D67)</f>
        <v/>
      </c>
      <c r="E1427" s="62">
        <f>IF('Calendario I'!E67="","",'Calendario I'!E67)</f>
        <v/>
      </c>
      <c r="F1427" s="63">
        <f>IF('Calendario I'!F67="","",'Calendario I'!F67)</f>
        <v/>
      </c>
      <c r="G1427" s="9" t="n"/>
      <c r="H1427" s="9" t="n"/>
      <c r="I1427" s="10" t="n"/>
      <c r="J1427" s="195">
        <f>IF('Calendario I'!J67="","",'Calendario I'!J67)</f>
        <v/>
      </c>
      <c r="K1427" s="64" t="inlineStr">
        <is>
          <t>-</t>
        </is>
      </c>
      <c r="L1427" s="195">
        <f>IF('Calendario I'!L67="","",'Calendario I'!L67)</f>
        <v/>
      </c>
      <c r="M1427" s="196" t="n"/>
      <c r="N1427" s="196" t="n"/>
      <c r="O1427" s="196" t="n"/>
      <c r="P1427" s="196" t="n"/>
      <c r="Q1427" s="196" t="n"/>
      <c r="R1427" s="196" t="n"/>
    </row>
    <row r="1428" ht="15" customHeight="1">
      <c r="A1428" s="141" t="n"/>
      <c r="B1428" s="69">
        <f>IF('Calendario I'!B68="","",'Calendario I'!B68)</f>
        <v/>
      </c>
      <c r="C1428" s="9" t="n"/>
      <c r="D1428" s="9" t="n"/>
      <c r="E1428" s="9" t="n"/>
      <c r="F1428" s="9" t="n"/>
      <c r="G1428" s="9" t="n"/>
      <c r="H1428" s="10" t="n"/>
      <c r="I1428" s="62">
        <f>IF('Calendario I'!I68="","",'Calendario I'!I68)</f>
        <v/>
      </c>
      <c r="J1428" s="141" t="n"/>
      <c r="K1428" s="141" t="n"/>
      <c r="L1428" s="141" t="n"/>
      <c r="M1428" s="141" t="n"/>
      <c r="N1428" s="141" t="n"/>
      <c r="O1428" s="141" t="n"/>
      <c r="P1428" s="141" t="n"/>
      <c r="Q1428" s="141" t="n"/>
      <c r="R1428" s="141" t="n"/>
    </row>
    <row r="1429" ht="14" customHeight="1">
      <c r="A1429" s="123" t="inlineStr">
        <is>
          <t>Gara N.</t>
        </is>
      </c>
      <c r="B1429" s="123" t="inlineStr">
        <is>
          <t>Squadra A</t>
        </is>
      </c>
      <c r="C1429" s="10" t="n"/>
      <c r="D1429" s="123" t="inlineStr">
        <is>
          <t>Squadra B</t>
        </is>
      </c>
      <c r="E1429" s="10" t="n"/>
      <c r="F1429" s="123" t="inlineStr">
        <is>
          <t>Giorno</t>
        </is>
      </c>
      <c r="G1429" s="123" t="inlineStr">
        <is>
          <t>Data</t>
        </is>
      </c>
      <c r="H1429" s="123" t="inlineStr">
        <is>
          <t>Ora</t>
        </is>
      </c>
      <c r="I1429" s="10" t="n"/>
      <c r="J1429" s="123" t="inlineStr">
        <is>
          <t>Risultato</t>
        </is>
      </c>
      <c r="K1429" s="9" t="n"/>
      <c r="L1429" s="10" t="n"/>
      <c r="M1429" s="213" t="inlineStr">
        <is>
          <t>1o Arbitro</t>
        </is>
      </c>
      <c r="N1429" s="213" t="inlineStr">
        <is>
          <t>2o Arbitro</t>
        </is>
      </c>
      <c r="O1429" s="213" t="inlineStr">
        <is>
          <t>3o Arbitro/Tirocinante</t>
        </is>
      </c>
      <c r="P1429" s="213" t="inlineStr">
        <is>
          <t>Referto</t>
        </is>
      </c>
      <c r="Q1429" s="213" t="inlineStr">
        <is>
          <t>Cronometro</t>
        </is>
      </c>
      <c r="R1429" s="213" t="inlineStr">
        <is>
          <t>Foglio Tiri</t>
        </is>
      </c>
    </row>
    <row r="1430" ht="22" customHeight="1">
      <c r="A1430" s="125">
        <f>IF('Calendario I'!A70="","",'Calendario I'!A70)</f>
        <v/>
      </c>
      <c r="B1430" s="61">
        <f>IF('Calendario I'!B70="","",'Calendario I'!B70)</f>
        <v/>
      </c>
      <c r="C1430" s="62">
        <f>IF('Calendario I'!C70="","",'Calendario I'!C70)</f>
        <v/>
      </c>
      <c r="D1430" s="61">
        <f>IF('Calendario I'!D70="","",'Calendario I'!D70)</f>
        <v/>
      </c>
      <c r="E1430" s="62">
        <f>IF('Calendario I'!E70="","",'Calendario I'!E70)</f>
        <v/>
      </c>
      <c r="F1430" s="63">
        <f>IF('Calendario I'!F70="","",'Calendario I'!F70)</f>
        <v/>
      </c>
      <c r="G1430" s="9" t="n"/>
      <c r="H1430" s="9" t="n"/>
      <c r="I1430" s="10" t="n"/>
      <c r="J1430" s="195">
        <f>IF('Calendario I'!J70="","",'Calendario I'!J70)</f>
        <v/>
      </c>
      <c r="K1430" s="64" t="inlineStr">
        <is>
          <t>-</t>
        </is>
      </c>
      <c r="L1430" s="195">
        <f>IF('Calendario I'!L70="","",'Calendario I'!L70)</f>
        <v/>
      </c>
      <c r="M1430" s="196" t="n"/>
      <c r="N1430" s="196" t="n"/>
      <c r="O1430" s="196" t="n"/>
      <c r="P1430" s="196" t="n"/>
      <c r="Q1430" s="196" t="n"/>
      <c r="R1430" s="196" t="n"/>
    </row>
    <row r="1431" ht="15" customHeight="1">
      <c r="A1431" s="141" t="n"/>
      <c r="B1431" s="69">
        <f>IF('Calendario I'!B71="","",'Calendario I'!B71)</f>
        <v/>
      </c>
      <c r="C1431" s="9" t="n"/>
      <c r="D1431" s="9" t="n"/>
      <c r="E1431" s="9" t="n"/>
      <c r="F1431" s="9" t="n"/>
      <c r="G1431" s="9" t="n"/>
      <c r="H1431" s="10" t="n"/>
      <c r="I1431" s="62">
        <f>IF('Calendario I'!I71="","",'Calendario I'!I71)</f>
        <v/>
      </c>
      <c r="J1431" s="141" t="n"/>
      <c r="K1431" s="141" t="n"/>
      <c r="L1431" s="141" t="n"/>
      <c r="M1431" s="141" t="n"/>
      <c r="N1431" s="141" t="n"/>
      <c r="O1431" s="141" t="n"/>
      <c r="P1431" s="141" t="n"/>
      <c r="Q1431" s="141" t="n"/>
      <c r="R1431" s="141" t="n"/>
    </row>
    <row r="1432" ht="14" customHeight="1">
      <c r="A1432" s="123" t="inlineStr">
        <is>
          <t>Gara N.</t>
        </is>
      </c>
      <c r="B1432" s="123" t="inlineStr">
        <is>
          <t>Squadra A</t>
        </is>
      </c>
      <c r="C1432" s="10" t="n"/>
      <c r="D1432" s="123" t="inlineStr">
        <is>
          <t>Squadra B</t>
        </is>
      </c>
      <c r="E1432" s="10" t="n"/>
      <c r="F1432" s="123" t="inlineStr">
        <is>
          <t>Giorno</t>
        </is>
      </c>
      <c r="G1432" s="123" t="inlineStr">
        <is>
          <t>Data</t>
        </is>
      </c>
      <c r="H1432" s="123" t="inlineStr">
        <is>
          <t>Ora</t>
        </is>
      </c>
      <c r="I1432" s="10" t="n"/>
      <c r="J1432" s="123" t="inlineStr">
        <is>
          <t>Risultato</t>
        </is>
      </c>
      <c r="K1432" s="9" t="n"/>
      <c r="L1432" s="10" t="n"/>
      <c r="M1432" s="213" t="inlineStr">
        <is>
          <t>1o Arbitro</t>
        </is>
      </c>
      <c r="N1432" s="213" t="inlineStr">
        <is>
          <t>2o Arbitro</t>
        </is>
      </c>
      <c r="O1432" s="213" t="inlineStr">
        <is>
          <t>3o Arbitro/Tirocinante</t>
        </is>
      </c>
      <c r="P1432" s="213" t="inlineStr">
        <is>
          <t>Referto</t>
        </is>
      </c>
      <c r="Q1432" s="213" t="inlineStr">
        <is>
          <t>Cronometro</t>
        </is>
      </c>
      <c r="R1432" s="213" t="inlineStr">
        <is>
          <t>Foglio Tiri</t>
        </is>
      </c>
    </row>
    <row r="1433" ht="22" customHeight="1">
      <c r="A1433" s="125">
        <f>IF('Calendario I'!A73="","",'Calendario I'!A73)</f>
        <v/>
      </c>
      <c r="B1433" s="61">
        <f>IF('Calendario I'!B73="","",'Calendario I'!B73)</f>
        <v/>
      </c>
      <c r="C1433" s="62">
        <f>IF('Calendario I'!C73="","",'Calendario I'!C73)</f>
        <v/>
      </c>
      <c r="D1433" s="61">
        <f>IF('Calendario I'!D73="","",'Calendario I'!D73)</f>
        <v/>
      </c>
      <c r="E1433" s="62">
        <f>IF('Calendario I'!E73="","",'Calendario I'!E73)</f>
        <v/>
      </c>
      <c r="F1433" s="63">
        <f>IF('Calendario I'!F73="","",'Calendario I'!F73)</f>
        <v/>
      </c>
      <c r="G1433" s="9" t="n"/>
      <c r="H1433" s="9" t="n"/>
      <c r="I1433" s="10" t="n"/>
      <c r="J1433" s="195">
        <f>IF('Calendario I'!J73="","",'Calendario I'!J73)</f>
        <v/>
      </c>
      <c r="K1433" s="64" t="inlineStr">
        <is>
          <t>-</t>
        </is>
      </c>
      <c r="L1433" s="195">
        <f>IF('Calendario I'!L73="","",'Calendario I'!L73)</f>
        <v/>
      </c>
      <c r="M1433" s="196" t="n"/>
      <c r="N1433" s="196" t="n"/>
      <c r="O1433" s="196" t="n"/>
      <c r="P1433" s="196" t="n"/>
      <c r="Q1433" s="196" t="n"/>
      <c r="R1433" s="196" t="n"/>
    </row>
    <row r="1434" ht="15" customHeight="1">
      <c r="A1434" s="141" t="n"/>
      <c r="B1434" s="69">
        <f>IF('Calendario I'!B74="","",'Calendario I'!B74)</f>
        <v/>
      </c>
      <c r="C1434" s="9" t="n"/>
      <c r="D1434" s="9" t="n"/>
      <c r="E1434" s="9" t="n"/>
      <c r="F1434" s="9" t="n"/>
      <c r="G1434" s="9" t="n"/>
      <c r="H1434" s="10" t="n"/>
      <c r="I1434" s="62">
        <f>IF('Calendario I'!I74="","",'Calendario I'!I74)</f>
        <v/>
      </c>
      <c r="J1434" s="141" t="n"/>
      <c r="K1434" s="141" t="n"/>
      <c r="L1434" s="141" t="n"/>
      <c r="M1434" s="141" t="n"/>
      <c r="N1434" s="141" t="n"/>
      <c r="O1434" s="141" t="n"/>
      <c r="P1434" s="141" t="n"/>
      <c r="Q1434" s="141" t="n"/>
      <c r="R1434" s="141" t="n"/>
    </row>
    <row r="1436" ht="20" customHeight="1">
      <c r="A1436" s="120">
        <f>IF('Calendario I'!A76="","",'Calendario I'!A76)</f>
        <v/>
      </c>
      <c r="B1436" s="121">
        <f>IF('Calendario I'!B76="","",'Calendario I'!B76)</f>
        <v/>
      </c>
      <c r="C1436" s="9" t="n"/>
      <c r="D1436" s="9" t="n"/>
      <c r="E1436" s="9" t="n"/>
      <c r="F1436" s="9" t="n"/>
      <c r="G1436" s="9" t="n"/>
      <c r="H1436" s="9" t="n"/>
      <c r="I1436" s="9" t="n"/>
      <c r="J1436" s="9" t="n"/>
      <c r="K1436" s="9" t="n"/>
      <c r="L1436" s="10" t="n"/>
      <c r="M1436" s="212" t="inlineStr">
        <is>
          <t>ARBITRI</t>
        </is>
      </c>
      <c r="N1436" s="9" t="n"/>
      <c r="O1436" s="10" t="n"/>
      <c r="P1436" s="212" t="inlineStr">
        <is>
          <t>UFFICIALI DI CAMPO</t>
        </is>
      </c>
      <c r="Q1436" s="9" t="n"/>
      <c r="R1436" s="10" t="n"/>
    </row>
    <row r="1437" ht="14" customHeight="1">
      <c r="A1437" s="123" t="inlineStr">
        <is>
          <t>Gara N.</t>
        </is>
      </c>
      <c r="B1437" s="123" t="inlineStr">
        <is>
          <t>Squadra A</t>
        </is>
      </c>
      <c r="C1437" s="10" t="n"/>
      <c r="D1437" s="123" t="inlineStr">
        <is>
          <t>Squadra B</t>
        </is>
      </c>
      <c r="E1437" s="10" t="n"/>
      <c r="F1437" s="123" t="inlineStr">
        <is>
          <t>Giorno</t>
        </is>
      </c>
      <c r="G1437" s="123" t="inlineStr">
        <is>
          <t>Data</t>
        </is>
      </c>
      <c r="H1437" s="123" t="inlineStr">
        <is>
          <t>Ora</t>
        </is>
      </c>
      <c r="I1437" s="10" t="n"/>
      <c r="J1437" s="123" t="inlineStr">
        <is>
          <t>Risultato</t>
        </is>
      </c>
      <c r="K1437" s="9" t="n"/>
      <c r="L1437" s="10" t="n"/>
      <c r="M1437" s="213" t="inlineStr">
        <is>
          <t>1o Arbitro</t>
        </is>
      </c>
      <c r="N1437" s="213" t="inlineStr">
        <is>
          <t>2o Arbitro</t>
        </is>
      </c>
      <c r="O1437" s="213" t="inlineStr">
        <is>
          <t>3o Arbitro/Tirocinante</t>
        </is>
      </c>
      <c r="P1437" s="213" t="inlineStr">
        <is>
          <t>Referto</t>
        </is>
      </c>
      <c r="Q1437" s="213" t="inlineStr">
        <is>
          <t>Cronometro</t>
        </is>
      </c>
      <c r="R1437" s="213" t="inlineStr">
        <is>
          <t>Foglio Tiri</t>
        </is>
      </c>
    </row>
    <row r="1438" ht="22" customHeight="1">
      <c r="A1438" s="125">
        <f>IF('Calendario I'!A78="","",'Calendario I'!A78)</f>
        <v/>
      </c>
      <c r="B1438" s="61">
        <f>IF('Calendario I'!B78="","",'Calendario I'!B78)</f>
        <v/>
      </c>
      <c r="C1438" s="62">
        <f>IF('Calendario I'!C78="","",'Calendario I'!C78)</f>
        <v/>
      </c>
      <c r="D1438" s="61">
        <f>IF('Calendario I'!D78="","",'Calendario I'!D78)</f>
        <v/>
      </c>
      <c r="E1438" s="62">
        <f>IF('Calendario I'!E78="","",'Calendario I'!E78)</f>
        <v/>
      </c>
      <c r="F1438" s="63">
        <f>IF('Calendario I'!F78="","",'Calendario I'!F78)</f>
        <v/>
      </c>
      <c r="G1438" s="9" t="n"/>
      <c r="H1438" s="9" t="n"/>
      <c r="I1438" s="10" t="n"/>
      <c r="J1438" s="195">
        <f>IF('Calendario I'!J78="","",'Calendario I'!J78)</f>
        <v/>
      </c>
      <c r="K1438" s="64" t="inlineStr">
        <is>
          <t>-</t>
        </is>
      </c>
      <c r="L1438" s="195">
        <f>IF('Calendario I'!L78="","",'Calendario I'!L78)</f>
        <v/>
      </c>
      <c r="M1438" s="196" t="n"/>
      <c r="N1438" s="196" t="n"/>
      <c r="O1438" s="196" t="n"/>
      <c r="P1438" s="196" t="n"/>
      <c r="Q1438" s="196" t="n"/>
      <c r="R1438" s="196" t="n"/>
    </row>
    <row r="1439" ht="15" customHeight="1">
      <c r="A1439" s="141" t="n"/>
      <c r="B1439" s="69">
        <f>IF('Calendario I'!B79="","",'Calendario I'!B79)</f>
        <v/>
      </c>
      <c r="C1439" s="9" t="n"/>
      <c r="D1439" s="9" t="n"/>
      <c r="E1439" s="9" t="n"/>
      <c r="F1439" s="9" t="n"/>
      <c r="G1439" s="9" t="n"/>
      <c r="H1439" s="10" t="n"/>
      <c r="I1439" s="62">
        <f>IF('Calendario I'!I79="","",'Calendario I'!I79)</f>
        <v/>
      </c>
      <c r="J1439" s="141" t="n"/>
      <c r="K1439" s="141" t="n"/>
      <c r="L1439" s="141" t="n"/>
      <c r="M1439" s="141" t="n"/>
      <c r="N1439" s="141" t="n"/>
      <c r="O1439" s="141" t="n"/>
      <c r="P1439" s="141" t="n"/>
      <c r="Q1439" s="141" t="n"/>
      <c r="R1439" s="141" t="n"/>
    </row>
    <row r="1440" ht="14" customHeight="1">
      <c r="A1440" s="123" t="inlineStr">
        <is>
          <t>Gara N.</t>
        </is>
      </c>
      <c r="B1440" s="123" t="inlineStr">
        <is>
          <t>Squadra A</t>
        </is>
      </c>
      <c r="C1440" s="10" t="n"/>
      <c r="D1440" s="123" t="inlineStr">
        <is>
          <t>Squadra B</t>
        </is>
      </c>
      <c r="E1440" s="10" t="n"/>
      <c r="F1440" s="123" t="inlineStr">
        <is>
          <t>Giorno</t>
        </is>
      </c>
      <c r="G1440" s="123" t="inlineStr">
        <is>
          <t>Data</t>
        </is>
      </c>
      <c r="H1440" s="123" t="inlineStr">
        <is>
          <t>Ora</t>
        </is>
      </c>
      <c r="I1440" s="10" t="n"/>
      <c r="J1440" s="123" t="inlineStr">
        <is>
          <t>Risultato</t>
        </is>
      </c>
      <c r="K1440" s="9" t="n"/>
      <c r="L1440" s="10" t="n"/>
      <c r="M1440" s="213" t="inlineStr">
        <is>
          <t>1o Arbitro</t>
        </is>
      </c>
      <c r="N1440" s="213" t="inlineStr">
        <is>
          <t>2o Arbitro</t>
        </is>
      </c>
      <c r="O1440" s="213" t="inlineStr">
        <is>
          <t>3o Arbitro/Tirocinante</t>
        </is>
      </c>
      <c r="P1440" s="213" t="inlineStr">
        <is>
          <t>Referto</t>
        </is>
      </c>
      <c r="Q1440" s="213" t="inlineStr">
        <is>
          <t>Cronometro</t>
        </is>
      </c>
      <c r="R1440" s="213" t="inlineStr">
        <is>
          <t>Foglio Tiri</t>
        </is>
      </c>
    </row>
    <row r="1441" ht="22" customHeight="1">
      <c r="A1441" s="125">
        <f>IF('Calendario I'!A81="","",'Calendario I'!A81)</f>
        <v/>
      </c>
      <c r="B1441" s="61">
        <f>IF('Calendario I'!B81="","",'Calendario I'!B81)</f>
        <v/>
      </c>
      <c r="C1441" s="62">
        <f>IF('Calendario I'!C81="","",'Calendario I'!C81)</f>
        <v/>
      </c>
      <c r="D1441" s="61">
        <f>IF('Calendario I'!D81="","",'Calendario I'!D81)</f>
        <v/>
      </c>
      <c r="E1441" s="62">
        <f>IF('Calendario I'!E81="","",'Calendario I'!E81)</f>
        <v/>
      </c>
      <c r="F1441" s="63">
        <f>IF('Calendario I'!F81="","",'Calendario I'!F81)</f>
        <v/>
      </c>
      <c r="G1441" s="9" t="n"/>
      <c r="H1441" s="9" t="n"/>
      <c r="I1441" s="10" t="n"/>
      <c r="J1441" s="195">
        <f>IF('Calendario I'!J81="","",'Calendario I'!J81)</f>
        <v/>
      </c>
      <c r="K1441" s="64" t="inlineStr">
        <is>
          <t>-</t>
        </is>
      </c>
      <c r="L1441" s="195">
        <f>IF('Calendario I'!L81="","",'Calendario I'!L81)</f>
        <v/>
      </c>
      <c r="M1441" s="196" t="n"/>
      <c r="N1441" s="196" t="n"/>
      <c r="O1441" s="196" t="n"/>
      <c r="P1441" s="196" t="n"/>
      <c r="Q1441" s="196" t="n"/>
      <c r="R1441" s="196" t="n"/>
    </row>
    <row r="1442" ht="15" customHeight="1">
      <c r="A1442" s="141" t="n"/>
      <c r="B1442" s="69">
        <f>IF('Calendario I'!B82="","",'Calendario I'!B82)</f>
        <v/>
      </c>
      <c r="C1442" s="9" t="n"/>
      <c r="D1442" s="9" t="n"/>
      <c r="E1442" s="9" t="n"/>
      <c r="F1442" s="9" t="n"/>
      <c r="G1442" s="9" t="n"/>
      <c r="H1442" s="10" t="n"/>
      <c r="I1442" s="62">
        <f>IF('Calendario I'!I82="","",'Calendario I'!I82)</f>
        <v/>
      </c>
      <c r="J1442" s="141" t="n"/>
      <c r="K1442" s="141" t="n"/>
      <c r="L1442" s="141" t="n"/>
      <c r="M1442" s="141" t="n"/>
      <c r="N1442" s="141" t="n"/>
      <c r="O1442" s="141" t="n"/>
      <c r="P1442" s="141" t="n"/>
      <c r="Q1442" s="141" t="n"/>
      <c r="R1442" s="141" t="n"/>
    </row>
    <row r="1443" ht="14" customHeight="1">
      <c r="A1443" s="123" t="inlineStr">
        <is>
          <t>Gara N.</t>
        </is>
      </c>
      <c r="B1443" s="123" t="inlineStr">
        <is>
          <t>Squadra A</t>
        </is>
      </c>
      <c r="C1443" s="10" t="n"/>
      <c r="D1443" s="123" t="inlineStr">
        <is>
          <t>Squadra B</t>
        </is>
      </c>
      <c r="E1443" s="10" t="n"/>
      <c r="F1443" s="123" t="inlineStr">
        <is>
          <t>Giorno</t>
        </is>
      </c>
      <c r="G1443" s="123" t="inlineStr">
        <is>
          <t>Data</t>
        </is>
      </c>
      <c r="H1443" s="123" t="inlineStr">
        <is>
          <t>Ora</t>
        </is>
      </c>
      <c r="I1443" s="10" t="n"/>
      <c r="J1443" s="123" t="inlineStr">
        <is>
          <t>Risultato</t>
        </is>
      </c>
      <c r="K1443" s="9" t="n"/>
      <c r="L1443" s="10" t="n"/>
      <c r="M1443" s="213" t="inlineStr">
        <is>
          <t>1o Arbitro</t>
        </is>
      </c>
      <c r="N1443" s="213" t="inlineStr">
        <is>
          <t>2o Arbitro</t>
        </is>
      </c>
      <c r="O1443" s="213" t="inlineStr">
        <is>
          <t>3o Arbitro/Tirocinante</t>
        </is>
      </c>
      <c r="P1443" s="213" t="inlineStr">
        <is>
          <t>Referto</t>
        </is>
      </c>
      <c r="Q1443" s="213" t="inlineStr">
        <is>
          <t>Cronometro</t>
        </is>
      </c>
      <c r="R1443" s="213" t="inlineStr">
        <is>
          <t>Foglio Tiri</t>
        </is>
      </c>
    </row>
    <row r="1444" ht="22" customHeight="1">
      <c r="A1444" s="125">
        <f>IF('Calendario I'!A84="","",'Calendario I'!A84)</f>
        <v/>
      </c>
      <c r="B1444" s="61">
        <f>IF('Calendario I'!B84="","",'Calendario I'!B84)</f>
        <v/>
      </c>
      <c r="C1444" s="62">
        <f>IF('Calendario I'!C84="","",'Calendario I'!C84)</f>
        <v/>
      </c>
      <c r="D1444" s="61">
        <f>IF('Calendario I'!D84="","",'Calendario I'!D84)</f>
        <v/>
      </c>
      <c r="E1444" s="62">
        <f>IF('Calendario I'!E84="","",'Calendario I'!E84)</f>
        <v/>
      </c>
      <c r="F1444" s="63">
        <f>IF('Calendario I'!F84="","",'Calendario I'!F84)</f>
        <v/>
      </c>
      <c r="G1444" s="9" t="n"/>
      <c r="H1444" s="9" t="n"/>
      <c r="I1444" s="10" t="n"/>
      <c r="J1444" s="195">
        <f>IF('Calendario I'!J84="","",'Calendario I'!J84)</f>
        <v/>
      </c>
      <c r="K1444" s="64" t="inlineStr">
        <is>
          <t>-</t>
        </is>
      </c>
      <c r="L1444" s="195">
        <f>IF('Calendario I'!L84="","",'Calendario I'!L84)</f>
        <v/>
      </c>
      <c r="M1444" s="196" t="n"/>
      <c r="N1444" s="196" t="n"/>
      <c r="O1444" s="196" t="n"/>
      <c r="P1444" s="196" t="n"/>
      <c r="Q1444" s="196" t="n"/>
      <c r="R1444" s="196" t="n"/>
    </row>
    <row r="1445" ht="15" customHeight="1">
      <c r="A1445" s="141" t="n"/>
      <c r="B1445" s="69">
        <f>IF('Calendario I'!B85="","",'Calendario I'!B85)</f>
        <v/>
      </c>
      <c r="C1445" s="9" t="n"/>
      <c r="D1445" s="9" t="n"/>
      <c r="E1445" s="9" t="n"/>
      <c r="F1445" s="9" t="n"/>
      <c r="G1445" s="9" t="n"/>
      <c r="H1445" s="10" t="n"/>
      <c r="I1445" s="62">
        <f>IF('Calendario I'!I85="","",'Calendario I'!I85)</f>
        <v/>
      </c>
      <c r="J1445" s="141" t="n"/>
      <c r="K1445" s="141" t="n"/>
      <c r="L1445" s="141" t="n"/>
      <c r="M1445" s="141" t="n"/>
      <c r="N1445" s="141" t="n"/>
      <c r="O1445" s="141" t="n"/>
      <c r="P1445" s="141" t="n"/>
      <c r="Q1445" s="141" t="n"/>
      <c r="R1445" s="141" t="n"/>
    </row>
    <row r="1446" ht="14" customHeight="1">
      <c r="A1446" s="123" t="inlineStr">
        <is>
          <t>Gara N.</t>
        </is>
      </c>
      <c r="B1446" s="123" t="inlineStr">
        <is>
          <t>Squadra A</t>
        </is>
      </c>
      <c r="C1446" s="10" t="n"/>
      <c r="D1446" s="123" t="inlineStr">
        <is>
          <t>Squadra B</t>
        </is>
      </c>
      <c r="E1446" s="10" t="n"/>
      <c r="F1446" s="123" t="inlineStr">
        <is>
          <t>Giorno</t>
        </is>
      </c>
      <c r="G1446" s="123" t="inlineStr">
        <is>
          <t>Data</t>
        </is>
      </c>
      <c r="H1446" s="123" t="inlineStr">
        <is>
          <t>Ora</t>
        </is>
      </c>
      <c r="I1446" s="10" t="n"/>
      <c r="J1446" s="123" t="inlineStr">
        <is>
          <t>Risultato</t>
        </is>
      </c>
      <c r="K1446" s="9" t="n"/>
      <c r="L1446" s="10" t="n"/>
      <c r="M1446" s="213" t="inlineStr">
        <is>
          <t>1o Arbitro</t>
        </is>
      </c>
      <c r="N1446" s="213" t="inlineStr">
        <is>
          <t>2o Arbitro</t>
        </is>
      </c>
      <c r="O1446" s="213" t="inlineStr">
        <is>
          <t>3o Arbitro/Tirocinante</t>
        </is>
      </c>
      <c r="P1446" s="213" t="inlineStr">
        <is>
          <t>Referto</t>
        </is>
      </c>
      <c r="Q1446" s="213" t="inlineStr">
        <is>
          <t>Cronometro</t>
        </is>
      </c>
      <c r="R1446" s="213" t="inlineStr">
        <is>
          <t>Foglio Tiri</t>
        </is>
      </c>
    </row>
    <row r="1447" ht="22" customHeight="1">
      <c r="A1447" s="125">
        <f>IF('Calendario I'!A87="","",'Calendario I'!A87)</f>
        <v/>
      </c>
      <c r="B1447" s="61">
        <f>IF('Calendario I'!B87="","",'Calendario I'!B87)</f>
        <v/>
      </c>
      <c r="C1447" s="62">
        <f>IF('Calendario I'!C87="","",'Calendario I'!C87)</f>
        <v/>
      </c>
      <c r="D1447" s="61">
        <f>IF('Calendario I'!D87="","",'Calendario I'!D87)</f>
        <v/>
      </c>
      <c r="E1447" s="62">
        <f>IF('Calendario I'!E87="","",'Calendario I'!E87)</f>
        <v/>
      </c>
      <c r="F1447" s="63">
        <f>IF('Calendario I'!F87="","",'Calendario I'!F87)</f>
        <v/>
      </c>
      <c r="G1447" s="9" t="n"/>
      <c r="H1447" s="9" t="n"/>
      <c r="I1447" s="10" t="n"/>
      <c r="J1447" s="195">
        <f>IF('Calendario I'!J87="","",'Calendario I'!J87)</f>
        <v/>
      </c>
      <c r="K1447" s="64" t="inlineStr">
        <is>
          <t>-</t>
        </is>
      </c>
      <c r="L1447" s="195">
        <f>IF('Calendario I'!L87="","",'Calendario I'!L87)</f>
        <v/>
      </c>
      <c r="M1447" s="196" t="n"/>
      <c r="N1447" s="196" t="n"/>
      <c r="O1447" s="196" t="n"/>
      <c r="P1447" s="196" t="n"/>
      <c r="Q1447" s="196" t="n"/>
      <c r="R1447" s="196" t="n"/>
    </row>
    <row r="1448" ht="15" customHeight="1">
      <c r="A1448" s="141" t="n"/>
      <c r="B1448" s="69">
        <f>IF('Calendario I'!B88="","",'Calendario I'!B88)</f>
        <v/>
      </c>
      <c r="C1448" s="9" t="n"/>
      <c r="D1448" s="9" t="n"/>
      <c r="E1448" s="9" t="n"/>
      <c r="F1448" s="9" t="n"/>
      <c r="G1448" s="9" t="n"/>
      <c r="H1448" s="10" t="n"/>
      <c r="I1448" s="62">
        <f>IF('Calendario I'!I88="","",'Calendario I'!I88)</f>
        <v/>
      </c>
      <c r="J1448" s="141" t="n"/>
      <c r="K1448" s="141" t="n"/>
      <c r="L1448" s="141" t="n"/>
      <c r="M1448" s="141" t="n"/>
      <c r="N1448" s="141" t="n"/>
      <c r="O1448" s="141" t="n"/>
      <c r="P1448" s="141" t="n"/>
      <c r="Q1448" s="141" t="n"/>
      <c r="R1448" s="141" t="n"/>
    </row>
    <row r="1449" ht="14" customHeight="1">
      <c r="A1449" s="123" t="inlineStr">
        <is>
          <t>Gara N.</t>
        </is>
      </c>
      <c r="B1449" s="123" t="inlineStr">
        <is>
          <t>Squadra A</t>
        </is>
      </c>
      <c r="C1449" s="10" t="n"/>
      <c r="D1449" s="123" t="inlineStr">
        <is>
          <t>Squadra B</t>
        </is>
      </c>
      <c r="E1449" s="10" t="n"/>
      <c r="F1449" s="123" t="inlineStr">
        <is>
          <t>Giorno</t>
        </is>
      </c>
      <c r="G1449" s="123" t="inlineStr">
        <is>
          <t>Data</t>
        </is>
      </c>
      <c r="H1449" s="123" t="inlineStr">
        <is>
          <t>Ora</t>
        </is>
      </c>
      <c r="I1449" s="10" t="n"/>
      <c r="J1449" s="123" t="inlineStr">
        <is>
          <t>Risultato</t>
        </is>
      </c>
      <c r="K1449" s="9" t="n"/>
      <c r="L1449" s="10" t="n"/>
      <c r="M1449" s="213" t="inlineStr">
        <is>
          <t>1o Arbitro</t>
        </is>
      </c>
      <c r="N1449" s="213" t="inlineStr">
        <is>
          <t>2o Arbitro</t>
        </is>
      </c>
      <c r="O1449" s="213" t="inlineStr">
        <is>
          <t>3o Arbitro/Tirocinante</t>
        </is>
      </c>
      <c r="P1449" s="213" t="inlineStr">
        <is>
          <t>Referto</t>
        </is>
      </c>
      <c r="Q1449" s="213" t="inlineStr">
        <is>
          <t>Cronometro</t>
        </is>
      </c>
      <c r="R1449" s="213" t="inlineStr">
        <is>
          <t>Foglio Tiri</t>
        </is>
      </c>
    </row>
    <row r="1450" ht="22" customHeight="1">
      <c r="A1450" s="125">
        <f>IF('Calendario I'!A90="","",'Calendario I'!A90)</f>
        <v/>
      </c>
      <c r="B1450" s="61">
        <f>IF('Calendario I'!B90="","",'Calendario I'!B90)</f>
        <v/>
      </c>
      <c r="C1450" s="62">
        <f>IF('Calendario I'!C90="","",'Calendario I'!C90)</f>
        <v/>
      </c>
      <c r="D1450" s="61">
        <f>IF('Calendario I'!D90="","",'Calendario I'!D90)</f>
        <v/>
      </c>
      <c r="E1450" s="62">
        <f>IF('Calendario I'!E90="","",'Calendario I'!E90)</f>
        <v/>
      </c>
      <c r="F1450" s="63">
        <f>IF('Calendario I'!F90="","",'Calendario I'!F90)</f>
        <v/>
      </c>
      <c r="G1450" s="9" t="n"/>
      <c r="H1450" s="9" t="n"/>
      <c r="I1450" s="10" t="n"/>
      <c r="J1450" s="195">
        <f>IF('Calendario I'!J90="","",'Calendario I'!J90)</f>
        <v/>
      </c>
      <c r="K1450" s="64" t="inlineStr">
        <is>
          <t>-</t>
        </is>
      </c>
      <c r="L1450" s="195">
        <f>IF('Calendario I'!L90="","",'Calendario I'!L90)</f>
        <v/>
      </c>
      <c r="M1450" s="196" t="n"/>
      <c r="N1450" s="196" t="n"/>
      <c r="O1450" s="196" t="n"/>
      <c r="P1450" s="196" t="n"/>
      <c r="Q1450" s="196" t="n"/>
      <c r="R1450" s="196" t="n"/>
    </row>
    <row r="1451" ht="15" customHeight="1">
      <c r="A1451" s="141" t="n"/>
      <c r="B1451" s="69">
        <f>IF('Calendario I'!B91="","",'Calendario I'!B91)</f>
        <v/>
      </c>
      <c r="C1451" s="9" t="n"/>
      <c r="D1451" s="9" t="n"/>
      <c r="E1451" s="9" t="n"/>
      <c r="F1451" s="9" t="n"/>
      <c r="G1451" s="9" t="n"/>
      <c r="H1451" s="10" t="n"/>
      <c r="I1451" s="62">
        <f>IF('Calendario I'!I91="","",'Calendario I'!I91)</f>
        <v/>
      </c>
      <c r="J1451" s="141" t="n"/>
      <c r="K1451" s="141" t="n"/>
      <c r="L1451" s="141" t="n"/>
      <c r="M1451" s="141" t="n"/>
      <c r="N1451" s="141" t="n"/>
      <c r="O1451" s="141" t="n"/>
      <c r="P1451" s="141" t="n"/>
      <c r="Q1451" s="141" t="n"/>
      <c r="R1451" s="141" t="n"/>
    </row>
    <row r="1453" ht="20" customHeight="1">
      <c r="A1453" s="120">
        <f>IF('Calendario I'!A93="","",'Calendario I'!A93)</f>
        <v/>
      </c>
      <c r="B1453" s="121">
        <f>IF('Calendario I'!B93="","",'Calendario I'!B93)</f>
        <v/>
      </c>
      <c r="C1453" s="9" t="n"/>
      <c r="D1453" s="9" t="n"/>
      <c r="E1453" s="9" t="n"/>
      <c r="F1453" s="9" t="n"/>
      <c r="G1453" s="9" t="n"/>
      <c r="H1453" s="9" t="n"/>
      <c r="I1453" s="9" t="n"/>
      <c r="J1453" s="9" t="n"/>
      <c r="K1453" s="9" t="n"/>
      <c r="L1453" s="10" t="n"/>
      <c r="M1453" s="212" t="inlineStr">
        <is>
          <t>ARBITRI</t>
        </is>
      </c>
      <c r="N1453" s="9" t="n"/>
      <c r="O1453" s="10" t="n"/>
      <c r="P1453" s="212" t="inlineStr">
        <is>
          <t>UFFICIALI DI CAMPO</t>
        </is>
      </c>
      <c r="Q1453" s="9" t="n"/>
      <c r="R1453" s="10" t="n"/>
    </row>
    <row r="1454" ht="14" customHeight="1">
      <c r="A1454" s="123" t="inlineStr">
        <is>
          <t>Gara N.</t>
        </is>
      </c>
      <c r="B1454" s="123" t="inlineStr">
        <is>
          <t>Squadra A</t>
        </is>
      </c>
      <c r="C1454" s="10" t="n"/>
      <c r="D1454" s="123" t="inlineStr">
        <is>
          <t>Squadra B</t>
        </is>
      </c>
      <c r="E1454" s="10" t="n"/>
      <c r="F1454" s="123" t="inlineStr">
        <is>
          <t>Giorno</t>
        </is>
      </c>
      <c r="G1454" s="123" t="inlineStr">
        <is>
          <t>Data</t>
        </is>
      </c>
      <c r="H1454" s="123" t="inlineStr">
        <is>
          <t>Ora</t>
        </is>
      </c>
      <c r="I1454" s="10" t="n"/>
      <c r="J1454" s="123" t="inlineStr">
        <is>
          <t>Risultato</t>
        </is>
      </c>
      <c r="K1454" s="9" t="n"/>
      <c r="L1454" s="10" t="n"/>
      <c r="M1454" s="213" t="inlineStr">
        <is>
          <t>1o Arbitro</t>
        </is>
      </c>
      <c r="N1454" s="213" t="inlineStr">
        <is>
          <t>2o Arbitro</t>
        </is>
      </c>
      <c r="O1454" s="213" t="inlineStr">
        <is>
          <t>3o Arbitro/Tirocinante</t>
        </is>
      </c>
      <c r="P1454" s="213" t="inlineStr">
        <is>
          <t>Referto</t>
        </is>
      </c>
      <c r="Q1454" s="213" t="inlineStr">
        <is>
          <t>Cronometro</t>
        </is>
      </c>
      <c r="R1454" s="213" t="inlineStr">
        <is>
          <t>Foglio Tiri</t>
        </is>
      </c>
    </row>
    <row r="1455" ht="22" customHeight="1">
      <c r="A1455" s="125">
        <f>IF('Calendario I'!A95="","",'Calendario I'!A95)</f>
        <v/>
      </c>
      <c r="B1455" s="61">
        <f>IF('Calendario I'!B95="","",'Calendario I'!B95)</f>
        <v/>
      </c>
      <c r="C1455" s="62">
        <f>IF('Calendario I'!C95="","",'Calendario I'!C95)</f>
        <v/>
      </c>
      <c r="D1455" s="61">
        <f>IF('Calendario I'!D95="","",'Calendario I'!D95)</f>
        <v/>
      </c>
      <c r="E1455" s="62">
        <f>IF('Calendario I'!E95="","",'Calendario I'!E95)</f>
        <v/>
      </c>
      <c r="F1455" s="63">
        <f>IF('Calendario I'!F95="","",'Calendario I'!F95)</f>
        <v/>
      </c>
      <c r="G1455" s="9" t="n"/>
      <c r="H1455" s="9" t="n"/>
      <c r="I1455" s="10" t="n"/>
      <c r="J1455" s="195">
        <f>IF('Calendario I'!J95="","",'Calendario I'!J95)</f>
        <v/>
      </c>
      <c r="K1455" s="64" t="inlineStr">
        <is>
          <t>-</t>
        </is>
      </c>
      <c r="L1455" s="195">
        <f>IF('Calendario I'!L95="","",'Calendario I'!L95)</f>
        <v/>
      </c>
      <c r="M1455" s="196" t="n"/>
      <c r="N1455" s="196" t="n"/>
      <c r="O1455" s="196" t="n"/>
      <c r="P1455" s="196" t="n"/>
      <c r="Q1455" s="196" t="n"/>
      <c r="R1455" s="196" t="n"/>
    </row>
    <row r="1456" ht="15" customHeight="1">
      <c r="A1456" s="141" t="n"/>
      <c r="B1456" s="69">
        <f>IF('Calendario I'!B96="","",'Calendario I'!B96)</f>
        <v/>
      </c>
      <c r="C1456" s="9" t="n"/>
      <c r="D1456" s="9" t="n"/>
      <c r="E1456" s="9" t="n"/>
      <c r="F1456" s="9" t="n"/>
      <c r="G1456" s="9" t="n"/>
      <c r="H1456" s="10" t="n"/>
      <c r="I1456" s="62">
        <f>IF('Calendario I'!I96="","",'Calendario I'!I96)</f>
        <v/>
      </c>
      <c r="J1456" s="141" t="n"/>
      <c r="K1456" s="141" t="n"/>
      <c r="L1456" s="141" t="n"/>
      <c r="M1456" s="141" t="n"/>
      <c r="N1456" s="141" t="n"/>
      <c r="O1456" s="141" t="n"/>
      <c r="P1456" s="141" t="n"/>
      <c r="Q1456" s="141" t="n"/>
      <c r="R1456" s="141" t="n"/>
    </row>
    <row r="1457" ht="14" customHeight="1">
      <c r="A1457" s="123" t="inlineStr">
        <is>
          <t>Gara N.</t>
        </is>
      </c>
      <c r="B1457" s="123" t="inlineStr">
        <is>
          <t>Squadra A</t>
        </is>
      </c>
      <c r="C1457" s="10" t="n"/>
      <c r="D1457" s="123" t="inlineStr">
        <is>
          <t>Squadra B</t>
        </is>
      </c>
      <c r="E1457" s="10" t="n"/>
      <c r="F1457" s="123" t="inlineStr">
        <is>
          <t>Giorno</t>
        </is>
      </c>
      <c r="G1457" s="123" t="inlineStr">
        <is>
          <t>Data</t>
        </is>
      </c>
      <c r="H1457" s="123" t="inlineStr">
        <is>
          <t>Ora</t>
        </is>
      </c>
      <c r="I1457" s="10" t="n"/>
      <c r="J1457" s="123" t="inlineStr">
        <is>
          <t>Risultato</t>
        </is>
      </c>
      <c r="K1457" s="9" t="n"/>
      <c r="L1457" s="10" t="n"/>
      <c r="M1457" s="213" t="inlineStr">
        <is>
          <t>1o Arbitro</t>
        </is>
      </c>
      <c r="N1457" s="213" t="inlineStr">
        <is>
          <t>2o Arbitro</t>
        </is>
      </c>
      <c r="O1457" s="213" t="inlineStr">
        <is>
          <t>3o Arbitro/Tirocinante</t>
        </is>
      </c>
      <c r="P1457" s="213" t="inlineStr">
        <is>
          <t>Referto</t>
        </is>
      </c>
      <c r="Q1457" s="213" t="inlineStr">
        <is>
          <t>Cronometro</t>
        </is>
      </c>
      <c r="R1457" s="213" t="inlineStr">
        <is>
          <t>Foglio Tiri</t>
        </is>
      </c>
    </row>
    <row r="1458" ht="22" customHeight="1">
      <c r="A1458" s="125">
        <f>IF('Calendario I'!A98="","",'Calendario I'!A98)</f>
        <v/>
      </c>
      <c r="B1458" s="61">
        <f>IF('Calendario I'!B98="","",'Calendario I'!B98)</f>
        <v/>
      </c>
      <c r="C1458" s="62">
        <f>IF('Calendario I'!C98="","",'Calendario I'!C98)</f>
        <v/>
      </c>
      <c r="D1458" s="61">
        <f>IF('Calendario I'!D98="","",'Calendario I'!D98)</f>
        <v/>
      </c>
      <c r="E1458" s="62">
        <f>IF('Calendario I'!E98="","",'Calendario I'!E98)</f>
        <v/>
      </c>
      <c r="F1458" s="63">
        <f>IF('Calendario I'!F98="","",'Calendario I'!F98)</f>
        <v/>
      </c>
      <c r="G1458" s="9" t="n"/>
      <c r="H1458" s="9" t="n"/>
      <c r="I1458" s="10" t="n"/>
      <c r="J1458" s="195">
        <f>IF('Calendario I'!J98="","",'Calendario I'!J98)</f>
        <v/>
      </c>
      <c r="K1458" s="64" t="inlineStr">
        <is>
          <t>-</t>
        </is>
      </c>
      <c r="L1458" s="195">
        <f>IF('Calendario I'!L98="","",'Calendario I'!L98)</f>
        <v/>
      </c>
      <c r="M1458" s="196" t="n"/>
      <c r="N1458" s="196" t="n"/>
      <c r="O1458" s="196" t="n"/>
      <c r="P1458" s="196" t="n"/>
      <c r="Q1458" s="196" t="n"/>
      <c r="R1458" s="196" t="n"/>
    </row>
    <row r="1459" ht="15" customHeight="1">
      <c r="A1459" s="141" t="n"/>
      <c r="B1459" s="69">
        <f>IF('Calendario I'!B99="","",'Calendario I'!B99)</f>
        <v/>
      </c>
      <c r="C1459" s="9" t="n"/>
      <c r="D1459" s="9" t="n"/>
      <c r="E1459" s="9" t="n"/>
      <c r="F1459" s="9" t="n"/>
      <c r="G1459" s="9" t="n"/>
      <c r="H1459" s="10" t="n"/>
      <c r="I1459" s="62">
        <f>IF('Calendario I'!I99="","",'Calendario I'!I99)</f>
        <v/>
      </c>
      <c r="J1459" s="141" t="n"/>
      <c r="K1459" s="141" t="n"/>
      <c r="L1459" s="141" t="n"/>
      <c r="M1459" s="141" t="n"/>
      <c r="N1459" s="141" t="n"/>
      <c r="O1459" s="141" t="n"/>
      <c r="P1459" s="141" t="n"/>
      <c r="Q1459" s="141" t="n"/>
      <c r="R1459" s="141" t="n"/>
    </row>
    <row r="1460" ht="14" customHeight="1">
      <c r="A1460" s="123" t="inlineStr">
        <is>
          <t>Gara N.</t>
        </is>
      </c>
      <c r="B1460" s="123" t="inlineStr">
        <is>
          <t>Squadra A</t>
        </is>
      </c>
      <c r="C1460" s="10" t="n"/>
      <c r="D1460" s="123" t="inlineStr">
        <is>
          <t>Squadra B</t>
        </is>
      </c>
      <c r="E1460" s="10" t="n"/>
      <c r="F1460" s="123" t="inlineStr">
        <is>
          <t>Giorno</t>
        </is>
      </c>
      <c r="G1460" s="123" t="inlineStr">
        <is>
          <t>Data</t>
        </is>
      </c>
      <c r="H1460" s="123" t="inlineStr">
        <is>
          <t>Ora</t>
        </is>
      </c>
      <c r="I1460" s="10" t="n"/>
      <c r="J1460" s="123" t="inlineStr">
        <is>
          <t>Risultato</t>
        </is>
      </c>
      <c r="K1460" s="9" t="n"/>
      <c r="L1460" s="10" t="n"/>
      <c r="M1460" s="213" t="inlineStr">
        <is>
          <t>1o Arbitro</t>
        </is>
      </c>
      <c r="N1460" s="213" t="inlineStr">
        <is>
          <t>2o Arbitro</t>
        </is>
      </c>
      <c r="O1460" s="213" t="inlineStr">
        <is>
          <t>3o Arbitro/Tirocinante</t>
        </is>
      </c>
      <c r="P1460" s="213" t="inlineStr">
        <is>
          <t>Referto</t>
        </is>
      </c>
      <c r="Q1460" s="213" t="inlineStr">
        <is>
          <t>Cronometro</t>
        </is>
      </c>
      <c r="R1460" s="213" t="inlineStr">
        <is>
          <t>Foglio Tiri</t>
        </is>
      </c>
    </row>
    <row r="1461" ht="22" customHeight="1">
      <c r="A1461" s="125">
        <f>IF('Calendario I'!A101="","",'Calendario I'!A101)</f>
        <v/>
      </c>
      <c r="B1461" s="61">
        <f>IF('Calendario I'!B101="","",'Calendario I'!B101)</f>
        <v/>
      </c>
      <c r="C1461" s="62">
        <f>IF('Calendario I'!C101="","",'Calendario I'!C101)</f>
        <v/>
      </c>
      <c r="D1461" s="61">
        <f>IF('Calendario I'!D101="","",'Calendario I'!D101)</f>
        <v/>
      </c>
      <c r="E1461" s="62">
        <f>IF('Calendario I'!E101="","",'Calendario I'!E101)</f>
        <v/>
      </c>
      <c r="F1461" s="63">
        <f>IF('Calendario I'!F101="","",'Calendario I'!F101)</f>
        <v/>
      </c>
      <c r="G1461" s="9" t="n"/>
      <c r="H1461" s="9" t="n"/>
      <c r="I1461" s="10" t="n"/>
      <c r="J1461" s="195">
        <f>IF('Calendario I'!J101="","",'Calendario I'!J101)</f>
        <v/>
      </c>
      <c r="K1461" s="64" t="inlineStr">
        <is>
          <t>-</t>
        </is>
      </c>
      <c r="L1461" s="195">
        <f>IF('Calendario I'!L101="","",'Calendario I'!L101)</f>
        <v/>
      </c>
      <c r="M1461" s="196" t="n"/>
      <c r="N1461" s="196" t="n"/>
      <c r="O1461" s="196" t="n"/>
      <c r="P1461" s="196" t="n"/>
      <c r="Q1461" s="196" t="n"/>
      <c r="R1461" s="196" t="n"/>
    </row>
    <row r="1462" ht="15" customHeight="1">
      <c r="A1462" s="141" t="n"/>
      <c r="B1462" s="69">
        <f>IF('Calendario I'!B102="","",'Calendario I'!B102)</f>
        <v/>
      </c>
      <c r="C1462" s="9" t="n"/>
      <c r="D1462" s="9" t="n"/>
      <c r="E1462" s="9" t="n"/>
      <c r="F1462" s="9" t="n"/>
      <c r="G1462" s="9" t="n"/>
      <c r="H1462" s="10" t="n"/>
      <c r="I1462" s="62">
        <f>IF('Calendario I'!I102="","",'Calendario I'!I102)</f>
        <v/>
      </c>
      <c r="J1462" s="141" t="n"/>
      <c r="K1462" s="141" t="n"/>
      <c r="L1462" s="141" t="n"/>
      <c r="M1462" s="141" t="n"/>
      <c r="N1462" s="141" t="n"/>
      <c r="O1462" s="141" t="n"/>
      <c r="P1462" s="141" t="n"/>
      <c r="Q1462" s="141" t="n"/>
      <c r="R1462" s="141" t="n"/>
    </row>
    <row r="1463" ht="14" customHeight="1">
      <c r="A1463" s="123" t="inlineStr">
        <is>
          <t>Gara N.</t>
        </is>
      </c>
      <c r="B1463" s="123" t="inlineStr">
        <is>
          <t>Squadra A</t>
        </is>
      </c>
      <c r="C1463" s="10" t="n"/>
      <c r="D1463" s="123" t="inlineStr">
        <is>
          <t>Squadra B</t>
        </is>
      </c>
      <c r="E1463" s="10" t="n"/>
      <c r="F1463" s="123" t="inlineStr">
        <is>
          <t>Giorno</t>
        </is>
      </c>
      <c r="G1463" s="123" t="inlineStr">
        <is>
          <t>Data</t>
        </is>
      </c>
      <c r="H1463" s="123" t="inlineStr">
        <is>
          <t>Ora</t>
        </is>
      </c>
      <c r="I1463" s="10" t="n"/>
      <c r="J1463" s="123" t="inlineStr">
        <is>
          <t>Risultato</t>
        </is>
      </c>
      <c r="K1463" s="9" t="n"/>
      <c r="L1463" s="10" t="n"/>
      <c r="M1463" s="213" t="inlineStr">
        <is>
          <t>1o Arbitro</t>
        </is>
      </c>
      <c r="N1463" s="213" t="inlineStr">
        <is>
          <t>2o Arbitro</t>
        </is>
      </c>
      <c r="O1463" s="213" t="inlineStr">
        <is>
          <t>3o Arbitro/Tirocinante</t>
        </is>
      </c>
      <c r="P1463" s="213" t="inlineStr">
        <is>
          <t>Referto</t>
        </is>
      </c>
      <c r="Q1463" s="213" t="inlineStr">
        <is>
          <t>Cronometro</t>
        </is>
      </c>
      <c r="R1463" s="213" t="inlineStr">
        <is>
          <t>Foglio Tiri</t>
        </is>
      </c>
    </row>
    <row r="1464" ht="22" customHeight="1">
      <c r="A1464" s="125">
        <f>IF('Calendario I'!A104="","",'Calendario I'!A104)</f>
        <v/>
      </c>
      <c r="B1464" s="61">
        <f>IF('Calendario I'!B104="","",'Calendario I'!B104)</f>
        <v/>
      </c>
      <c r="C1464" s="62">
        <f>IF('Calendario I'!C104="","",'Calendario I'!C104)</f>
        <v/>
      </c>
      <c r="D1464" s="61">
        <f>IF('Calendario I'!D104="","",'Calendario I'!D104)</f>
        <v/>
      </c>
      <c r="E1464" s="62">
        <f>IF('Calendario I'!E104="","",'Calendario I'!E104)</f>
        <v/>
      </c>
      <c r="F1464" s="63">
        <f>IF('Calendario I'!F104="","",'Calendario I'!F104)</f>
        <v/>
      </c>
      <c r="G1464" s="9" t="n"/>
      <c r="H1464" s="9" t="n"/>
      <c r="I1464" s="10" t="n"/>
      <c r="J1464" s="195">
        <f>IF('Calendario I'!J104="","",'Calendario I'!J104)</f>
        <v/>
      </c>
      <c r="K1464" s="64" t="inlineStr">
        <is>
          <t>-</t>
        </is>
      </c>
      <c r="L1464" s="195">
        <f>IF('Calendario I'!L104="","",'Calendario I'!L104)</f>
        <v/>
      </c>
      <c r="M1464" s="196" t="n"/>
      <c r="N1464" s="196" t="n"/>
      <c r="O1464" s="196" t="n"/>
      <c r="P1464" s="196" t="n"/>
      <c r="Q1464" s="196" t="n"/>
      <c r="R1464" s="196" t="n"/>
    </row>
    <row r="1465" ht="15" customHeight="1">
      <c r="A1465" s="141" t="n"/>
      <c r="B1465" s="69">
        <f>IF('Calendario I'!B105="","",'Calendario I'!B105)</f>
        <v/>
      </c>
      <c r="C1465" s="9" t="n"/>
      <c r="D1465" s="9" t="n"/>
      <c r="E1465" s="9" t="n"/>
      <c r="F1465" s="9" t="n"/>
      <c r="G1465" s="9" t="n"/>
      <c r="H1465" s="10" t="n"/>
      <c r="I1465" s="62">
        <f>IF('Calendario I'!I105="","",'Calendario I'!I105)</f>
        <v/>
      </c>
      <c r="J1465" s="141" t="n"/>
      <c r="K1465" s="141" t="n"/>
      <c r="L1465" s="141" t="n"/>
      <c r="M1465" s="141" t="n"/>
      <c r="N1465" s="141" t="n"/>
      <c r="O1465" s="141" t="n"/>
      <c r="P1465" s="141" t="n"/>
      <c r="Q1465" s="141" t="n"/>
      <c r="R1465" s="141" t="n"/>
    </row>
    <row r="1466" ht="14" customHeight="1">
      <c r="A1466" s="123" t="inlineStr">
        <is>
          <t>Gara N.</t>
        </is>
      </c>
      <c r="B1466" s="123" t="inlineStr">
        <is>
          <t>Squadra A</t>
        </is>
      </c>
      <c r="C1466" s="10" t="n"/>
      <c r="D1466" s="123" t="inlineStr">
        <is>
          <t>Squadra B</t>
        </is>
      </c>
      <c r="E1466" s="10" t="n"/>
      <c r="F1466" s="123" t="inlineStr">
        <is>
          <t>Giorno</t>
        </is>
      </c>
      <c r="G1466" s="123" t="inlineStr">
        <is>
          <t>Data</t>
        </is>
      </c>
      <c r="H1466" s="123" t="inlineStr">
        <is>
          <t>Ora</t>
        </is>
      </c>
      <c r="I1466" s="10" t="n"/>
      <c r="J1466" s="123" t="inlineStr">
        <is>
          <t>Risultato</t>
        </is>
      </c>
      <c r="K1466" s="9" t="n"/>
      <c r="L1466" s="10" t="n"/>
      <c r="M1466" s="213" t="inlineStr">
        <is>
          <t>1o Arbitro</t>
        </is>
      </c>
      <c r="N1466" s="213" t="inlineStr">
        <is>
          <t>2o Arbitro</t>
        </is>
      </c>
      <c r="O1466" s="213" t="inlineStr">
        <is>
          <t>3o Arbitro/Tirocinante</t>
        </is>
      </c>
      <c r="P1466" s="213" t="inlineStr">
        <is>
          <t>Referto</t>
        </is>
      </c>
      <c r="Q1466" s="213" t="inlineStr">
        <is>
          <t>Cronometro</t>
        </is>
      </c>
      <c r="R1466" s="213" t="inlineStr">
        <is>
          <t>Foglio Tiri</t>
        </is>
      </c>
    </row>
    <row r="1467" ht="22" customHeight="1">
      <c r="A1467" s="125">
        <f>IF('Calendario I'!A107="","",'Calendario I'!A107)</f>
        <v/>
      </c>
      <c r="B1467" s="61">
        <f>IF('Calendario I'!B107="","",'Calendario I'!B107)</f>
        <v/>
      </c>
      <c r="C1467" s="62">
        <f>IF('Calendario I'!C107="","",'Calendario I'!C107)</f>
        <v/>
      </c>
      <c r="D1467" s="61">
        <f>IF('Calendario I'!D107="","",'Calendario I'!D107)</f>
        <v/>
      </c>
      <c r="E1467" s="62">
        <f>IF('Calendario I'!E107="","",'Calendario I'!E107)</f>
        <v/>
      </c>
      <c r="F1467" s="63">
        <f>IF('Calendario I'!F107="","",'Calendario I'!F107)</f>
        <v/>
      </c>
      <c r="G1467" s="9" t="n"/>
      <c r="H1467" s="9" t="n"/>
      <c r="I1467" s="10" t="n"/>
      <c r="J1467" s="195">
        <f>IF('Calendario I'!J107="","",'Calendario I'!J107)</f>
        <v/>
      </c>
      <c r="K1467" s="64" t="inlineStr">
        <is>
          <t>-</t>
        </is>
      </c>
      <c r="L1467" s="195">
        <f>IF('Calendario I'!L107="","",'Calendario I'!L107)</f>
        <v/>
      </c>
      <c r="M1467" s="196" t="n"/>
      <c r="N1467" s="196" t="n"/>
      <c r="O1467" s="196" t="n"/>
      <c r="P1467" s="196" t="n"/>
      <c r="Q1467" s="196" t="n"/>
      <c r="R1467" s="196" t="n"/>
    </row>
    <row r="1468" ht="15" customHeight="1">
      <c r="A1468" s="141" t="n"/>
      <c r="B1468" s="69">
        <f>IF('Calendario I'!B108="","",'Calendario I'!B108)</f>
        <v/>
      </c>
      <c r="C1468" s="9" t="n"/>
      <c r="D1468" s="9" t="n"/>
      <c r="E1468" s="9" t="n"/>
      <c r="F1468" s="9" t="n"/>
      <c r="G1468" s="9" t="n"/>
      <c r="H1468" s="10" t="n"/>
      <c r="I1468" s="62">
        <f>IF('Calendario I'!I108="","",'Calendario I'!I108)</f>
        <v/>
      </c>
      <c r="J1468" s="141" t="n"/>
      <c r="K1468" s="141" t="n"/>
      <c r="L1468" s="141" t="n"/>
      <c r="M1468" s="141" t="n"/>
      <c r="N1468" s="141" t="n"/>
      <c r="O1468" s="141" t="n"/>
      <c r="P1468" s="141" t="n"/>
      <c r="Q1468" s="141" t="n"/>
      <c r="R1468" s="141" t="n"/>
    </row>
    <row r="1470" ht="20" customHeight="1">
      <c r="A1470" s="120">
        <f>IF('Calendario I'!A110="","",'Calendario I'!A110)</f>
        <v/>
      </c>
      <c r="B1470" s="121">
        <f>IF('Calendario I'!B110="","",'Calendario I'!B110)</f>
        <v/>
      </c>
      <c r="C1470" s="9" t="n"/>
      <c r="D1470" s="9" t="n"/>
      <c r="E1470" s="9" t="n"/>
      <c r="F1470" s="9" t="n"/>
      <c r="G1470" s="9" t="n"/>
      <c r="H1470" s="9" t="n"/>
      <c r="I1470" s="9" t="n"/>
      <c r="J1470" s="9" t="n"/>
      <c r="K1470" s="9" t="n"/>
      <c r="L1470" s="10" t="n"/>
      <c r="M1470" s="212" t="inlineStr">
        <is>
          <t>ARBITRI</t>
        </is>
      </c>
      <c r="N1470" s="9" t="n"/>
      <c r="O1470" s="10" t="n"/>
      <c r="P1470" s="212" t="inlineStr">
        <is>
          <t>UFFICIALI DI CAMPO</t>
        </is>
      </c>
      <c r="Q1470" s="9" t="n"/>
      <c r="R1470" s="10" t="n"/>
    </row>
    <row r="1471" ht="14" customHeight="1">
      <c r="A1471" s="123" t="inlineStr">
        <is>
          <t>Gara N.</t>
        </is>
      </c>
      <c r="B1471" s="123" t="inlineStr">
        <is>
          <t>Squadra A</t>
        </is>
      </c>
      <c r="C1471" s="10" t="n"/>
      <c r="D1471" s="123" t="inlineStr">
        <is>
          <t>Squadra B</t>
        </is>
      </c>
      <c r="E1471" s="10" t="n"/>
      <c r="F1471" s="123" t="inlineStr">
        <is>
          <t>Giorno</t>
        </is>
      </c>
      <c r="G1471" s="123" t="inlineStr">
        <is>
          <t>Data</t>
        </is>
      </c>
      <c r="H1471" s="123" t="inlineStr">
        <is>
          <t>Ora</t>
        </is>
      </c>
      <c r="I1471" s="10" t="n"/>
      <c r="J1471" s="123" t="inlineStr">
        <is>
          <t>Risultato</t>
        </is>
      </c>
      <c r="K1471" s="9" t="n"/>
      <c r="L1471" s="10" t="n"/>
      <c r="M1471" s="213" t="inlineStr">
        <is>
          <t>1o Arbitro</t>
        </is>
      </c>
      <c r="N1471" s="213" t="inlineStr">
        <is>
          <t>2o Arbitro</t>
        </is>
      </c>
      <c r="O1471" s="213" t="inlineStr">
        <is>
          <t>3o Arbitro/Tirocinante</t>
        </is>
      </c>
      <c r="P1471" s="213" t="inlineStr">
        <is>
          <t>Referto</t>
        </is>
      </c>
      <c r="Q1471" s="213" t="inlineStr">
        <is>
          <t>Cronometro</t>
        </is>
      </c>
      <c r="R1471" s="213" t="inlineStr">
        <is>
          <t>Foglio Tiri</t>
        </is>
      </c>
    </row>
    <row r="1472" ht="22" customHeight="1">
      <c r="A1472" s="125">
        <f>IF('Calendario I'!A112="","",'Calendario I'!A112)</f>
        <v/>
      </c>
      <c r="B1472" s="61">
        <f>IF('Calendario I'!B112="","",'Calendario I'!B112)</f>
        <v/>
      </c>
      <c r="C1472" s="62">
        <f>IF('Calendario I'!C112="","",'Calendario I'!C112)</f>
        <v/>
      </c>
      <c r="D1472" s="61">
        <f>IF('Calendario I'!D112="","",'Calendario I'!D112)</f>
        <v/>
      </c>
      <c r="E1472" s="62">
        <f>IF('Calendario I'!E112="","",'Calendario I'!E112)</f>
        <v/>
      </c>
      <c r="F1472" s="63">
        <f>IF('Calendario I'!F112="","",'Calendario I'!F112)</f>
        <v/>
      </c>
      <c r="G1472" s="9" t="n"/>
      <c r="H1472" s="9" t="n"/>
      <c r="I1472" s="10" t="n"/>
      <c r="J1472" s="195">
        <f>IF('Calendario I'!J112="","",'Calendario I'!J112)</f>
        <v/>
      </c>
      <c r="K1472" s="64" t="inlineStr">
        <is>
          <t>-</t>
        </is>
      </c>
      <c r="L1472" s="195">
        <f>IF('Calendario I'!L112="","",'Calendario I'!L112)</f>
        <v/>
      </c>
      <c r="M1472" s="196" t="n"/>
      <c r="N1472" s="196" t="n"/>
      <c r="O1472" s="196" t="n"/>
      <c r="P1472" s="196" t="n"/>
      <c r="Q1472" s="196" t="n"/>
      <c r="R1472" s="196" t="n"/>
    </row>
    <row r="1473" ht="15" customHeight="1">
      <c r="A1473" s="141" t="n"/>
      <c r="B1473" s="69">
        <f>IF('Calendario I'!B113="","",'Calendario I'!B113)</f>
        <v/>
      </c>
      <c r="C1473" s="9" t="n"/>
      <c r="D1473" s="9" t="n"/>
      <c r="E1473" s="9" t="n"/>
      <c r="F1473" s="9" t="n"/>
      <c r="G1473" s="9" t="n"/>
      <c r="H1473" s="10" t="n"/>
      <c r="I1473" s="62">
        <f>IF('Calendario I'!I113="","",'Calendario I'!I113)</f>
        <v/>
      </c>
      <c r="J1473" s="141" t="n"/>
      <c r="K1473" s="141" t="n"/>
      <c r="L1473" s="141" t="n"/>
      <c r="M1473" s="141" t="n"/>
      <c r="N1473" s="141" t="n"/>
      <c r="O1473" s="141" t="n"/>
      <c r="P1473" s="141" t="n"/>
      <c r="Q1473" s="141" t="n"/>
      <c r="R1473" s="141" t="n"/>
    </row>
    <row r="1474" ht="14" customHeight="1">
      <c r="A1474" s="123" t="inlineStr">
        <is>
          <t>Gara N.</t>
        </is>
      </c>
      <c r="B1474" s="123" t="inlineStr">
        <is>
          <t>Squadra A</t>
        </is>
      </c>
      <c r="C1474" s="10" t="n"/>
      <c r="D1474" s="123" t="inlineStr">
        <is>
          <t>Squadra B</t>
        </is>
      </c>
      <c r="E1474" s="10" t="n"/>
      <c r="F1474" s="123" t="inlineStr">
        <is>
          <t>Giorno</t>
        </is>
      </c>
      <c r="G1474" s="123" t="inlineStr">
        <is>
          <t>Data</t>
        </is>
      </c>
      <c r="H1474" s="123" t="inlineStr">
        <is>
          <t>Ora</t>
        </is>
      </c>
      <c r="I1474" s="10" t="n"/>
      <c r="J1474" s="123" t="inlineStr">
        <is>
          <t>Risultato</t>
        </is>
      </c>
      <c r="K1474" s="9" t="n"/>
      <c r="L1474" s="10" t="n"/>
      <c r="M1474" s="213" t="inlineStr">
        <is>
          <t>1o Arbitro</t>
        </is>
      </c>
      <c r="N1474" s="213" t="inlineStr">
        <is>
          <t>2o Arbitro</t>
        </is>
      </c>
      <c r="O1474" s="213" t="inlineStr">
        <is>
          <t>3o Arbitro/Tirocinante</t>
        </is>
      </c>
      <c r="P1474" s="213" t="inlineStr">
        <is>
          <t>Referto</t>
        </is>
      </c>
      <c r="Q1474" s="213" t="inlineStr">
        <is>
          <t>Cronometro</t>
        </is>
      </c>
      <c r="R1474" s="213" t="inlineStr">
        <is>
          <t>Foglio Tiri</t>
        </is>
      </c>
    </row>
    <row r="1475" ht="22" customHeight="1">
      <c r="A1475" s="125">
        <f>IF('Calendario I'!A115="","",'Calendario I'!A115)</f>
        <v/>
      </c>
      <c r="B1475" s="61">
        <f>IF('Calendario I'!B115="","",'Calendario I'!B115)</f>
        <v/>
      </c>
      <c r="C1475" s="62">
        <f>IF('Calendario I'!C115="","",'Calendario I'!C115)</f>
        <v/>
      </c>
      <c r="D1475" s="61">
        <f>IF('Calendario I'!D115="","",'Calendario I'!D115)</f>
        <v/>
      </c>
      <c r="E1475" s="62">
        <f>IF('Calendario I'!E115="","",'Calendario I'!E115)</f>
        <v/>
      </c>
      <c r="F1475" s="63">
        <f>IF('Calendario I'!F115="","",'Calendario I'!F115)</f>
        <v/>
      </c>
      <c r="G1475" s="9" t="n"/>
      <c r="H1475" s="9" t="n"/>
      <c r="I1475" s="10" t="n"/>
      <c r="J1475" s="195">
        <f>IF('Calendario I'!J115="","",'Calendario I'!J115)</f>
        <v/>
      </c>
      <c r="K1475" s="64" t="inlineStr">
        <is>
          <t>-</t>
        </is>
      </c>
      <c r="L1475" s="195">
        <f>IF('Calendario I'!L115="","",'Calendario I'!L115)</f>
        <v/>
      </c>
      <c r="M1475" s="196" t="n"/>
      <c r="N1475" s="196" t="n"/>
      <c r="O1475" s="196" t="n"/>
      <c r="P1475" s="196" t="n"/>
      <c r="Q1475" s="196" t="n"/>
      <c r="R1475" s="196" t="n"/>
    </row>
    <row r="1476" ht="15" customHeight="1">
      <c r="A1476" s="141" t="n"/>
      <c r="B1476" s="69">
        <f>IF('Calendario I'!B116="","",'Calendario I'!B116)</f>
        <v/>
      </c>
      <c r="C1476" s="9" t="n"/>
      <c r="D1476" s="9" t="n"/>
      <c r="E1476" s="9" t="n"/>
      <c r="F1476" s="9" t="n"/>
      <c r="G1476" s="9" t="n"/>
      <c r="H1476" s="10" t="n"/>
      <c r="I1476" s="62">
        <f>IF('Calendario I'!I116="","",'Calendario I'!I116)</f>
        <v/>
      </c>
      <c r="J1476" s="141" t="n"/>
      <c r="K1476" s="141" t="n"/>
      <c r="L1476" s="141" t="n"/>
      <c r="M1476" s="141" t="n"/>
      <c r="N1476" s="141" t="n"/>
      <c r="O1476" s="141" t="n"/>
      <c r="P1476" s="141" t="n"/>
      <c r="Q1476" s="141" t="n"/>
      <c r="R1476" s="141" t="n"/>
    </row>
    <row r="1477" ht="14" customHeight="1">
      <c r="A1477" s="123" t="inlineStr">
        <is>
          <t>Gara N.</t>
        </is>
      </c>
      <c r="B1477" s="123" t="inlineStr">
        <is>
          <t>Squadra A</t>
        </is>
      </c>
      <c r="C1477" s="10" t="n"/>
      <c r="D1477" s="123" t="inlineStr">
        <is>
          <t>Squadra B</t>
        </is>
      </c>
      <c r="E1477" s="10" t="n"/>
      <c r="F1477" s="123" t="inlineStr">
        <is>
          <t>Giorno</t>
        </is>
      </c>
      <c r="G1477" s="123" t="inlineStr">
        <is>
          <t>Data</t>
        </is>
      </c>
      <c r="H1477" s="123" t="inlineStr">
        <is>
          <t>Ora</t>
        </is>
      </c>
      <c r="I1477" s="10" t="n"/>
      <c r="J1477" s="123" t="inlineStr">
        <is>
          <t>Risultato</t>
        </is>
      </c>
      <c r="K1477" s="9" t="n"/>
      <c r="L1477" s="10" t="n"/>
      <c r="M1477" s="213" t="inlineStr">
        <is>
          <t>1o Arbitro</t>
        </is>
      </c>
      <c r="N1477" s="213" t="inlineStr">
        <is>
          <t>2o Arbitro</t>
        </is>
      </c>
      <c r="O1477" s="213" t="inlineStr">
        <is>
          <t>3o Arbitro/Tirocinante</t>
        </is>
      </c>
      <c r="P1477" s="213" t="inlineStr">
        <is>
          <t>Referto</t>
        </is>
      </c>
      <c r="Q1477" s="213" t="inlineStr">
        <is>
          <t>Cronometro</t>
        </is>
      </c>
      <c r="R1477" s="213" t="inlineStr">
        <is>
          <t>Foglio Tiri</t>
        </is>
      </c>
    </row>
    <row r="1478" ht="22" customHeight="1">
      <c r="A1478" s="125">
        <f>IF('Calendario I'!A118="","",'Calendario I'!A118)</f>
        <v/>
      </c>
      <c r="B1478" s="61">
        <f>IF('Calendario I'!B118="","",'Calendario I'!B118)</f>
        <v/>
      </c>
      <c r="C1478" s="62">
        <f>IF('Calendario I'!C118="","",'Calendario I'!C118)</f>
        <v/>
      </c>
      <c r="D1478" s="61">
        <f>IF('Calendario I'!D118="","",'Calendario I'!D118)</f>
        <v/>
      </c>
      <c r="E1478" s="62">
        <f>IF('Calendario I'!E118="","",'Calendario I'!E118)</f>
        <v/>
      </c>
      <c r="F1478" s="63">
        <f>IF('Calendario I'!F118="","",'Calendario I'!F118)</f>
        <v/>
      </c>
      <c r="G1478" s="9" t="n"/>
      <c r="H1478" s="9" t="n"/>
      <c r="I1478" s="10" t="n"/>
      <c r="J1478" s="195">
        <f>IF('Calendario I'!J118="","",'Calendario I'!J118)</f>
        <v/>
      </c>
      <c r="K1478" s="64" t="inlineStr">
        <is>
          <t>-</t>
        </is>
      </c>
      <c r="L1478" s="195">
        <f>IF('Calendario I'!L118="","",'Calendario I'!L118)</f>
        <v/>
      </c>
      <c r="M1478" s="196" t="n"/>
      <c r="N1478" s="196" t="n"/>
      <c r="O1478" s="196" t="n"/>
      <c r="P1478" s="196" t="n"/>
      <c r="Q1478" s="196" t="n"/>
      <c r="R1478" s="196" t="n"/>
    </row>
    <row r="1479" ht="15" customHeight="1">
      <c r="A1479" s="141" t="n"/>
      <c r="B1479" s="69">
        <f>IF('Calendario I'!B119="","",'Calendario I'!B119)</f>
        <v/>
      </c>
      <c r="C1479" s="9" t="n"/>
      <c r="D1479" s="9" t="n"/>
      <c r="E1479" s="9" t="n"/>
      <c r="F1479" s="9" t="n"/>
      <c r="G1479" s="9" t="n"/>
      <c r="H1479" s="10" t="n"/>
      <c r="I1479" s="62">
        <f>IF('Calendario I'!I119="","",'Calendario I'!I119)</f>
        <v/>
      </c>
      <c r="J1479" s="141" t="n"/>
      <c r="K1479" s="141" t="n"/>
      <c r="L1479" s="141" t="n"/>
      <c r="M1479" s="141" t="n"/>
      <c r="N1479" s="141" t="n"/>
      <c r="O1479" s="141" t="n"/>
      <c r="P1479" s="141" t="n"/>
      <c r="Q1479" s="141" t="n"/>
      <c r="R1479" s="141" t="n"/>
    </row>
    <row r="1480" ht="14" customHeight="1">
      <c r="A1480" s="123" t="inlineStr">
        <is>
          <t>Gara N.</t>
        </is>
      </c>
      <c r="B1480" s="123" t="inlineStr">
        <is>
          <t>Squadra A</t>
        </is>
      </c>
      <c r="C1480" s="10" t="n"/>
      <c r="D1480" s="123" t="inlineStr">
        <is>
          <t>Squadra B</t>
        </is>
      </c>
      <c r="E1480" s="10" t="n"/>
      <c r="F1480" s="123" t="inlineStr">
        <is>
          <t>Giorno</t>
        </is>
      </c>
      <c r="G1480" s="123" t="inlineStr">
        <is>
          <t>Data</t>
        </is>
      </c>
      <c r="H1480" s="123" t="inlineStr">
        <is>
          <t>Ora</t>
        </is>
      </c>
      <c r="I1480" s="10" t="n"/>
      <c r="J1480" s="123" t="inlineStr">
        <is>
          <t>Risultato</t>
        </is>
      </c>
      <c r="K1480" s="9" t="n"/>
      <c r="L1480" s="10" t="n"/>
      <c r="M1480" s="213" t="inlineStr">
        <is>
          <t>1o Arbitro</t>
        </is>
      </c>
      <c r="N1480" s="213" t="inlineStr">
        <is>
          <t>2o Arbitro</t>
        </is>
      </c>
      <c r="O1480" s="213" t="inlineStr">
        <is>
          <t>3o Arbitro/Tirocinante</t>
        </is>
      </c>
      <c r="P1480" s="213" t="inlineStr">
        <is>
          <t>Referto</t>
        </is>
      </c>
      <c r="Q1480" s="213" t="inlineStr">
        <is>
          <t>Cronometro</t>
        </is>
      </c>
      <c r="R1480" s="213" t="inlineStr">
        <is>
          <t>Foglio Tiri</t>
        </is>
      </c>
    </row>
    <row r="1481" ht="22" customHeight="1">
      <c r="A1481" s="125">
        <f>IF('Calendario I'!A121="","",'Calendario I'!A121)</f>
        <v/>
      </c>
      <c r="B1481" s="61">
        <f>IF('Calendario I'!B121="","",'Calendario I'!B121)</f>
        <v/>
      </c>
      <c r="C1481" s="62">
        <f>IF('Calendario I'!C121="","",'Calendario I'!C121)</f>
        <v/>
      </c>
      <c r="D1481" s="61">
        <f>IF('Calendario I'!D121="","",'Calendario I'!D121)</f>
        <v/>
      </c>
      <c r="E1481" s="62">
        <f>IF('Calendario I'!E121="","",'Calendario I'!E121)</f>
        <v/>
      </c>
      <c r="F1481" s="63">
        <f>IF('Calendario I'!F121="","",'Calendario I'!F121)</f>
        <v/>
      </c>
      <c r="G1481" s="9" t="n"/>
      <c r="H1481" s="9" t="n"/>
      <c r="I1481" s="10" t="n"/>
      <c r="J1481" s="195">
        <f>IF('Calendario I'!J121="","",'Calendario I'!J121)</f>
        <v/>
      </c>
      <c r="K1481" s="64" t="inlineStr">
        <is>
          <t>-</t>
        </is>
      </c>
      <c r="L1481" s="195">
        <f>IF('Calendario I'!L121="","",'Calendario I'!L121)</f>
        <v/>
      </c>
      <c r="M1481" s="196" t="n"/>
      <c r="N1481" s="196" t="n"/>
      <c r="O1481" s="196" t="n"/>
      <c r="P1481" s="196" t="n"/>
      <c r="Q1481" s="196" t="n"/>
      <c r="R1481" s="196" t="n"/>
    </row>
    <row r="1482" ht="15" customHeight="1">
      <c r="A1482" s="141" t="n"/>
      <c r="B1482" s="69">
        <f>IF('Calendario I'!B122="","",'Calendario I'!B122)</f>
        <v/>
      </c>
      <c r="C1482" s="9" t="n"/>
      <c r="D1482" s="9" t="n"/>
      <c r="E1482" s="9" t="n"/>
      <c r="F1482" s="9" t="n"/>
      <c r="G1482" s="9" t="n"/>
      <c r="H1482" s="10" t="n"/>
      <c r="I1482" s="62">
        <f>IF('Calendario I'!I122="","",'Calendario I'!I122)</f>
        <v/>
      </c>
      <c r="J1482" s="141" t="n"/>
      <c r="K1482" s="141" t="n"/>
      <c r="L1482" s="141" t="n"/>
      <c r="M1482" s="141" t="n"/>
      <c r="N1482" s="141" t="n"/>
      <c r="O1482" s="141" t="n"/>
      <c r="P1482" s="141" t="n"/>
      <c r="Q1482" s="141" t="n"/>
      <c r="R1482" s="141" t="n"/>
    </row>
    <row r="1483" ht="14" customHeight="1">
      <c r="A1483" s="123" t="inlineStr">
        <is>
          <t>Gara N.</t>
        </is>
      </c>
      <c r="B1483" s="123" t="inlineStr">
        <is>
          <t>Squadra A</t>
        </is>
      </c>
      <c r="C1483" s="10" t="n"/>
      <c r="D1483" s="123" t="inlineStr">
        <is>
          <t>Squadra B</t>
        </is>
      </c>
      <c r="E1483" s="10" t="n"/>
      <c r="F1483" s="123" t="inlineStr">
        <is>
          <t>Giorno</t>
        </is>
      </c>
      <c r="G1483" s="123" t="inlineStr">
        <is>
          <t>Data</t>
        </is>
      </c>
      <c r="H1483" s="123" t="inlineStr">
        <is>
          <t>Ora</t>
        </is>
      </c>
      <c r="I1483" s="10" t="n"/>
      <c r="J1483" s="123" t="inlineStr">
        <is>
          <t>Risultato</t>
        </is>
      </c>
      <c r="K1483" s="9" t="n"/>
      <c r="L1483" s="10" t="n"/>
      <c r="M1483" s="213" t="inlineStr">
        <is>
          <t>1o Arbitro</t>
        </is>
      </c>
      <c r="N1483" s="213" t="inlineStr">
        <is>
          <t>2o Arbitro</t>
        </is>
      </c>
      <c r="O1483" s="213" t="inlineStr">
        <is>
          <t>3o Arbitro/Tirocinante</t>
        </is>
      </c>
      <c r="P1483" s="213" t="inlineStr">
        <is>
          <t>Referto</t>
        </is>
      </c>
      <c r="Q1483" s="213" t="inlineStr">
        <is>
          <t>Cronometro</t>
        </is>
      </c>
      <c r="R1483" s="213" t="inlineStr">
        <is>
          <t>Foglio Tiri</t>
        </is>
      </c>
    </row>
    <row r="1484" ht="22" customHeight="1">
      <c r="A1484" s="125">
        <f>IF('Calendario I'!A124="","",'Calendario I'!A124)</f>
        <v/>
      </c>
      <c r="B1484" s="61">
        <f>IF('Calendario I'!B124="","",'Calendario I'!B124)</f>
        <v/>
      </c>
      <c r="C1484" s="62">
        <f>IF('Calendario I'!C124="","",'Calendario I'!C124)</f>
        <v/>
      </c>
      <c r="D1484" s="61">
        <f>IF('Calendario I'!D124="","",'Calendario I'!D124)</f>
        <v/>
      </c>
      <c r="E1484" s="62">
        <f>IF('Calendario I'!E124="","",'Calendario I'!E124)</f>
        <v/>
      </c>
      <c r="F1484" s="63">
        <f>IF('Calendario I'!F124="","",'Calendario I'!F124)</f>
        <v/>
      </c>
      <c r="G1484" s="9" t="n"/>
      <c r="H1484" s="9" t="n"/>
      <c r="I1484" s="10" t="n"/>
      <c r="J1484" s="195">
        <f>IF('Calendario I'!J124="","",'Calendario I'!J124)</f>
        <v/>
      </c>
      <c r="K1484" s="64" t="inlineStr">
        <is>
          <t>-</t>
        </is>
      </c>
      <c r="L1484" s="195">
        <f>IF('Calendario I'!L124="","",'Calendario I'!L124)</f>
        <v/>
      </c>
      <c r="M1484" s="196" t="n"/>
      <c r="N1484" s="196" t="n"/>
      <c r="O1484" s="196" t="n"/>
      <c r="P1484" s="196" t="n"/>
      <c r="Q1484" s="196" t="n"/>
      <c r="R1484" s="196" t="n"/>
    </row>
    <row r="1485" ht="15" customHeight="1">
      <c r="A1485" s="141" t="n"/>
      <c r="B1485" s="69">
        <f>IF('Calendario I'!B125="","",'Calendario I'!B125)</f>
        <v/>
      </c>
      <c r="C1485" s="9" t="n"/>
      <c r="D1485" s="9" t="n"/>
      <c r="E1485" s="9" t="n"/>
      <c r="F1485" s="9" t="n"/>
      <c r="G1485" s="9" t="n"/>
      <c r="H1485" s="10" t="n"/>
      <c r="I1485" s="62">
        <f>IF('Calendario I'!I125="","",'Calendario I'!I125)</f>
        <v/>
      </c>
      <c r="J1485" s="141" t="n"/>
      <c r="K1485" s="141" t="n"/>
      <c r="L1485" s="141" t="n"/>
      <c r="M1485" s="141" t="n"/>
      <c r="N1485" s="141" t="n"/>
      <c r="O1485" s="141" t="n"/>
      <c r="P1485" s="141" t="n"/>
      <c r="Q1485" s="141" t="n"/>
      <c r="R1485" s="141" t="n"/>
    </row>
    <row r="1487" ht="20" customHeight="1">
      <c r="A1487" s="120">
        <f>IF('Calendario I'!A127="","",'Calendario I'!A127)</f>
        <v/>
      </c>
      <c r="B1487" s="121">
        <f>IF('Calendario I'!B127="","",'Calendario I'!B127)</f>
        <v/>
      </c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10" t="n"/>
      <c r="M1487" s="212" t="inlineStr">
        <is>
          <t>ARBITRI</t>
        </is>
      </c>
      <c r="N1487" s="9" t="n"/>
      <c r="O1487" s="10" t="n"/>
      <c r="P1487" s="212" t="inlineStr">
        <is>
          <t>UFFICIALI DI CAMPO</t>
        </is>
      </c>
      <c r="Q1487" s="9" t="n"/>
      <c r="R1487" s="10" t="n"/>
    </row>
    <row r="1488" ht="14" customHeight="1">
      <c r="A1488" s="123" t="inlineStr">
        <is>
          <t>Gara N.</t>
        </is>
      </c>
      <c r="B1488" s="123" t="inlineStr">
        <is>
          <t>Squadra A</t>
        </is>
      </c>
      <c r="C1488" s="10" t="n"/>
      <c r="D1488" s="123" t="inlineStr">
        <is>
          <t>Squadra B</t>
        </is>
      </c>
      <c r="E1488" s="10" t="n"/>
      <c r="F1488" s="123" t="inlineStr">
        <is>
          <t>Giorno</t>
        </is>
      </c>
      <c r="G1488" s="123" t="inlineStr">
        <is>
          <t>Data</t>
        </is>
      </c>
      <c r="H1488" s="123" t="inlineStr">
        <is>
          <t>Ora</t>
        </is>
      </c>
      <c r="I1488" s="10" t="n"/>
      <c r="J1488" s="123" t="inlineStr">
        <is>
          <t>Risultato</t>
        </is>
      </c>
      <c r="K1488" s="9" t="n"/>
      <c r="L1488" s="10" t="n"/>
      <c r="M1488" s="213" t="inlineStr">
        <is>
          <t>1o Arbitro</t>
        </is>
      </c>
      <c r="N1488" s="213" t="inlineStr">
        <is>
          <t>2o Arbitro</t>
        </is>
      </c>
      <c r="O1488" s="213" t="inlineStr">
        <is>
          <t>3o Arbitro/Tirocinante</t>
        </is>
      </c>
      <c r="P1488" s="213" t="inlineStr">
        <is>
          <t>Referto</t>
        </is>
      </c>
      <c r="Q1488" s="213" t="inlineStr">
        <is>
          <t>Cronometro</t>
        </is>
      </c>
      <c r="R1488" s="213" t="inlineStr">
        <is>
          <t>Foglio Tiri</t>
        </is>
      </c>
    </row>
    <row r="1489" ht="22" customHeight="1">
      <c r="A1489" s="125">
        <f>IF('Calendario I'!A129="","",'Calendario I'!A129)</f>
        <v/>
      </c>
      <c r="B1489" s="61">
        <f>IF('Calendario I'!B129="","",'Calendario I'!B129)</f>
        <v/>
      </c>
      <c r="C1489" s="62">
        <f>IF('Calendario I'!C129="","",'Calendario I'!C129)</f>
        <v/>
      </c>
      <c r="D1489" s="61">
        <f>IF('Calendario I'!D129="","",'Calendario I'!D129)</f>
        <v/>
      </c>
      <c r="E1489" s="62">
        <f>IF('Calendario I'!E129="","",'Calendario I'!E129)</f>
        <v/>
      </c>
      <c r="F1489" s="63">
        <f>IF('Calendario I'!F129="","",'Calendario I'!F129)</f>
        <v/>
      </c>
      <c r="G1489" s="9" t="n"/>
      <c r="H1489" s="9" t="n"/>
      <c r="I1489" s="10" t="n"/>
      <c r="J1489" s="195">
        <f>IF('Calendario I'!J129="","",'Calendario I'!J129)</f>
        <v/>
      </c>
      <c r="K1489" s="64" t="inlineStr">
        <is>
          <t>-</t>
        </is>
      </c>
      <c r="L1489" s="195">
        <f>IF('Calendario I'!L129="","",'Calendario I'!L129)</f>
        <v/>
      </c>
      <c r="M1489" s="196" t="n"/>
      <c r="N1489" s="196" t="n"/>
      <c r="O1489" s="196" t="n"/>
      <c r="P1489" s="196" t="n"/>
      <c r="Q1489" s="196" t="n"/>
      <c r="R1489" s="196" t="n"/>
    </row>
    <row r="1490" ht="15" customHeight="1">
      <c r="A1490" s="141" t="n"/>
      <c r="B1490" s="69">
        <f>IF('Calendario I'!B130="","",'Calendario I'!B130)</f>
        <v/>
      </c>
      <c r="C1490" s="9" t="n"/>
      <c r="D1490" s="9" t="n"/>
      <c r="E1490" s="9" t="n"/>
      <c r="F1490" s="9" t="n"/>
      <c r="G1490" s="9" t="n"/>
      <c r="H1490" s="10" t="n"/>
      <c r="I1490" s="62">
        <f>IF('Calendario I'!I130="","",'Calendario I'!I130)</f>
        <v/>
      </c>
      <c r="J1490" s="141" t="n"/>
      <c r="K1490" s="141" t="n"/>
      <c r="L1490" s="141" t="n"/>
      <c r="M1490" s="141" t="n"/>
      <c r="N1490" s="141" t="n"/>
      <c r="O1490" s="141" t="n"/>
      <c r="P1490" s="141" t="n"/>
      <c r="Q1490" s="141" t="n"/>
      <c r="R1490" s="141" t="n"/>
    </row>
    <row r="1491" ht="14" customHeight="1">
      <c r="A1491" s="123" t="inlineStr">
        <is>
          <t>Gara N.</t>
        </is>
      </c>
      <c r="B1491" s="123" t="inlineStr">
        <is>
          <t>Squadra A</t>
        </is>
      </c>
      <c r="C1491" s="10" t="n"/>
      <c r="D1491" s="123" t="inlineStr">
        <is>
          <t>Squadra B</t>
        </is>
      </c>
      <c r="E1491" s="10" t="n"/>
      <c r="F1491" s="123" t="inlineStr">
        <is>
          <t>Giorno</t>
        </is>
      </c>
      <c r="G1491" s="123" t="inlineStr">
        <is>
          <t>Data</t>
        </is>
      </c>
      <c r="H1491" s="123" t="inlineStr">
        <is>
          <t>Ora</t>
        </is>
      </c>
      <c r="I1491" s="10" t="n"/>
      <c r="J1491" s="123" t="inlineStr">
        <is>
          <t>Risultato</t>
        </is>
      </c>
      <c r="K1491" s="9" t="n"/>
      <c r="L1491" s="10" t="n"/>
      <c r="M1491" s="213" t="inlineStr">
        <is>
          <t>1o Arbitro</t>
        </is>
      </c>
      <c r="N1491" s="213" t="inlineStr">
        <is>
          <t>2o Arbitro</t>
        </is>
      </c>
      <c r="O1491" s="213" t="inlineStr">
        <is>
          <t>3o Arbitro/Tirocinante</t>
        </is>
      </c>
      <c r="P1491" s="213" t="inlineStr">
        <is>
          <t>Referto</t>
        </is>
      </c>
      <c r="Q1491" s="213" t="inlineStr">
        <is>
          <t>Cronometro</t>
        </is>
      </c>
      <c r="R1491" s="213" t="inlineStr">
        <is>
          <t>Foglio Tiri</t>
        </is>
      </c>
    </row>
    <row r="1492" ht="22" customHeight="1">
      <c r="A1492" s="125">
        <f>IF('Calendario I'!A132="","",'Calendario I'!A132)</f>
        <v/>
      </c>
      <c r="B1492" s="61">
        <f>IF('Calendario I'!B132="","",'Calendario I'!B132)</f>
        <v/>
      </c>
      <c r="C1492" s="62">
        <f>IF('Calendario I'!C132="","",'Calendario I'!C132)</f>
        <v/>
      </c>
      <c r="D1492" s="61">
        <f>IF('Calendario I'!D132="","",'Calendario I'!D132)</f>
        <v/>
      </c>
      <c r="E1492" s="62">
        <f>IF('Calendario I'!E132="","",'Calendario I'!E132)</f>
        <v/>
      </c>
      <c r="F1492" s="63">
        <f>IF('Calendario I'!F132="","",'Calendario I'!F132)</f>
        <v/>
      </c>
      <c r="G1492" s="9" t="n"/>
      <c r="H1492" s="9" t="n"/>
      <c r="I1492" s="10" t="n"/>
      <c r="J1492" s="195">
        <f>IF('Calendario I'!J132="","",'Calendario I'!J132)</f>
        <v/>
      </c>
      <c r="K1492" s="64" t="inlineStr">
        <is>
          <t>-</t>
        </is>
      </c>
      <c r="L1492" s="195">
        <f>IF('Calendario I'!L132="","",'Calendario I'!L132)</f>
        <v/>
      </c>
      <c r="M1492" s="196" t="n"/>
      <c r="N1492" s="196" t="n"/>
      <c r="O1492" s="196" t="n"/>
      <c r="P1492" s="196" t="n"/>
      <c r="Q1492" s="196" t="n"/>
      <c r="R1492" s="196" t="n"/>
    </row>
    <row r="1493" ht="15" customHeight="1">
      <c r="A1493" s="141" t="n"/>
      <c r="B1493" s="69">
        <f>IF('Calendario I'!B133="","",'Calendario I'!B133)</f>
        <v/>
      </c>
      <c r="C1493" s="9" t="n"/>
      <c r="D1493" s="9" t="n"/>
      <c r="E1493" s="9" t="n"/>
      <c r="F1493" s="9" t="n"/>
      <c r="G1493" s="9" t="n"/>
      <c r="H1493" s="10" t="n"/>
      <c r="I1493" s="62">
        <f>IF('Calendario I'!I133="","",'Calendario I'!I133)</f>
        <v/>
      </c>
      <c r="J1493" s="141" t="n"/>
      <c r="K1493" s="141" t="n"/>
      <c r="L1493" s="141" t="n"/>
      <c r="M1493" s="141" t="n"/>
      <c r="N1493" s="141" t="n"/>
      <c r="O1493" s="141" t="n"/>
      <c r="P1493" s="141" t="n"/>
      <c r="Q1493" s="141" t="n"/>
      <c r="R1493" s="141" t="n"/>
    </row>
    <row r="1494" ht="14" customHeight="1">
      <c r="A1494" s="123" t="inlineStr">
        <is>
          <t>Gara N.</t>
        </is>
      </c>
      <c r="B1494" s="123" t="inlineStr">
        <is>
          <t>Squadra A</t>
        </is>
      </c>
      <c r="C1494" s="10" t="n"/>
      <c r="D1494" s="123" t="inlineStr">
        <is>
          <t>Squadra B</t>
        </is>
      </c>
      <c r="E1494" s="10" t="n"/>
      <c r="F1494" s="123" t="inlineStr">
        <is>
          <t>Giorno</t>
        </is>
      </c>
      <c r="G1494" s="123" t="inlineStr">
        <is>
          <t>Data</t>
        </is>
      </c>
      <c r="H1494" s="123" t="inlineStr">
        <is>
          <t>Ora</t>
        </is>
      </c>
      <c r="I1494" s="10" t="n"/>
      <c r="J1494" s="123" t="inlineStr">
        <is>
          <t>Risultato</t>
        </is>
      </c>
      <c r="K1494" s="9" t="n"/>
      <c r="L1494" s="10" t="n"/>
      <c r="M1494" s="213" t="inlineStr">
        <is>
          <t>1o Arbitro</t>
        </is>
      </c>
      <c r="N1494" s="213" t="inlineStr">
        <is>
          <t>2o Arbitro</t>
        </is>
      </c>
      <c r="O1494" s="213" t="inlineStr">
        <is>
          <t>3o Arbitro/Tirocinante</t>
        </is>
      </c>
      <c r="P1494" s="213" t="inlineStr">
        <is>
          <t>Referto</t>
        </is>
      </c>
      <c r="Q1494" s="213" t="inlineStr">
        <is>
          <t>Cronometro</t>
        </is>
      </c>
      <c r="R1494" s="213" t="inlineStr">
        <is>
          <t>Foglio Tiri</t>
        </is>
      </c>
    </row>
    <row r="1495" ht="22" customHeight="1">
      <c r="A1495" s="125">
        <f>IF('Calendario I'!A135="","",'Calendario I'!A135)</f>
        <v/>
      </c>
      <c r="B1495" s="61">
        <f>IF('Calendario I'!B135="","",'Calendario I'!B135)</f>
        <v/>
      </c>
      <c r="C1495" s="62">
        <f>IF('Calendario I'!C135="","",'Calendario I'!C135)</f>
        <v/>
      </c>
      <c r="D1495" s="61">
        <f>IF('Calendario I'!D135="","",'Calendario I'!D135)</f>
        <v/>
      </c>
      <c r="E1495" s="62">
        <f>IF('Calendario I'!E135="","",'Calendario I'!E135)</f>
        <v/>
      </c>
      <c r="F1495" s="63">
        <f>IF('Calendario I'!F135="","",'Calendario I'!F135)</f>
        <v/>
      </c>
      <c r="G1495" s="9" t="n"/>
      <c r="H1495" s="9" t="n"/>
      <c r="I1495" s="10" t="n"/>
      <c r="J1495" s="195">
        <f>IF('Calendario I'!J135="","",'Calendario I'!J135)</f>
        <v/>
      </c>
      <c r="K1495" s="64" t="inlineStr">
        <is>
          <t>-</t>
        </is>
      </c>
      <c r="L1495" s="195">
        <f>IF('Calendario I'!L135="","",'Calendario I'!L135)</f>
        <v/>
      </c>
      <c r="M1495" s="196" t="n"/>
      <c r="N1495" s="196" t="n"/>
      <c r="O1495" s="196" t="n"/>
      <c r="P1495" s="196" t="n"/>
      <c r="Q1495" s="196" t="n"/>
      <c r="R1495" s="196" t="n"/>
    </row>
    <row r="1496" ht="15" customHeight="1">
      <c r="A1496" s="141" t="n"/>
      <c r="B1496" s="69">
        <f>IF('Calendario I'!B136="","",'Calendario I'!B136)</f>
        <v/>
      </c>
      <c r="C1496" s="9" t="n"/>
      <c r="D1496" s="9" t="n"/>
      <c r="E1496" s="9" t="n"/>
      <c r="F1496" s="9" t="n"/>
      <c r="G1496" s="9" t="n"/>
      <c r="H1496" s="10" t="n"/>
      <c r="I1496" s="62">
        <f>IF('Calendario I'!I136="","",'Calendario I'!I136)</f>
        <v/>
      </c>
      <c r="J1496" s="141" t="n"/>
      <c r="K1496" s="141" t="n"/>
      <c r="L1496" s="141" t="n"/>
      <c r="M1496" s="141" t="n"/>
      <c r="N1496" s="141" t="n"/>
      <c r="O1496" s="141" t="n"/>
      <c r="P1496" s="141" t="n"/>
      <c r="Q1496" s="141" t="n"/>
      <c r="R1496" s="141" t="n"/>
    </row>
    <row r="1497" ht="14" customHeight="1">
      <c r="A1497" s="123" t="inlineStr">
        <is>
          <t>Gara N.</t>
        </is>
      </c>
      <c r="B1497" s="123" t="inlineStr">
        <is>
          <t>Squadra A</t>
        </is>
      </c>
      <c r="C1497" s="10" t="n"/>
      <c r="D1497" s="123" t="inlineStr">
        <is>
          <t>Squadra B</t>
        </is>
      </c>
      <c r="E1497" s="10" t="n"/>
      <c r="F1497" s="123" t="inlineStr">
        <is>
          <t>Giorno</t>
        </is>
      </c>
      <c r="G1497" s="123" t="inlineStr">
        <is>
          <t>Data</t>
        </is>
      </c>
      <c r="H1497" s="123" t="inlineStr">
        <is>
          <t>Ora</t>
        </is>
      </c>
      <c r="I1497" s="10" t="n"/>
      <c r="J1497" s="123" t="inlineStr">
        <is>
          <t>Risultato</t>
        </is>
      </c>
      <c r="K1497" s="9" t="n"/>
      <c r="L1497" s="10" t="n"/>
      <c r="M1497" s="213" t="inlineStr">
        <is>
          <t>1o Arbitro</t>
        </is>
      </c>
      <c r="N1497" s="213" t="inlineStr">
        <is>
          <t>2o Arbitro</t>
        </is>
      </c>
      <c r="O1497" s="213" t="inlineStr">
        <is>
          <t>3o Arbitro/Tirocinante</t>
        </is>
      </c>
      <c r="P1497" s="213" t="inlineStr">
        <is>
          <t>Referto</t>
        </is>
      </c>
      <c r="Q1497" s="213" t="inlineStr">
        <is>
          <t>Cronometro</t>
        </is>
      </c>
      <c r="R1497" s="213" t="inlineStr">
        <is>
          <t>Foglio Tiri</t>
        </is>
      </c>
    </row>
    <row r="1498" ht="22" customHeight="1">
      <c r="A1498" s="125">
        <f>IF('Calendario I'!A138="","",'Calendario I'!A138)</f>
        <v/>
      </c>
      <c r="B1498" s="61">
        <f>IF('Calendario I'!B138="","",'Calendario I'!B138)</f>
        <v/>
      </c>
      <c r="C1498" s="62">
        <f>IF('Calendario I'!C138="","",'Calendario I'!C138)</f>
        <v/>
      </c>
      <c r="D1498" s="61">
        <f>IF('Calendario I'!D138="","",'Calendario I'!D138)</f>
        <v/>
      </c>
      <c r="E1498" s="62">
        <f>IF('Calendario I'!E138="","",'Calendario I'!E138)</f>
        <v/>
      </c>
      <c r="F1498" s="63">
        <f>IF('Calendario I'!F138="","",'Calendario I'!F138)</f>
        <v/>
      </c>
      <c r="G1498" s="9" t="n"/>
      <c r="H1498" s="9" t="n"/>
      <c r="I1498" s="10" t="n"/>
      <c r="J1498" s="195">
        <f>IF('Calendario I'!J138="","",'Calendario I'!J138)</f>
        <v/>
      </c>
      <c r="K1498" s="64" t="inlineStr">
        <is>
          <t>-</t>
        </is>
      </c>
      <c r="L1498" s="195">
        <f>IF('Calendario I'!L138="","",'Calendario I'!L138)</f>
        <v/>
      </c>
      <c r="M1498" s="196" t="n"/>
      <c r="N1498" s="196" t="n"/>
      <c r="O1498" s="196" t="n"/>
      <c r="P1498" s="196" t="n"/>
      <c r="Q1498" s="196" t="n"/>
      <c r="R1498" s="196" t="n"/>
    </row>
    <row r="1499" ht="15" customHeight="1">
      <c r="A1499" s="141" t="n"/>
      <c r="B1499" s="69">
        <f>IF('Calendario I'!B139="","",'Calendario I'!B139)</f>
        <v/>
      </c>
      <c r="C1499" s="9" t="n"/>
      <c r="D1499" s="9" t="n"/>
      <c r="E1499" s="9" t="n"/>
      <c r="F1499" s="9" t="n"/>
      <c r="G1499" s="9" t="n"/>
      <c r="H1499" s="10" t="n"/>
      <c r="I1499" s="62">
        <f>IF('Calendario I'!I139="","",'Calendario I'!I139)</f>
        <v/>
      </c>
      <c r="J1499" s="141" t="n"/>
      <c r="K1499" s="141" t="n"/>
      <c r="L1499" s="141" t="n"/>
      <c r="M1499" s="141" t="n"/>
      <c r="N1499" s="141" t="n"/>
      <c r="O1499" s="141" t="n"/>
      <c r="P1499" s="141" t="n"/>
      <c r="Q1499" s="141" t="n"/>
      <c r="R1499" s="141" t="n"/>
    </row>
    <row r="1500" ht="14" customHeight="1">
      <c r="A1500" s="123" t="inlineStr">
        <is>
          <t>Gara N.</t>
        </is>
      </c>
      <c r="B1500" s="123" t="inlineStr">
        <is>
          <t>Squadra A</t>
        </is>
      </c>
      <c r="C1500" s="10" t="n"/>
      <c r="D1500" s="123" t="inlineStr">
        <is>
          <t>Squadra B</t>
        </is>
      </c>
      <c r="E1500" s="10" t="n"/>
      <c r="F1500" s="123" t="inlineStr">
        <is>
          <t>Giorno</t>
        </is>
      </c>
      <c r="G1500" s="123" t="inlineStr">
        <is>
          <t>Data</t>
        </is>
      </c>
      <c r="H1500" s="123" t="inlineStr">
        <is>
          <t>Ora</t>
        </is>
      </c>
      <c r="I1500" s="10" t="n"/>
      <c r="J1500" s="123" t="inlineStr">
        <is>
          <t>Risultato</t>
        </is>
      </c>
      <c r="K1500" s="9" t="n"/>
      <c r="L1500" s="10" t="n"/>
      <c r="M1500" s="213" t="inlineStr">
        <is>
          <t>1o Arbitro</t>
        </is>
      </c>
      <c r="N1500" s="213" t="inlineStr">
        <is>
          <t>2o Arbitro</t>
        </is>
      </c>
      <c r="O1500" s="213" t="inlineStr">
        <is>
          <t>3o Arbitro/Tirocinante</t>
        </is>
      </c>
      <c r="P1500" s="213" t="inlineStr">
        <is>
          <t>Referto</t>
        </is>
      </c>
      <c r="Q1500" s="213" t="inlineStr">
        <is>
          <t>Cronometro</t>
        </is>
      </c>
      <c r="R1500" s="213" t="inlineStr">
        <is>
          <t>Foglio Tiri</t>
        </is>
      </c>
    </row>
    <row r="1501" ht="22" customHeight="1">
      <c r="A1501" s="125">
        <f>IF('Calendario I'!A141="","",'Calendario I'!A141)</f>
        <v/>
      </c>
      <c r="B1501" s="61">
        <f>IF('Calendario I'!B141="","",'Calendario I'!B141)</f>
        <v/>
      </c>
      <c r="C1501" s="62">
        <f>IF('Calendario I'!C141="","",'Calendario I'!C141)</f>
        <v/>
      </c>
      <c r="D1501" s="61">
        <f>IF('Calendario I'!D141="","",'Calendario I'!D141)</f>
        <v/>
      </c>
      <c r="E1501" s="62">
        <f>IF('Calendario I'!E141="","",'Calendario I'!E141)</f>
        <v/>
      </c>
      <c r="F1501" s="63">
        <f>IF('Calendario I'!F141="","",'Calendario I'!F141)</f>
        <v/>
      </c>
      <c r="G1501" s="9" t="n"/>
      <c r="H1501" s="9" t="n"/>
      <c r="I1501" s="10" t="n"/>
      <c r="J1501" s="195">
        <f>IF('Calendario I'!J141="","",'Calendario I'!J141)</f>
        <v/>
      </c>
      <c r="K1501" s="64" t="inlineStr">
        <is>
          <t>-</t>
        </is>
      </c>
      <c r="L1501" s="195">
        <f>IF('Calendario I'!L141="","",'Calendario I'!L141)</f>
        <v/>
      </c>
      <c r="M1501" s="196" t="n"/>
      <c r="N1501" s="196" t="n"/>
      <c r="O1501" s="196" t="n"/>
      <c r="P1501" s="196" t="n"/>
      <c r="Q1501" s="196" t="n"/>
      <c r="R1501" s="196" t="n"/>
    </row>
    <row r="1502" ht="15" customHeight="1">
      <c r="A1502" s="141" t="n"/>
      <c r="B1502" s="69">
        <f>IF('Calendario I'!B142="","",'Calendario I'!B142)</f>
        <v/>
      </c>
      <c r="C1502" s="9" t="n"/>
      <c r="D1502" s="9" t="n"/>
      <c r="E1502" s="9" t="n"/>
      <c r="F1502" s="9" t="n"/>
      <c r="G1502" s="9" t="n"/>
      <c r="H1502" s="10" t="n"/>
      <c r="I1502" s="62">
        <f>IF('Calendario I'!I142="","",'Calendario I'!I142)</f>
        <v/>
      </c>
      <c r="J1502" s="141" t="n"/>
      <c r="K1502" s="141" t="n"/>
      <c r="L1502" s="141" t="n"/>
      <c r="M1502" s="141" t="n"/>
      <c r="N1502" s="141" t="n"/>
      <c r="O1502" s="141" t="n"/>
      <c r="P1502" s="141" t="n"/>
      <c r="Q1502" s="141" t="n"/>
      <c r="R1502" s="141" t="n"/>
    </row>
    <row r="1504" ht="20" customHeight="1">
      <c r="A1504" s="120">
        <f>IF('Calendario I'!A144="","",'Calendario I'!A144)</f>
        <v/>
      </c>
      <c r="B1504" s="121">
        <f>IF('Calendario I'!B144="","",'Calendario I'!B144)</f>
        <v/>
      </c>
      <c r="C1504" s="9" t="n"/>
      <c r="D1504" s="9" t="n"/>
      <c r="E1504" s="9" t="n"/>
      <c r="F1504" s="9" t="n"/>
      <c r="G1504" s="9" t="n"/>
      <c r="H1504" s="9" t="n"/>
      <c r="I1504" s="9" t="n"/>
      <c r="J1504" s="9" t="n"/>
      <c r="K1504" s="9" t="n"/>
      <c r="L1504" s="10" t="n"/>
      <c r="M1504" s="212" t="inlineStr">
        <is>
          <t>ARBITRI</t>
        </is>
      </c>
      <c r="N1504" s="9" t="n"/>
      <c r="O1504" s="10" t="n"/>
      <c r="P1504" s="212" t="inlineStr">
        <is>
          <t>UFFICIALI DI CAMPO</t>
        </is>
      </c>
      <c r="Q1504" s="9" t="n"/>
      <c r="R1504" s="10" t="n"/>
    </row>
    <row r="1505" ht="14" customHeight="1">
      <c r="A1505" s="123" t="inlineStr">
        <is>
          <t>Gara N.</t>
        </is>
      </c>
      <c r="B1505" s="123" t="inlineStr">
        <is>
          <t>Squadra A</t>
        </is>
      </c>
      <c r="C1505" s="10" t="n"/>
      <c r="D1505" s="123" t="inlineStr">
        <is>
          <t>Squadra B</t>
        </is>
      </c>
      <c r="E1505" s="10" t="n"/>
      <c r="F1505" s="123" t="inlineStr">
        <is>
          <t>Giorno</t>
        </is>
      </c>
      <c r="G1505" s="123" t="inlineStr">
        <is>
          <t>Data</t>
        </is>
      </c>
      <c r="H1505" s="123" t="inlineStr">
        <is>
          <t>Ora</t>
        </is>
      </c>
      <c r="I1505" s="10" t="n"/>
      <c r="J1505" s="123" t="inlineStr">
        <is>
          <t>Risultato</t>
        </is>
      </c>
      <c r="K1505" s="9" t="n"/>
      <c r="L1505" s="10" t="n"/>
      <c r="M1505" s="213" t="inlineStr">
        <is>
          <t>1o Arbitro</t>
        </is>
      </c>
      <c r="N1505" s="213" t="inlineStr">
        <is>
          <t>2o Arbitro</t>
        </is>
      </c>
      <c r="O1505" s="213" t="inlineStr">
        <is>
          <t>3o Arbitro/Tirocinante</t>
        </is>
      </c>
      <c r="P1505" s="213" t="inlineStr">
        <is>
          <t>Referto</t>
        </is>
      </c>
      <c r="Q1505" s="213" t="inlineStr">
        <is>
          <t>Cronometro</t>
        </is>
      </c>
      <c r="R1505" s="213" t="inlineStr">
        <is>
          <t>Foglio Tiri</t>
        </is>
      </c>
    </row>
    <row r="1506" ht="22" customHeight="1">
      <c r="A1506" s="125">
        <f>IF('Calendario I'!A146="","",'Calendario I'!A146)</f>
        <v/>
      </c>
      <c r="B1506" s="61">
        <f>IF('Calendario I'!B146="","",'Calendario I'!B146)</f>
        <v/>
      </c>
      <c r="C1506" s="62">
        <f>IF('Calendario I'!C146="","",'Calendario I'!C146)</f>
        <v/>
      </c>
      <c r="D1506" s="61">
        <f>IF('Calendario I'!D146="","",'Calendario I'!D146)</f>
        <v/>
      </c>
      <c r="E1506" s="62">
        <f>IF('Calendario I'!E146="","",'Calendario I'!E146)</f>
        <v/>
      </c>
      <c r="F1506" s="63">
        <f>IF('Calendario I'!F146="","",'Calendario I'!F146)</f>
        <v/>
      </c>
      <c r="G1506" s="9" t="n"/>
      <c r="H1506" s="9" t="n"/>
      <c r="I1506" s="10" t="n"/>
      <c r="J1506" s="195">
        <f>IF('Calendario I'!J146="","",'Calendario I'!J146)</f>
        <v/>
      </c>
      <c r="K1506" s="64" t="inlineStr">
        <is>
          <t>-</t>
        </is>
      </c>
      <c r="L1506" s="195">
        <f>IF('Calendario I'!L146="","",'Calendario I'!L146)</f>
        <v/>
      </c>
      <c r="M1506" s="196" t="n"/>
      <c r="N1506" s="196" t="n"/>
      <c r="O1506" s="196" t="n"/>
      <c r="P1506" s="196" t="n"/>
      <c r="Q1506" s="196" t="n"/>
      <c r="R1506" s="196" t="n"/>
    </row>
    <row r="1507" ht="15" customHeight="1">
      <c r="A1507" s="141" t="n"/>
      <c r="B1507" s="69">
        <f>IF('Calendario I'!B147="","",'Calendario I'!B147)</f>
        <v/>
      </c>
      <c r="C1507" s="9" t="n"/>
      <c r="D1507" s="9" t="n"/>
      <c r="E1507" s="9" t="n"/>
      <c r="F1507" s="9" t="n"/>
      <c r="G1507" s="9" t="n"/>
      <c r="H1507" s="10" t="n"/>
      <c r="I1507" s="62">
        <f>IF('Calendario I'!I147="","",'Calendario I'!I147)</f>
        <v/>
      </c>
      <c r="J1507" s="141" t="n"/>
      <c r="K1507" s="141" t="n"/>
      <c r="L1507" s="141" t="n"/>
      <c r="M1507" s="141" t="n"/>
      <c r="N1507" s="141" t="n"/>
      <c r="O1507" s="141" t="n"/>
      <c r="P1507" s="141" t="n"/>
      <c r="Q1507" s="141" t="n"/>
      <c r="R1507" s="141" t="n"/>
    </row>
    <row r="1508" ht="14" customHeight="1">
      <c r="A1508" s="123" t="inlineStr">
        <is>
          <t>Gara N.</t>
        </is>
      </c>
      <c r="B1508" s="123" t="inlineStr">
        <is>
          <t>Squadra A</t>
        </is>
      </c>
      <c r="C1508" s="10" t="n"/>
      <c r="D1508" s="123" t="inlineStr">
        <is>
          <t>Squadra B</t>
        </is>
      </c>
      <c r="E1508" s="10" t="n"/>
      <c r="F1508" s="123" t="inlineStr">
        <is>
          <t>Giorno</t>
        </is>
      </c>
      <c r="G1508" s="123" t="inlineStr">
        <is>
          <t>Data</t>
        </is>
      </c>
      <c r="H1508" s="123" t="inlineStr">
        <is>
          <t>Ora</t>
        </is>
      </c>
      <c r="I1508" s="10" t="n"/>
      <c r="J1508" s="123" t="inlineStr">
        <is>
          <t>Risultato</t>
        </is>
      </c>
      <c r="K1508" s="9" t="n"/>
      <c r="L1508" s="10" t="n"/>
      <c r="M1508" s="213" t="inlineStr">
        <is>
          <t>1o Arbitro</t>
        </is>
      </c>
      <c r="N1508" s="213" t="inlineStr">
        <is>
          <t>2o Arbitro</t>
        </is>
      </c>
      <c r="O1508" s="213" t="inlineStr">
        <is>
          <t>3o Arbitro/Tirocinante</t>
        </is>
      </c>
      <c r="P1508" s="213" t="inlineStr">
        <is>
          <t>Referto</t>
        </is>
      </c>
      <c r="Q1508" s="213" t="inlineStr">
        <is>
          <t>Cronometro</t>
        </is>
      </c>
      <c r="R1508" s="213" t="inlineStr">
        <is>
          <t>Foglio Tiri</t>
        </is>
      </c>
    </row>
    <row r="1509" ht="22" customHeight="1">
      <c r="A1509" s="125">
        <f>IF('Calendario I'!A149="","",'Calendario I'!A149)</f>
        <v/>
      </c>
      <c r="B1509" s="61">
        <f>IF('Calendario I'!B149="","",'Calendario I'!B149)</f>
        <v/>
      </c>
      <c r="C1509" s="62">
        <f>IF('Calendario I'!C149="","",'Calendario I'!C149)</f>
        <v/>
      </c>
      <c r="D1509" s="61">
        <f>IF('Calendario I'!D149="","",'Calendario I'!D149)</f>
        <v/>
      </c>
      <c r="E1509" s="62">
        <f>IF('Calendario I'!E149="","",'Calendario I'!E149)</f>
        <v/>
      </c>
      <c r="F1509" s="63">
        <f>IF('Calendario I'!F149="","",'Calendario I'!F149)</f>
        <v/>
      </c>
      <c r="G1509" s="9" t="n"/>
      <c r="H1509" s="9" t="n"/>
      <c r="I1509" s="10" t="n"/>
      <c r="J1509" s="195">
        <f>IF('Calendario I'!J149="","",'Calendario I'!J149)</f>
        <v/>
      </c>
      <c r="K1509" s="64" t="inlineStr">
        <is>
          <t>-</t>
        </is>
      </c>
      <c r="L1509" s="195">
        <f>IF('Calendario I'!L149="","",'Calendario I'!L149)</f>
        <v/>
      </c>
      <c r="M1509" s="196" t="n"/>
      <c r="N1509" s="196" t="n"/>
      <c r="O1509" s="196" t="n"/>
      <c r="P1509" s="196" t="n"/>
      <c r="Q1509" s="196" t="n"/>
      <c r="R1509" s="196" t="n"/>
    </row>
    <row r="1510" ht="15" customHeight="1">
      <c r="A1510" s="141" t="n"/>
      <c r="B1510" s="69">
        <f>IF('Calendario I'!B150="","",'Calendario I'!B150)</f>
        <v/>
      </c>
      <c r="C1510" s="9" t="n"/>
      <c r="D1510" s="9" t="n"/>
      <c r="E1510" s="9" t="n"/>
      <c r="F1510" s="9" t="n"/>
      <c r="G1510" s="9" t="n"/>
      <c r="H1510" s="10" t="n"/>
      <c r="I1510" s="62">
        <f>IF('Calendario I'!I150="","",'Calendario I'!I150)</f>
        <v/>
      </c>
      <c r="J1510" s="141" t="n"/>
      <c r="K1510" s="141" t="n"/>
      <c r="L1510" s="141" t="n"/>
      <c r="M1510" s="141" t="n"/>
      <c r="N1510" s="141" t="n"/>
      <c r="O1510" s="141" t="n"/>
      <c r="P1510" s="141" t="n"/>
      <c r="Q1510" s="141" t="n"/>
      <c r="R1510" s="141" t="n"/>
    </row>
    <row r="1511" ht="14" customHeight="1">
      <c r="A1511" s="123" t="inlineStr">
        <is>
          <t>Gara N.</t>
        </is>
      </c>
      <c r="B1511" s="123" t="inlineStr">
        <is>
          <t>Squadra A</t>
        </is>
      </c>
      <c r="C1511" s="10" t="n"/>
      <c r="D1511" s="123" t="inlineStr">
        <is>
          <t>Squadra B</t>
        </is>
      </c>
      <c r="E1511" s="10" t="n"/>
      <c r="F1511" s="123" t="inlineStr">
        <is>
          <t>Giorno</t>
        </is>
      </c>
      <c r="G1511" s="123" t="inlineStr">
        <is>
          <t>Data</t>
        </is>
      </c>
      <c r="H1511" s="123" t="inlineStr">
        <is>
          <t>Ora</t>
        </is>
      </c>
      <c r="I1511" s="10" t="n"/>
      <c r="J1511" s="123" t="inlineStr">
        <is>
          <t>Risultato</t>
        </is>
      </c>
      <c r="K1511" s="9" t="n"/>
      <c r="L1511" s="10" t="n"/>
      <c r="M1511" s="213" t="inlineStr">
        <is>
          <t>1o Arbitro</t>
        </is>
      </c>
      <c r="N1511" s="213" t="inlineStr">
        <is>
          <t>2o Arbitro</t>
        </is>
      </c>
      <c r="O1511" s="213" t="inlineStr">
        <is>
          <t>3o Arbitro/Tirocinante</t>
        </is>
      </c>
      <c r="P1511" s="213" t="inlineStr">
        <is>
          <t>Referto</t>
        </is>
      </c>
      <c r="Q1511" s="213" t="inlineStr">
        <is>
          <t>Cronometro</t>
        </is>
      </c>
      <c r="R1511" s="213" t="inlineStr">
        <is>
          <t>Foglio Tiri</t>
        </is>
      </c>
    </row>
    <row r="1512" ht="22" customHeight="1">
      <c r="A1512" s="125">
        <f>IF('Calendario I'!A152="","",'Calendario I'!A152)</f>
        <v/>
      </c>
      <c r="B1512" s="61">
        <f>IF('Calendario I'!B152="","",'Calendario I'!B152)</f>
        <v/>
      </c>
      <c r="C1512" s="62">
        <f>IF('Calendario I'!C152="","",'Calendario I'!C152)</f>
        <v/>
      </c>
      <c r="D1512" s="61">
        <f>IF('Calendario I'!D152="","",'Calendario I'!D152)</f>
        <v/>
      </c>
      <c r="E1512" s="62">
        <f>IF('Calendario I'!E152="","",'Calendario I'!E152)</f>
        <v/>
      </c>
      <c r="F1512" s="63">
        <f>IF('Calendario I'!F152="","",'Calendario I'!F152)</f>
        <v/>
      </c>
      <c r="G1512" s="9" t="n"/>
      <c r="H1512" s="9" t="n"/>
      <c r="I1512" s="10" t="n"/>
      <c r="J1512" s="195">
        <f>IF('Calendario I'!J152="","",'Calendario I'!J152)</f>
        <v/>
      </c>
      <c r="K1512" s="64" t="inlineStr">
        <is>
          <t>-</t>
        </is>
      </c>
      <c r="L1512" s="195">
        <f>IF('Calendario I'!L152="","",'Calendario I'!L152)</f>
        <v/>
      </c>
      <c r="M1512" s="196" t="n"/>
      <c r="N1512" s="196" t="n"/>
      <c r="O1512" s="196" t="n"/>
      <c r="P1512" s="196" t="n"/>
      <c r="Q1512" s="196" t="n"/>
      <c r="R1512" s="196" t="n"/>
    </row>
    <row r="1513" ht="15" customHeight="1">
      <c r="A1513" s="141" t="n"/>
      <c r="B1513" s="69">
        <f>IF('Calendario I'!B153="","",'Calendario I'!B153)</f>
        <v/>
      </c>
      <c r="C1513" s="9" t="n"/>
      <c r="D1513" s="9" t="n"/>
      <c r="E1513" s="9" t="n"/>
      <c r="F1513" s="9" t="n"/>
      <c r="G1513" s="9" t="n"/>
      <c r="H1513" s="10" t="n"/>
      <c r="I1513" s="62">
        <f>IF('Calendario I'!I153="","",'Calendario I'!I153)</f>
        <v/>
      </c>
      <c r="J1513" s="141" t="n"/>
      <c r="K1513" s="141" t="n"/>
      <c r="L1513" s="141" t="n"/>
      <c r="M1513" s="141" t="n"/>
      <c r="N1513" s="141" t="n"/>
      <c r="O1513" s="141" t="n"/>
      <c r="P1513" s="141" t="n"/>
      <c r="Q1513" s="141" t="n"/>
      <c r="R1513" s="141" t="n"/>
    </row>
    <row r="1514" ht="14" customHeight="1">
      <c r="A1514" s="123" t="inlineStr">
        <is>
          <t>Gara N.</t>
        </is>
      </c>
      <c r="B1514" s="123" t="inlineStr">
        <is>
          <t>Squadra A</t>
        </is>
      </c>
      <c r="C1514" s="10" t="n"/>
      <c r="D1514" s="123" t="inlineStr">
        <is>
          <t>Squadra B</t>
        </is>
      </c>
      <c r="E1514" s="10" t="n"/>
      <c r="F1514" s="123" t="inlineStr">
        <is>
          <t>Giorno</t>
        </is>
      </c>
      <c r="G1514" s="123" t="inlineStr">
        <is>
          <t>Data</t>
        </is>
      </c>
      <c r="H1514" s="123" t="inlineStr">
        <is>
          <t>Ora</t>
        </is>
      </c>
      <c r="I1514" s="10" t="n"/>
      <c r="J1514" s="123" t="inlineStr">
        <is>
          <t>Risultato</t>
        </is>
      </c>
      <c r="K1514" s="9" t="n"/>
      <c r="L1514" s="10" t="n"/>
      <c r="M1514" s="213" t="inlineStr">
        <is>
          <t>1o Arbitro</t>
        </is>
      </c>
      <c r="N1514" s="213" t="inlineStr">
        <is>
          <t>2o Arbitro</t>
        </is>
      </c>
      <c r="O1514" s="213" t="inlineStr">
        <is>
          <t>3o Arbitro/Tirocinante</t>
        </is>
      </c>
      <c r="P1514" s="213" t="inlineStr">
        <is>
          <t>Referto</t>
        </is>
      </c>
      <c r="Q1514" s="213" t="inlineStr">
        <is>
          <t>Cronometro</t>
        </is>
      </c>
      <c r="R1514" s="213" t="inlineStr">
        <is>
          <t>Foglio Tiri</t>
        </is>
      </c>
    </row>
    <row r="1515" ht="22" customHeight="1">
      <c r="A1515" s="125">
        <f>IF('Calendario I'!A155="","",'Calendario I'!A155)</f>
        <v/>
      </c>
      <c r="B1515" s="61">
        <f>IF('Calendario I'!B155="","",'Calendario I'!B155)</f>
        <v/>
      </c>
      <c r="C1515" s="62">
        <f>IF('Calendario I'!C155="","",'Calendario I'!C155)</f>
        <v/>
      </c>
      <c r="D1515" s="61">
        <f>IF('Calendario I'!D155="","",'Calendario I'!D155)</f>
        <v/>
      </c>
      <c r="E1515" s="62">
        <f>IF('Calendario I'!E155="","",'Calendario I'!E155)</f>
        <v/>
      </c>
      <c r="F1515" s="63">
        <f>IF('Calendario I'!F155="","",'Calendario I'!F155)</f>
        <v/>
      </c>
      <c r="G1515" s="9" t="n"/>
      <c r="H1515" s="9" t="n"/>
      <c r="I1515" s="10" t="n"/>
      <c r="J1515" s="195">
        <f>IF('Calendario I'!J155="","",'Calendario I'!J155)</f>
        <v/>
      </c>
      <c r="K1515" s="64" t="inlineStr">
        <is>
          <t>-</t>
        </is>
      </c>
      <c r="L1515" s="195">
        <f>IF('Calendario I'!L155="","",'Calendario I'!L155)</f>
        <v/>
      </c>
      <c r="M1515" s="196" t="n"/>
      <c r="N1515" s="196" t="n"/>
      <c r="O1515" s="196" t="n"/>
      <c r="P1515" s="196" t="n"/>
      <c r="Q1515" s="196" t="n"/>
      <c r="R1515" s="196" t="n"/>
    </row>
    <row r="1516" ht="15" customHeight="1">
      <c r="A1516" s="141" t="n"/>
      <c r="B1516" s="69">
        <f>IF('Calendario I'!B156="","",'Calendario I'!B156)</f>
        <v/>
      </c>
      <c r="C1516" s="9" t="n"/>
      <c r="D1516" s="9" t="n"/>
      <c r="E1516" s="9" t="n"/>
      <c r="F1516" s="9" t="n"/>
      <c r="G1516" s="9" t="n"/>
      <c r="H1516" s="10" t="n"/>
      <c r="I1516" s="62">
        <f>IF('Calendario I'!I156="","",'Calendario I'!I156)</f>
        <v/>
      </c>
      <c r="J1516" s="141" t="n"/>
      <c r="K1516" s="141" t="n"/>
      <c r="L1516" s="141" t="n"/>
      <c r="M1516" s="141" t="n"/>
      <c r="N1516" s="141" t="n"/>
      <c r="O1516" s="141" t="n"/>
      <c r="P1516" s="141" t="n"/>
      <c r="Q1516" s="141" t="n"/>
      <c r="R1516" s="141" t="n"/>
    </row>
    <row r="1517" ht="14" customHeight="1">
      <c r="A1517" s="123" t="inlineStr">
        <is>
          <t>Gara N.</t>
        </is>
      </c>
      <c r="B1517" s="123" t="inlineStr">
        <is>
          <t>Squadra A</t>
        </is>
      </c>
      <c r="C1517" s="10" t="n"/>
      <c r="D1517" s="123" t="inlineStr">
        <is>
          <t>Squadra B</t>
        </is>
      </c>
      <c r="E1517" s="10" t="n"/>
      <c r="F1517" s="123" t="inlineStr">
        <is>
          <t>Giorno</t>
        </is>
      </c>
      <c r="G1517" s="123" t="inlineStr">
        <is>
          <t>Data</t>
        </is>
      </c>
      <c r="H1517" s="123" t="inlineStr">
        <is>
          <t>Ora</t>
        </is>
      </c>
      <c r="I1517" s="10" t="n"/>
      <c r="J1517" s="123" t="inlineStr">
        <is>
          <t>Risultato</t>
        </is>
      </c>
      <c r="K1517" s="9" t="n"/>
      <c r="L1517" s="10" t="n"/>
      <c r="M1517" s="213" t="inlineStr">
        <is>
          <t>1o Arbitro</t>
        </is>
      </c>
      <c r="N1517" s="213" t="inlineStr">
        <is>
          <t>2o Arbitro</t>
        </is>
      </c>
      <c r="O1517" s="213" t="inlineStr">
        <is>
          <t>3o Arbitro/Tirocinante</t>
        </is>
      </c>
      <c r="P1517" s="213" t="inlineStr">
        <is>
          <t>Referto</t>
        </is>
      </c>
      <c r="Q1517" s="213" t="inlineStr">
        <is>
          <t>Cronometro</t>
        </is>
      </c>
      <c r="R1517" s="213" t="inlineStr">
        <is>
          <t>Foglio Tiri</t>
        </is>
      </c>
    </row>
    <row r="1518" ht="22" customHeight="1">
      <c r="A1518" s="125">
        <f>IF('Calendario I'!A158="","",'Calendario I'!A158)</f>
        <v/>
      </c>
      <c r="B1518" s="61">
        <f>IF('Calendario I'!B158="","",'Calendario I'!B158)</f>
        <v/>
      </c>
      <c r="C1518" s="62">
        <f>IF('Calendario I'!C158="","",'Calendario I'!C158)</f>
        <v/>
      </c>
      <c r="D1518" s="61">
        <f>IF('Calendario I'!D158="","",'Calendario I'!D158)</f>
        <v/>
      </c>
      <c r="E1518" s="62">
        <f>IF('Calendario I'!E158="","",'Calendario I'!E158)</f>
        <v/>
      </c>
      <c r="F1518" s="63">
        <f>IF('Calendario I'!F158="","",'Calendario I'!F158)</f>
        <v/>
      </c>
      <c r="G1518" s="9" t="n"/>
      <c r="H1518" s="9" t="n"/>
      <c r="I1518" s="10" t="n"/>
      <c r="J1518" s="195">
        <f>IF('Calendario I'!J158="","",'Calendario I'!J158)</f>
        <v/>
      </c>
      <c r="K1518" s="64" t="inlineStr">
        <is>
          <t>-</t>
        </is>
      </c>
      <c r="L1518" s="195">
        <f>IF('Calendario I'!L158="","",'Calendario I'!L158)</f>
        <v/>
      </c>
      <c r="M1518" s="196" t="n"/>
      <c r="N1518" s="196" t="n"/>
      <c r="O1518" s="196" t="n"/>
      <c r="P1518" s="196" t="n"/>
      <c r="Q1518" s="196" t="n"/>
      <c r="R1518" s="196" t="n"/>
    </row>
    <row r="1519" ht="15" customHeight="1">
      <c r="A1519" s="141" t="n"/>
      <c r="B1519" s="69">
        <f>IF('Calendario I'!B159="","",'Calendario I'!B159)</f>
        <v/>
      </c>
      <c r="C1519" s="9" t="n"/>
      <c r="D1519" s="9" t="n"/>
      <c r="E1519" s="9" t="n"/>
      <c r="F1519" s="9" t="n"/>
      <c r="G1519" s="9" t="n"/>
      <c r="H1519" s="10" t="n"/>
      <c r="I1519" s="62">
        <f>IF('Calendario I'!I159="","",'Calendario I'!I159)</f>
        <v/>
      </c>
      <c r="J1519" s="141" t="n"/>
      <c r="K1519" s="141" t="n"/>
      <c r="L1519" s="141" t="n"/>
      <c r="M1519" s="141" t="n"/>
      <c r="N1519" s="141" t="n"/>
      <c r="O1519" s="141" t="n"/>
      <c r="P1519" s="141" t="n"/>
      <c r="Q1519" s="141" t="n"/>
      <c r="R1519" s="141" t="n"/>
    </row>
    <row r="1538" ht="20" customHeight="1">
      <c r="A1538" s="127">
        <f>IF('Calendario J'!A8="","",'Calendario J'!A8)</f>
        <v/>
      </c>
      <c r="B1538" s="128">
        <f>IF('Calendario J'!B8="","",'Calendario J'!B8)</f>
        <v/>
      </c>
      <c r="C1538" s="9" t="n"/>
      <c r="D1538" s="9" t="n"/>
      <c r="E1538" s="9" t="n"/>
      <c r="F1538" s="9" t="n"/>
      <c r="G1538" s="9" t="n"/>
      <c r="H1538" s="9" t="n"/>
      <c r="I1538" s="9" t="n"/>
      <c r="J1538" s="9" t="n"/>
      <c r="K1538" s="9" t="n"/>
      <c r="L1538" s="10" t="n"/>
      <c r="M1538" s="214" t="inlineStr">
        <is>
          <t>ARBITRI</t>
        </is>
      </c>
      <c r="N1538" s="9" t="n"/>
      <c r="O1538" s="10" t="n"/>
      <c r="P1538" s="214" t="inlineStr">
        <is>
          <t>UFFICIALI DI CAMPO</t>
        </is>
      </c>
      <c r="Q1538" s="9" t="n"/>
      <c r="R1538" s="10" t="n"/>
    </row>
    <row r="1539" ht="14" customHeight="1">
      <c r="A1539" s="130" t="inlineStr">
        <is>
          <t>Gara N.</t>
        </is>
      </c>
      <c r="B1539" s="130" t="inlineStr">
        <is>
          <t>Squadra A</t>
        </is>
      </c>
      <c r="C1539" s="10" t="n"/>
      <c r="D1539" s="130" t="inlineStr">
        <is>
          <t>Squadra B</t>
        </is>
      </c>
      <c r="E1539" s="10" t="n"/>
      <c r="F1539" s="130" t="inlineStr">
        <is>
          <t>Giorno</t>
        </is>
      </c>
      <c r="G1539" s="130" t="inlineStr">
        <is>
          <t>Data</t>
        </is>
      </c>
      <c r="H1539" s="130" t="inlineStr">
        <is>
          <t>Ora</t>
        </is>
      </c>
      <c r="I1539" s="10" t="n"/>
      <c r="J1539" s="130" t="inlineStr">
        <is>
          <t>Risultato</t>
        </is>
      </c>
      <c r="K1539" s="9" t="n"/>
      <c r="L1539" s="10" t="n"/>
      <c r="M1539" s="215" t="inlineStr">
        <is>
          <t>1o Arbitro</t>
        </is>
      </c>
      <c r="N1539" s="215" t="inlineStr">
        <is>
          <t>2o Arbitro</t>
        </is>
      </c>
      <c r="O1539" s="215" t="inlineStr">
        <is>
          <t>3o Arbitro/Tirocinante</t>
        </is>
      </c>
      <c r="P1539" s="215" t="inlineStr">
        <is>
          <t>Referto</t>
        </is>
      </c>
      <c r="Q1539" s="215" t="inlineStr">
        <is>
          <t>Cronometro</t>
        </is>
      </c>
      <c r="R1539" s="215" t="inlineStr">
        <is>
          <t>Foglio Tiri</t>
        </is>
      </c>
    </row>
    <row r="1540" ht="22" customHeight="1">
      <c r="A1540" s="132">
        <f>IF('Calendario J'!A10="","",'Calendario J'!A10)</f>
        <v/>
      </c>
      <c r="B1540" s="61">
        <f>IF('Calendario J'!B10="","",'Calendario J'!B10)</f>
        <v/>
      </c>
      <c r="C1540" s="62">
        <f>IF('Calendario J'!C10="","",'Calendario J'!C10)</f>
        <v/>
      </c>
      <c r="D1540" s="61">
        <f>IF('Calendario J'!D10="","",'Calendario J'!D10)</f>
        <v/>
      </c>
      <c r="E1540" s="62">
        <f>IF('Calendario J'!E10="","",'Calendario J'!E10)</f>
        <v/>
      </c>
      <c r="F1540" s="63">
        <f>IF('Calendario J'!F10="","",'Calendario J'!F10)</f>
        <v/>
      </c>
      <c r="G1540" s="9" t="n"/>
      <c r="H1540" s="9" t="n"/>
      <c r="I1540" s="10" t="n"/>
      <c r="J1540" s="195">
        <f>IF('Calendario J'!J10="","",'Calendario J'!J10)</f>
        <v/>
      </c>
      <c r="K1540" s="64" t="inlineStr">
        <is>
          <t>-</t>
        </is>
      </c>
      <c r="L1540" s="195">
        <f>IF('Calendario J'!L10="","",'Calendario J'!L10)</f>
        <v/>
      </c>
      <c r="M1540" s="196" t="n"/>
      <c r="N1540" s="196" t="n"/>
      <c r="O1540" s="196" t="n"/>
      <c r="P1540" s="196" t="n"/>
      <c r="Q1540" s="196" t="n"/>
      <c r="R1540" s="196" t="n"/>
    </row>
    <row r="1541" ht="15" customHeight="1">
      <c r="A1541" s="141" t="n"/>
      <c r="B1541" s="69">
        <f>IF('Calendario J'!B11="","",'Calendario J'!B11)</f>
        <v/>
      </c>
      <c r="C1541" s="9" t="n"/>
      <c r="D1541" s="9" t="n"/>
      <c r="E1541" s="9" t="n"/>
      <c r="F1541" s="9" t="n"/>
      <c r="G1541" s="9" t="n"/>
      <c r="H1541" s="10" t="n"/>
      <c r="I1541" s="62">
        <f>IF('Calendario J'!I11="","",'Calendario J'!I11)</f>
        <v/>
      </c>
      <c r="J1541" s="141" t="n"/>
      <c r="K1541" s="141" t="n"/>
      <c r="L1541" s="141" t="n"/>
      <c r="M1541" s="141" t="n"/>
      <c r="N1541" s="141" t="n"/>
      <c r="O1541" s="141" t="n"/>
      <c r="P1541" s="141" t="n"/>
      <c r="Q1541" s="141" t="n"/>
      <c r="R1541" s="141" t="n"/>
    </row>
    <row r="1542" ht="14" customHeight="1">
      <c r="A1542" s="130" t="inlineStr">
        <is>
          <t>Gara N.</t>
        </is>
      </c>
      <c r="B1542" s="130" t="inlineStr">
        <is>
          <t>Squadra A</t>
        </is>
      </c>
      <c r="C1542" s="10" t="n"/>
      <c r="D1542" s="130" t="inlineStr">
        <is>
          <t>Squadra B</t>
        </is>
      </c>
      <c r="E1542" s="10" t="n"/>
      <c r="F1542" s="130" t="inlineStr">
        <is>
          <t>Giorno</t>
        </is>
      </c>
      <c r="G1542" s="130" t="inlineStr">
        <is>
          <t>Data</t>
        </is>
      </c>
      <c r="H1542" s="130" t="inlineStr">
        <is>
          <t>Ora</t>
        </is>
      </c>
      <c r="I1542" s="10" t="n"/>
      <c r="J1542" s="130" t="inlineStr">
        <is>
          <t>Risultato</t>
        </is>
      </c>
      <c r="K1542" s="9" t="n"/>
      <c r="L1542" s="10" t="n"/>
      <c r="M1542" s="215" t="inlineStr">
        <is>
          <t>1o Arbitro</t>
        </is>
      </c>
      <c r="N1542" s="215" t="inlineStr">
        <is>
          <t>2o Arbitro</t>
        </is>
      </c>
      <c r="O1542" s="215" t="inlineStr">
        <is>
          <t>3o Arbitro/Tirocinante</t>
        </is>
      </c>
      <c r="P1542" s="215" t="inlineStr">
        <is>
          <t>Referto</t>
        </is>
      </c>
      <c r="Q1542" s="215" t="inlineStr">
        <is>
          <t>Cronometro</t>
        </is>
      </c>
      <c r="R1542" s="215" t="inlineStr">
        <is>
          <t>Foglio Tiri</t>
        </is>
      </c>
    </row>
    <row r="1543" ht="22" customHeight="1">
      <c r="A1543" s="132">
        <f>IF('Calendario J'!A13="","",'Calendario J'!A13)</f>
        <v/>
      </c>
      <c r="B1543" s="61">
        <f>IF('Calendario J'!B13="","",'Calendario J'!B13)</f>
        <v/>
      </c>
      <c r="C1543" s="62">
        <f>IF('Calendario J'!C13="","",'Calendario J'!C13)</f>
        <v/>
      </c>
      <c r="D1543" s="61">
        <f>IF('Calendario J'!D13="","",'Calendario J'!D13)</f>
        <v/>
      </c>
      <c r="E1543" s="62">
        <f>IF('Calendario J'!E13="","",'Calendario J'!E13)</f>
        <v/>
      </c>
      <c r="F1543" s="63">
        <f>IF('Calendario J'!F13="","",'Calendario J'!F13)</f>
        <v/>
      </c>
      <c r="G1543" s="9" t="n"/>
      <c r="H1543" s="9" t="n"/>
      <c r="I1543" s="10" t="n"/>
      <c r="J1543" s="195">
        <f>IF('Calendario J'!J13="","",'Calendario J'!J13)</f>
        <v/>
      </c>
      <c r="K1543" s="64" t="inlineStr">
        <is>
          <t>-</t>
        </is>
      </c>
      <c r="L1543" s="195">
        <f>IF('Calendario J'!L13="","",'Calendario J'!L13)</f>
        <v/>
      </c>
      <c r="M1543" s="196" t="n"/>
      <c r="N1543" s="196" t="n"/>
      <c r="O1543" s="196" t="n"/>
      <c r="P1543" s="196" t="n"/>
      <c r="Q1543" s="196" t="n"/>
      <c r="R1543" s="196" t="n"/>
    </row>
    <row r="1544" ht="15" customHeight="1">
      <c r="A1544" s="141" t="n"/>
      <c r="B1544" s="69">
        <f>IF('Calendario J'!B14="","",'Calendario J'!B14)</f>
        <v/>
      </c>
      <c r="C1544" s="9" t="n"/>
      <c r="D1544" s="9" t="n"/>
      <c r="E1544" s="9" t="n"/>
      <c r="F1544" s="9" t="n"/>
      <c r="G1544" s="9" t="n"/>
      <c r="H1544" s="10" t="n"/>
      <c r="I1544" s="62">
        <f>IF('Calendario J'!I14="","",'Calendario J'!I14)</f>
        <v/>
      </c>
      <c r="J1544" s="141" t="n"/>
      <c r="K1544" s="141" t="n"/>
      <c r="L1544" s="141" t="n"/>
      <c r="M1544" s="141" t="n"/>
      <c r="N1544" s="141" t="n"/>
      <c r="O1544" s="141" t="n"/>
      <c r="P1544" s="141" t="n"/>
      <c r="Q1544" s="141" t="n"/>
      <c r="R1544" s="141" t="n"/>
    </row>
    <row r="1545" ht="14" customHeight="1">
      <c r="A1545" s="130" t="inlineStr">
        <is>
          <t>Gara N.</t>
        </is>
      </c>
      <c r="B1545" s="130" t="inlineStr">
        <is>
          <t>Squadra A</t>
        </is>
      </c>
      <c r="C1545" s="10" t="n"/>
      <c r="D1545" s="130" t="inlineStr">
        <is>
          <t>Squadra B</t>
        </is>
      </c>
      <c r="E1545" s="10" t="n"/>
      <c r="F1545" s="130" t="inlineStr">
        <is>
          <t>Giorno</t>
        </is>
      </c>
      <c r="G1545" s="130" t="inlineStr">
        <is>
          <t>Data</t>
        </is>
      </c>
      <c r="H1545" s="130" t="inlineStr">
        <is>
          <t>Ora</t>
        </is>
      </c>
      <c r="I1545" s="10" t="n"/>
      <c r="J1545" s="130" t="inlineStr">
        <is>
          <t>Risultato</t>
        </is>
      </c>
      <c r="K1545" s="9" t="n"/>
      <c r="L1545" s="10" t="n"/>
      <c r="M1545" s="215" t="inlineStr">
        <is>
          <t>1o Arbitro</t>
        </is>
      </c>
      <c r="N1545" s="215" t="inlineStr">
        <is>
          <t>2o Arbitro</t>
        </is>
      </c>
      <c r="O1545" s="215" t="inlineStr">
        <is>
          <t>3o Arbitro/Tirocinante</t>
        </is>
      </c>
      <c r="P1545" s="215" t="inlineStr">
        <is>
          <t>Referto</t>
        </is>
      </c>
      <c r="Q1545" s="215" t="inlineStr">
        <is>
          <t>Cronometro</t>
        </is>
      </c>
      <c r="R1545" s="215" t="inlineStr">
        <is>
          <t>Foglio Tiri</t>
        </is>
      </c>
    </row>
    <row r="1546" ht="22" customHeight="1">
      <c r="A1546" s="132">
        <f>IF('Calendario J'!A16="","",'Calendario J'!A16)</f>
        <v/>
      </c>
      <c r="B1546" s="61">
        <f>IF('Calendario J'!B16="","",'Calendario J'!B16)</f>
        <v/>
      </c>
      <c r="C1546" s="62">
        <f>IF('Calendario J'!C16="","",'Calendario J'!C16)</f>
        <v/>
      </c>
      <c r="D1546" s="61">
        <f>IF('Calendario J'!D16="","",'Calendario J'!D16)</f>
        <v/>
      </c>
      <c r="E1546" s="62">
        <f>IF('Calendario J'!E16="","",'Calendario J'!E16)</f>
        <v/>
      </c>
      <c r="F1546" s="63">
        <f>IF('Calendario J'!F16="","",'Calendario J'!F16)</f>
        <v/>
      </c>
      <c r="G1546" s="9" t="n"/>
      <c r="H1546" s="9" t="n"/>
      <c r="I1546" s="10" t="n"/>
      <c r="J1546" s="195">
        <f>IF('Calendario J'!J16="","",'Calendario J'!J16)</f>
        <v/>
      </c>
      <c r="K1546" s="64" t="inlineStr">
        <is>
          <t>-</t>
        </is>
      </c>
      <c r="L1546" s="195">
        <f>IF('Calendario J'!L16="","",'Calendario J'!L16)</f>
        <v/>
      </c>
      <c r="M1546" s="196" t="n"/>
      <c r="N1546" s="196" t="n"/>
      <c r="O1546" s="196" t="n"/>
      <c r="P1546" s="196" t="n"/>
      <c r="Q1546" s="196" t="n"/>
      <c r="R1546" s="196" t="n"/>
    </row>
    <row r="1547" ht="15" customHeight="1">
      <c r="A1547" s="141" t="n"/>
      <c r="B1547" s="69">
        <f>IF('Calendario J'!B17="","",'Calendario J'!B17)</f>
        <v/>
      </c>
      <c r="C1547" s="9" t="n"/>
      <c r="D1547" s="9" t="n"/>
      <c r="E1547" s="9" t="n"/>
      <c r="F1547" s="9" t="n"/>
      <c r="G1547" s="9" t="n"/>
      <c r="H1547" s="10" t="n"/>
      <c r="I1547" s="62">
        <f>IF('Calendario J'!I17="","",'Calendario J'!I17)</f>
        <v/>
      </c>
      <c r="J1547" s="141" t="n"/>
      <c r="K1547" s="141" t="n"/>
      <c r="L1547" s="141" t="n"/>
      <c r="M1547" s="141" t="n"/>
      <c r="N1547" s="141" t="n"/>
      <c r="O1547" s="141" t="n"/>
      <c r="P1547" s="141" t="n"/>
      <c r="Q1547" s="141" t="n"/>
      <c r="R1547" s="141" t="n"/>
    </row>
    <row r="1548" ht="14" customHeight="1">
      <c r="A1548" s="130" t="inlineStr">
        <is>
          <t>Gara N.</t>
        </is>
      </c>
      <c r="B1548" s="130" t="inlineStr">
        <is>
          <t>Squadra A</t>
        </is>
      </c>
      <c r="C1548" s="10" t="n"/>
      <c r="D1548" s="130" t="inlineStr">
        <is>
          <t>Squadra B</t>
        </is>
      </c>
      <c r="E1548" s="10" t="n"/>
      <c r="F1548" s="130" t="inlineStr">
        <is>
          <t>Giorno</t>
        </is>
      </c>
      <c r="G1548" s="130" t="inlineStr">
        <is>
          <t>Data</t>
        </is>
      </c>
      <c r="H1548" s="130" t="inlineStr">
        <is>
          <t>Ora</t>
        </is>
      </c>
      <c r="I1548" s="10" t="n"/>
      <c r="J1548" s="130" t="inlineStr">
        <is>
          <t>Risultato</t>
        </is>
      </c>
      <c r="K1548" s="9" t="n"/>
      <c r="L1548" s="10" t="n"/>
      <c r="M1548" s="215" t="inlineStr">
        <is>
          <t>1o Arbitro</t>
        </is>
      </c>
      <c r="N1548" s="215" t="inlineStr">
        <is>
          <t>2o Arbitro</t>
        </is>
      </c>
      <c r="O1548" s="215" t="inlineStr">
        <is>
          <t>3o Arbitro/Tirocinante</t>
        </is>
      </c>
      <c r="P1548" s="215" t="inlineStr">
        <is>
          <t>Referto</t>
        </is>
      </c>
      <c r="Q1548" s="215" t="inlineStr">
        <is>
          <t>Cronometro</t>
        </is>
      </c>
      <c r="R1548" s="215" t="inlineStr">
        <is>
          <t>Foglio Tiri</t>
        </is>
      </c>
    </row>
    <row r="1549" ht="22" customHeight="1">
      <c r="A1549" s="132">
        <f>IF('Calendario J'!A19="","",'Calendario J'!A19)</f>
        <v/>
      </c>
      <c r="B1549" s="61">
        <f>IF('Calendario J'!B19="","",'Calendario J'!B19)</f>
        <v/>
      </c>
      <c r="C1549" s="62">
        <f>IF('Calendario J'!C19="","",'Calendario J'!C19)</f>
        <v/>
      </c>
      <c r="D1549" s="61">
        <f>IF('Calendario J'!D19="","",'Calendario J'!D19)</f>
        <v/>
      </c>
      <c r="E1549" s="62">
        <f>IF('Calendario J'!E19="","",'Calendario J'!E19)</f>
        <v/>
      </c>
      <c r="F1549" s="63">
        <f>IF('Calendario J'!F19="","",'Calendario J'!F19)</f>
        <v/>
      </c>
      <c r="G1549" s="9" t="n"/>
      <c r="H1549" s="9" t="n"/>
      <c r="I1549" s="10" t="n"/>
      <c r="J1549" s="195">
        <f>IF('Calendario J'!J19="","",'Calendario J'!J19)</f>
        <v/>
      </c>
      <c r="K1549" s="64" t="inlineStr">
        <is>
          <t>-</t>
        </is>
      </c>
      <c r="L1549" s="195">
        <f>IF('Calendario J'!L19="","",'Calendario J'!L19)</f>
        <v/>
      </c>
      <c r="M1549" s="196" t="n"/>
      <c r="N1549" s="196" t="n"/>
      <c r="O1549" s="196" t="n"/>
      <c r="P1549" s="196" t="n"/>
      <c r="Q1549" s="196" t="n"/>
      <c r="R1549" s="196" t="n"/>
    </row>
    <row r="1550" ht="15" customHeight="1">
      <c r="A1550" s="141" t="n"/>
      <c r="B1550" s="69">
        <f>IF('Calendario J'!B20="","",'Calendario J'!B20)</f>
        <v/>
      </c>
      <c r="C1550" s="9" t="n"/>
      <c r="D1550" s="9" t="n"/>
      <c r="E1550" s="9" t="n"/>
      <c r="F1550" s="9" t="n"/>
      <c r="G1550" s="9" t="n"/>
      <c r="H1550" s="10" t="n"/>
      <c r="I1550" s="62">
        <f>IF('Calendario J'!I20="","",'Calendario J'!I20)</f>
        <v/>
      </c>
      <c r="J1550" s="141" t="n"/>
      <c r="K1550" s="141" t="n"/>
      <c r="L1550" s="141" t="n"/>
      <c r="M1550" s="141" t="n"/>
      <c r="N1550" s="141" t="n"/>
      <c r="O1550" s="141" t="n"/>
      <c r="P1550" s="141" t="n"/>
      <c r="Q1550" s="141" t="n"/>
      <c r="R1550" s="141" t="n"/>
    </row>
    <row r="1551" ht="14" customHeight="1">
      <c r="A1551" s="130" t="inlineStr">
        <is>
          <t>Gara N.</t>
        </is>
      </c>
      <c r="B1551" s="130" t="inlineStr">
        <is>
          <t>Squadra A</t>
        </is>
      </c>
      <c r="C1551" s="10" t="n"/>
      <c r="D1551" s="130" t="inlineStr">
        <is>
          <t>Squadra B</t>
        </is>
      </c>
      <c r="E1551" s="10" t="n"/>
      <c r="F1551" s="130" t="inlineStr">
        <is>
          <t>Giorno</t>
        </is>
      </c>
      <c r="G1551" s="130" t="inlineStr">
        <is>
          <t>Data</t>
        </is>
      </c>
      <c r="H1551" s="130" t="inlineStr">
        <is>
          <t>Ora</t>
        </is>
      </c>
      <c r="I1551" s="10" t="n"/>
      <c r="J1551" s="130" t="inlineStr">
        <is>
          <t>Risultato</t>
        </is>
      </c>
      <c r="K1551" s="9" t="n"/>
      <c r="L1551" s="10" t="n"/>
      <c r="M1551" s="215" t="inlineStr">
        <is>
          <t>1o Arbitro</t>
        </is>
      </c>
      <c r="N1551" s="215" t="inlineStr">
        <is>
          <t>2o Arbitro</t>
        </is>
      </c>
      <c r="O1551" s="215" t="inlineStr">
        <is>
          <t>3o Arbitro/Tirocinante</t>
        </is>
      </c>
      <c r="P1551" s="215" t="inlineStr">
        <is>
          <t>Referto</t>
        </is>
      </c>
      <c r="Q1551" s="215" t="inlineStr">
        <is>
          <t>Cronometro</t>
        </is>
      </c>
      <c r="R1551" s="215" t="inlineStr">
        <is>
          <t>Foglio Tiri</t>
        </is>
      </c>
    </row>
    <row r="1552" ht="22" customHeight="1">
      <c r="A1552" s="132">
        <f>IF('Calendario J'!A22="","",'Calendario J'!A22)</f>
        <v/>
      </c>
      <c r="B1552" s="61">
        <f>IF('Calendario J'!B22="","",'Calendario J'!B22)</f>
        <v/>
      </c>
      <c r="C1552" s="62">
        <f>IF('Calendario J'!C22="","",'Calendario J'!C22)</f>
        <v/>
      </c>
      <c r="D1552" s="61">
        <f>IF('Calendario J'!D22="","",'Calendario J'!D22)</f>
        <v/>
      </c>
      <c r="E1552" s="62">
        <f>IF('Calendario J'!E22="","",'Calendario J'!E22)</f>
        <v/>
      </c>
      <c r="F1552" s="63">
        <f>IF('Calendario J'!F22="","",'Calendario J'!F22)</f>
        <v/>
      </c>
      <c r="G1552" s="9" t="n"/>
      <c r="H1552" s="9" t="n"/>
      <c r="I1552" s="10" t="n"/>
      <c r="J1552" s="195">
        <f>IF('Calendario J'!J22="","",'Calendario J'!J22)</f>
        <v/>
      </c>
      <c r="K1552" s="64" t="inlineStr">
        <is>
          <t>-</t>
        </is>
      </c>
      <c r="L1552" s="195">
        <f>IF('Calendario J'!L22="","",'Calendario J'!L22)</f>
        <v/>
      </c>
      <c r="M1552" s="196" t="n"/>
      <c r="N1552" s="196" t="n"/>
      <c r="O1552" s="196" t="n"/>
      <c r="P1552" s="196" t="n"/>
      <c r="Q1552" s="196" t="n"/>
      <c r="R1552" s="196" t="n"/>
    </row>
    <row r="1553" ht="15" customHeight="1">
      <c r="A1553" s="141" t="n"/>
      <c r="B1553" s="69">
        <f>IF('Calendario J'!B23="","",'Calendario J'!B23)</f>
        <v/>
      </c>
      <c r="C1553" s="9" t="n"/>
      <c r="D1553" s="9" t="n"/>
      <c r="E1553" s="9" t="n"/>
      <c r="F1553" s="9" t="n"/>
      <c r="G1553" s="9" t="n"/>
      <c r="H1553" s="10" t="n"/>
      <c r="I1553" s="62">
        <f>IF('Calendario J'!I23="","",'Calendario J'!I23)</f>
        <v/>
      </c>
      <c r="J1553" s="141" t="n"/>
      <c r="K1553" s="141" t="n"/>
      <c r="L1553" s="141" t="n"/>
      <c r="M1553" s="141" t="n"/>
      <c r="N1553" s="141" t="n"/>
      <c r="O1553" s="141" t="n"/>
      <c r="P1553" s="141" t="n"/>
      <c r="Q1553" s="141" t="n"/>
      <c r="R1553" s="141" t="n"/>
    </row>
    <row r="1555" ht="20" customHeight="1">
      <c r="A1555" s="127">
        <f>IF('Calendario J'!A25="","",'Calendario J'!A25)</f>
        <v/>
      </c>
      <c r="B1555" s="128">
        <f>IF('Calendario J'!B25="","",'Calendario J'!B25)</f>
        <v/>
      </c>
      <c r="C1555" s="9" t="n"/>
      <c r="D1555" s="9" t="n"/>
      <c r="E1555" s="9" t="n"/>
      <c r="F1555" s="9" t="n"/>
      <c r="G1555" s="9" t="n"/>
      <c r="H1555" s="9" t="n"/>
      <c r="I1555" s="9" t="n"/>
      <c r="J1555" s="9" t="n"/>
      <c r="K1555" s="9" t="n"/>
      <c r="L1555" s="10" t="n"/>
      <c r="M1555" s="214" t="inlineStr">
        <is>
          <t>ARBITRI</t>
        </is>
      </c>
      <c r="N1555" s="9" t="n"/>
      <c r="O1555" s="10" t="n"/>
      <c r="P1555" s="214" t="inlineStr">
        <is>
          <t>UFFICIALI DI CAMPO</t>
        </is>
      </c>
      <c r="Q1555" s="9" t="n"/>
      <c r="R1555" s="10" t="n"/>
    </row>
    <row r="1556" ht="14" customHeight="1">
      <c r="A1556" s="130" t="inlineStr">
        <is>
          <t>Gara N.</t>
        </is>
      </c>
      <c r="B1556" s="130" t="inlineStr">
        <is>
          <t>Squadra A</t>
        </is>
      </c>
      <c r="C1556" s="10" t="n"/>
      <c r="D1556" s="130" t="inlineStr">
        <is>
          <t>Squadra B</t>
        </is>
      </c>
      <c r="E1556" s="10" t="n"/>
      <c r="F1556" s="130" t="inlineStr">
        <is>
          <t>Giorno</t>
        </is>
      </c>
      <c r="G1556" s="130" t="inlineStr">
        <is>
          <t>Data</t>
        </is>
      </c>
      <c r="H1556" s="130" t="inlineStr">
        <is>
          <t>Ora</t>
        </is>
      </c>
      <c r="I1556" s="10" t="n"/>
      <c r="J1556" s="130" t="inlineStr">
        <is>
          <t>Risultato</t>
        </is>
      </c>
      <c r="K1556" s="9" t="n"/>
      <c r="L1556" s="10" t="n"/>
      <c r="M1556" s="215" t="inlineStr">
        <is>
          <t>1o Arbitro</t>
        </is>
      </c>
      <c r="N1556" s="215" t="inlineStr">
        <is>
          <t>2o Arbitro</t>
        </is>
      </c>
      <c r="O1556" s="215" t="inlineStr">
        <is>
          <t>3o Arbitro/Tirocinante</t>
        </is>
      </c>
      <c r="P1556" s="215" t="inlineStr">
        <is>
          <t>Referto</t>
        </is>
      </c>
      <c r="Q1556" s="215" t="inlineStr">
        <is>
          <t>Cronometro</t>
        </is>
      </c>
      <c r="R1556" s="215" t="inlineStr">
        <is>
          <t>Foglio Tiri</t>
        </is>
      </c>
    </row>
    <row r="1557" ht="22" customHeight="1">
      <c r="A1557" s="132">
        <f>IF('Calendario J'!A27="","",'Calendario J'!A27)</f>
        <v/>
      </c>
      <c r="B1557" s="61">
        <f>IF('Calendario J'!B27="","",'Calendario J'!B27)</f>
        <v/>
      </c>
      <c r="C1557" s="62">
        <f>IF('Calendario J'!C27="","",'Calendario J'!C27)</f>
        <v/>
      </c>
      <c r="D1557" s="61">
        <f>IF('Calendario J'!D27="","",'Calendario J'!D27)</f>
        <v/>
      </c>
      <c r="E1557" s="62">
        <f>IF('Calendario J'!E27="","",'Calendario J'!E27)</f>
        <v/>
      </c>
      <c r="F1557" s="63">
        <f>IF('Calendario J'!F27="","",'Calendario J'!F27)</f>
        <v/>
      </c>
      <c r="G1557" s="9" t="n"/>
      <c r="H1557" s="9" t="n"/>
      <c r="I1557" s="10" t="n"/>
      <c r="J1557" s="195">
        <f>IF('Calendario J'!J27="","",'Calendario J'!J27)</f>
        <v/>
      </c>
      <c r="K1557" s="64" t="inlineStr">
        <is>
          <t>-</t>
        </is>
      </c>
      <c r="L1557" s="195">
        <f>IF('Calendario J'!L27="","",'Calendario J'!L27)</f>
        <v/>
      </c>
      <c r="M1557" s="196" t="n"/>
      <c r="N1557" s="196" t="n"/>
      <c r="O1557" s="196" t="n"/>
      <c r="P1557" s="196" t="n"/>
      <c r="Q1557" s="196" t="n"/>
      <c r="R1557" s="196" t="n"/>
    </row>
    <row r="1558" ht="15" customHeight="1">
      <c r="A1558" s="141" t="n"/>
      <c r="B1558" s="69">
        <f>IF('Calendario J'!B28="","",'Calendario J'!B28)</f>
        <v/>
      </c>
      <c r="C1558" s="9" t="n"/>
      <c r="D1558" s="9" t="n"/>
      <c r="E1558" s="9" t="n"/>
      <c r="F1558" s="9" t="n"/>
      <c r="G1558" s="9" t="n"/>
      <c r="H1558" s="10" t="n"/>
      <c r="I1558" s="62">
        <f>IF('Calendario J'!I28="","",'Calendario J'!I28)</f>
        <v/>
      </c>
      <c r="J1558" s="141" t="n"/>
      <c r="K1558" s="141" t="n"/>
      <c r="L1558" s="141" t="n"/>
      <c r="M1558" s="141" t="n"/>
      <c r="N1558" s="141" t="n"/>
      <c r="O1558" s="141" t="n"/>
      <c r="P1558" s="141" t="n"/>
      <c r="Q1558" s="141" t="n"/>
      <c r="R1558" s="141" t="n"/>
    </row>
    <row r="1559" ht="14" customHeight="1">
      <c r="A1559" s="130" t="inlineStr">
        <is>
          <t>Gara N.</t>
        </is>
      </c>
      <c r="B1559" s="130" t="inlineStr">
        <is>
          <t>Squadra A</t>
        </is>
      </c>
      <c r="C1559" s="10" t="n"/>
      <c r="D1559" s="130" t="inlineStr">
        <is>
          <t>Squadra B</t>
        </is>
      </c>
      <c r="E1559" s="10" t="n"/>
      <c r="F1559" s="130" t="inlineStr">
        <is>
          <t>Giorno</t>
        </is>
      </c>
      <c r="G1559" s="130" t="inlineStr">
        <is>
          <t>Data</t>
        </is>
      </c>
      <c r="H1559" s="130" t="inlineStr">
        <is>
          <t>Ora</t>
        </is>
      </c>
      <c r="I1559" s="10" t="n"/>
      <c r="J1559" s="130" t="inlineStr">
        <is>
          <t>Risultato</t>
        </is>
      </c>
      <c r="K1559" s="9" t="n"/>
      <c r="L1559" s="10" t="n"/>
      <c r="M1559" s="215" t="inlineStr">
        <is>
          <t>1o Arbitro</t>
        </is>
      </c>
      <c r="N1559" s="215" t="inlineStr">
        <is>
          <t>2o Arbitro</t>
        </is>
      </c>
      <c r="O1559" s="215" t="inlineStr">
        <is>
          <t>3o Arbitro/Tirocinante</t>
        </is>
      </c>
      <c r="P1559" s="215" t="inlineStr">
        <is>
          <t>Referto</t>
        </is>
      </c>
      <c r="Q1559" s="215" t="inlineStr">
        <is>
          <t>Cronometro</t>
        </is>
      </c>
      <c r="R1559" s="215" t="inlineStr">
        <is>
          <t>Foglio Tiri</t>
        </is>
      </c>
    </row>
    <row r="1560" ht="22" customHeight="1">
      <c r="A1560" s="132">
        <f>IF('Calendario J'!A30="","",'Calendario J'!A30)</f>
        <v/>
      </c>
      <c r="B1560" s="61">
        <f>IF('Calendario J'!B30="","",'Calendario J'!B30)</f>
        <v/>
      </c>
      <c r="C1560" s="62">
        <f>IF('Calendario J'!C30="","",'Calendario J'!C30)</f>
        <v/>
      </c>
      <c r="D1560" s="61">
        <f>IF('Calendario J'!D30="","",'Calendario J'!D30)</f>
        <v/>
      </c>
      <c r="E1560" s="62">
        <f>IF('Calendario J'!E30="","",'Calendario J'!E30)</f>
        <v/>
      </c>
      <c r="F1560" s="63">
        <f>IF('Calendario J'!F30="","",'Calendario J'!F30)</f>
        <v/>
      </c>
      <c r="G1560" s="9" t="n"/>
      <c r="H1560" s="9" t="n"/>
      <c r="I1560" s="10" t="n"/>
      <c r="J1560" s="195">
        <f>IF('Calendario J'!J30="","",'Calendario J'!J30)</f>
        <v/>
      </c>
      <c r="K1560" s="64" t="inlineStr">
        <is>
          <t>-</t>
        </is>
      </c>
      <c r="L1560" s="195">
        <f>IF('Calendario J'!L30="","",'Calendario J'!L30)</f>
        <v/>
      </c>
      <c r="M1560" s="196" t="n"/>
      <c r="N1560" s="196" t="n"/>
      <c r="O1560" s="196" t="n"/>
      <c r="P1560" s="196" t="n"/>
      <c r="Q1560" s="196" t="n"/>
      <c r="R1560" s="196" t="n"/>
    </row>
    <row r="1561" ht="15" customHeight="1">
      <c r="A1561" s="141" t="n"/>
      <c r="B1561" s="69">
        <f>IF('Calendario J'!B31="","",'Calendario J'!B31)</f>
        <v/>
      </c>
      <c r="C1561" s="9" t="n"/>
      <c r="D1561" s="9" t="n"/>
      <c r="E1561" s="9" t="n"/>
      <c r="F1561" s="9" t="n"/>
      <c r="G1561" s="9" t="n"/>
      <c r="H1561" s="10" t="n"/>
      <c r="I1561" s="62">
        <f>IF('Calendario J'!I31="","",'Calendario J'!I31)</f>
        <v/>
      </c>
      <c r="J1561" s="141" t="n"/>
      <c r="K1561" s="141" t="n"/>
      <c r="L1561" s="141" t="n"/>
      <c r="M1561" s="141" t="n"/>
      <c r="N1561" s="141" t="n"/>
      <c r="O1561" s="141" t="n"/>
      <c r="P1561" s="141" t="n"/>
      <c r="Q1561" s="141" t="n"/>
      <c r="R1561" s="141" t="n"/>
    </row>
    <row r="1562" ht="14" customHeight="1">
      <c r="A1562" s="130" t="inlineStr">
        <is>
          <t>Gara N.</t>
        </is>
      </c>
      <c r="B1562" s="130" t="inlineStr">
        <is>
          <t>Squadra A</t>
        </is>
      </c>
      <c r="C1562" s="10" t="n"/>
      <c r="D1562" s="130" t="inlineStr">
        <is>
          <t>Squadra B</t>
        </is>
      </c>
      <c r="E1562" s="10" t="n"/>
      <c r="F1562" s="130" t="inlineStr">
        <is>
          <t>Giorno</t>
        </is>
      </c>
      <c r="G1562" s="130" t="inlineStr">
        <is>
          <t>Data</t>
        </is>
      </c>
      <c r="H1562" s="130" t="inlineStr">
        <is>
          <t>Ora</t>
        </is>
      </c>
      <c r="I1562" s="10" t="n"/>
      <c r="J1562" s="130" t="inlineStr">
        <is>
          <t>Risultato</t>
        </is>
      </c>
      <c r="K1562" s="9" t="n"/>
      <c r="L1562" s="10" t="n"/>
      <c r="M1562" s="215" t="inlineStr">
        <is>
          <t>1o Arbitro</t>
        </is>
      </c>
      <c r="N1562" s="215" t="inlineStr">
        <is>
          <t>2o Arbitro</t>
        </is>
      </c>
      <c r="O1562" s="215" t="inlineStr">
        <is>
          <t>3o Arbitro/Tirocinante</t>
        </is>
      </c>
      <c r="P1562" s="215" t="inlineStr">
        <is>
          <t>Referto</t>
        </is>
      </c>
      <c r="Q1562" s="215" t="inlineStr">
        <is>
          <t>Cronometro</t>
        </is>
      </c>
      <c r="R1562" s="215" t="inlineStr">
        <is>
          <t>Foglio Tiri</t>
        </is>
      </c>
    </row>
    <row r="1563" ht="22" customHeight="1">
      <c r="A1563" s="132">
        <f>IF('Calendario J'!A33="","",'Calendario J'!A33)</f>
        <v/>
      </c>
      <c r="B1563" s="61">
        <f>IF('Calendario J'!B33="","",'Calendario J'!B33)</f>
        <v/>
      </c>
      <c r="C1563" s="62">
        <f>IF('Calendario J'!C33="","",'Calendario J'!C33)</f>
        <v/>
      </c>
      <c r="D1563" s="61">
        <f>IF('Calendario J'!D33="","",'Calendario J'!D33)</f>
        <v/>
      </c>
      <c r="E1563" s="62">
        <f>IF('Calendario J'!E33="","",'Calendario J'!E33)</f>
        <v/>
      </c>
      <c r="F1563" s="63">
        <f>IF('Calendario J'!F33="","",'Calendario J'!F33)</f>
        <v/>
      </c>
      <c r="G1563" s="9" t="n"/>
      <c r="H1563" s="9" t="n"/>
      <c r="I1563" s="10" t="n"/>
      <c r="J1563" s="195">
        <f>IF('Calendario J'!J33="","",'Calendario J'!J33)</f>
        <v/>
      </c>
      <c r="K1563" s="64" t="inlineStr">
        <is>
          <t>-</t>
        </is>
      </c>
      <c r="L1563" s="195">
        <f>IF('Calendario J'!L33="","",'Calendario J'!L33)</f>
        <v/>
      </c>
      <c r="M1563" s="196" t="n"/>
      <c r="N1563" s="196" t="n"/>
      <c r="O1563" s="196" t="n"/>
      <c r="P1563" s="196" t="n"/>
      <c r="Q1563" s="196" t="n"/>
      <c r="R1563" s="196" t="n"/>
    </row>
    <row r="1564" ht="15" customHeight="1">
      <c r="A1564" s="141" t="n"/>
      <c r="B1564" s="69">
        <f>IF('Calendario J'!B34="","",'Calendario J'!B34)</f>
        <v/>
      </c>
      <c r="C1564" s="9" t="n"/>
      <c r="D1564" s="9" t="n"/>
      <c r="E1564" s="9" t="n"/>
      <c r="F1564" s="9" t="n"/>
      <c r="G1564" s="9" t="n"/>
      <c r="H1564" s="10" t="n"/>
      <c r="I1564" s="62">
        <f>IF('Calendario J'!I34="","",'Calendario J'!I34)</f>
        <v/>
      </c>
      <c r="J1564" s="141" t="n"/>
      <c r="K1564" s="141" t="n"/>
      <c r="L1564" s="141" t="n"/>
      <c r="M1564" s="141" t="n"/>
      <c r="N1564" s="141" t="n"/>
      <c r="O1564" s="141" t="n"/>
      <c r="P1564" s="141" t="n"/>
      <c r="Q1564" s="141" t="n"/>
      <c r="R1564" s="141" t="n"/>
    </row>
    <row r="1565" ht="14" customHeight="1">
      <c r="A1565" s="130" t="inlineStr">
        <is>
          <t>Gara N.</t>
        </is>
      </c>
      <c r="B1565" s="130" t="inlineStr">
        <is>
          <t>Squadra A</t>
        </is>
      </c>
      <c r="C1565" s="10" t="n"/>
      <c r="D1565" s="130" t="inlineStr">
        <is>
          <t>Squadra B</t>
        </is>
      </c>
      <c r="E1565" s="10" t="n"/>
      <c r="F1565" s="130" t="inlineStr">
        <is>
          <t>Giorno</t>
        </is>
      </c>
      <c r="G1565" s="130" t="inlineStr">
        <is>
          <t>Data</t>
        </is>
      </c>
      <c r="H1565" s="130" t="inlineStr">
        <is>
          <t>Ora</t>
        </is>
      </c>
      <c r="I1565" s="10" t="n"/>
      <c r="J1565" s="130" t="inlineStr">
        <is>
          <t>Risultato</t>
        </is>
      </c>
      <c r="K1565" s="9" t="n"/>
      <c r="L1565" s="10" t="n"/>
      <c r="M1565" s="215" t="inlineStr">
        <is>
          <t>1o Arbitro</t>
        </is>
      </c>
      <c r="N1565" s="215" t="inlineStr">
        <is>
          <t>2o Arbitro</t>
        </is>
      </c>
      <c r="O1565" s="215" t="inlineStr">
        <is>
          <t>3o Arbitro/Tirocinante</t>
        </is>
      </c>
      <c r="P1565" s="215" t="inlineStr">
        <is>
          <t>Referto</t>
        </is>
      </c>
      <c r="Q1565" s="215" t="inlineStr">
        <is>
          <t>Cronometro</t>
        </is>
      </c>
      <c r="R1565" s="215" t="inlineStr">
        <is>
          <t>Foglio Tiri</t>
        </is>
      </c>
    </row>
    <row r="1566" ht="22" customHeight="1">
      <c r="A1566" s="132">
        <f>IF('Calendario J'!A36="","",'Calendario J'!A36)</f>
        <v/>
      </c>
      <c r="B1566" s="61">
        <f>IF('Calendario J'!B36="","",'Calendario J'!B36)</f>
        <v/>
      </c>
      <c r="C1566" s="62">
        <f>IF('Calendario J'!C36="","",'Calendario J'!C36)</f>
        <v/>
      </c>
      <c r="D1566" s="61">
        <f>IF('Calendario J'!D36="","",'Calendario J'!D36)</f>
        <v/>
      </c>
      <c r="E1566" s="62">
        <f>IF('Calendario J'!E36="","",'Calendario J'!E36)</f>
        <v/>
      </c>
      <c r="F1566" s="63">
        <f>IF('Calendario J'!F36="","",'Calendario J'!F36)</f>
        <v/>
      </c>
      <c r="G1566" s="9" t="n"/>
      <c r="H1566" s="9" t="n"/>
      <c r="I1566" s="10" t="n"/>
      <c r="J1566" s="195">
        <f>IF('Calendario J'!J36="","",'Calendario J'!J36)</f>
        <v/>
      </c>
      <c r="K1566" s="64" t="inlineStr">
        <is>
          <t>-</t>
        </is>
      </c>
      <c r="L1566" s="195">
        <f>IF('Calendario J'!L36="","",'Calendario J'!L36)</f>
        <v/>
      </c>
      <c r="M1566" s="196" t="n"/>
      <c r="N1566" s="196" t="n"/>
      <c r="O1566" s="196" t="n"/>
      <c r="P1566" s="196" t="n"/>
      <c r="Q1566" s="196" t="n"/>
      <c r="R1566" s="196" t="n"/>
    </row>
    <row r="1567" ht="15" customHeight="1">
      <c r="A1567" s="141" t="n"/>
      <c r="B1567" s="69">
        <f>IF('Calendario J'!B37="","",'Calendario J'!B37)</f>
        <v/>
      </c>
      <c r="C1567" s="9" t="n"/>
      <c r="D1567" s="9" t="n"/>
      <c r="E1567" s="9" t="n"/>
      <c r="F1567" s="9" t="n"/>
      <c r="G1567" s="9" t="n"/>
      <c r="H1567" s="10" t="n"/>
      <c r="I1567" s="62">
        <f>IF('Calendario J'!I37="","",'Calendario J'!I37)</f>
        <v/>
      </c>
      <c r="J1567" s="141" t="n"/>
      <c r="K1567" s="141" t="n"/>
      <c r="L1567" s="141" t="n"/>
      <c r="M1567" s="141" t="n"/>
      <c r="N1567" s="141" t="n"/>
      <c r="O1567" s="141" t="n"/>
      <c r="P1567" s="141" t="n"/>
      <c r="Q1567" s="141" t="n"/>
      <c r="R1567" s="141" t="n"/>
    </row>
    <row r="1568" ht="14" customHeight="1">
      <c r="A1568" s="130" t="inlineStr">
        <is>
          <t>Gara N.</t>
        </is>
      </c>
      <c r="B1568" s="130" t="inlineStr">
        <is>
          <t>Squadra A</t>
        </is>
      </c>
      <c r="C1568" s="10" t="n"/>
      <c r="D1568" s="130" t="inlineStr">
        <is>
          <t>Squadra B</t>
        </is>
      </c>
      <c r="E1568" s="10" t="n"/>
      <c r="F1568" s="130" t="inlineStr">
        <is>
          <t>Giorno</t>
        </is>
      </c>
      <c r="G1568" s="130" t="inlineStr">
        <is>
          <t>Data</t>
        </is>
      </c>
      <c r="H1568" s="130" t="inlineStr">
        <is>
          <t>Ora</t>
        </is>
      </c>
      <c r="I1568" s="10" t="n"/>
      <c r="J1568" s="130" t="inlineStr">
        <is>
          <t>Risultato</t>
        </is>
      </c>
      <c r="K1568" s="9" t="n"/>
      <c r="L1568" s="10" t="n"/>
      <c r="M1568" s="215" t="inlineStr">
        <is>
          <t>1o Arbitro</t>
        </is>
      </c>
      <c r="N1568" s="215" t="inlineStr">
        <is>
          <t>2o Arbitro</t>
        </is>
      </c>
      <c r="O1568" s="215" t="inlineStr">
        <is>
          <t>3o Arbitro/Tirocinante</t>
        </is>
      </c>
      <c r="P1568" s="215" t="inlineStr">
        <is>
          <t>Referto</t>
        </is>
      </c>
      <c r="Q1568" s="215" t="inlineStr">
        <is>
          <t>Cronometro</t>
        </is>
      </c>
      <c r="R1568" s="215" t="inlineStr">
        <is>
          <t>Foglio Tiri</t>
        </is>
      </c>
    </row>
    <row r="1569" ht="22" customHeight="1">
      <c r="A1569" s="132">
        <f>IF('Calendario J'!A39="","",'Calendario J'!A39)</f>
        <v/>
      </c>
      <c r="B1569" s="61">
        <f>IF('Calendario J'!B39="","",'Calendario J'!B39)</f>
        <v/>
      </c>
      <c r="C1569" s="62">
        <f>IF('Calendario J'!C39="","",'Calendario J'!C39)</f>
        <v/>
      </c>
      <c r="D1569" s="61">
        <f>IF('Calendario J'!D39="","",'Calendario J'!D39)</f>
        <v/>
      </c>
      <c r="E1569" s="62">
        <f>IF('Calendario J'!E39="","",'Calendario J'!E39)</f>
        <v/>
      </c>
      <c r="F1569" s="63">
        <f>IF('Calendario J'!F39="","",'Calendario J'!F39)</f>
        <v/>
      </c>
      <c r="G1569" s="9" t="n"/>
      <c r="H1569" s="9" t="n"/>
      <c r="I1569" s="10" t="n"/>
      <c r="J1569" s="195">
        <f>IF('Calendario J'!J39="","",'Calendario J'!J39)</f>
        <v/>
      </c>
      <c r="K1569" s="64" t="inlineStr">
        <is>
          <t>-</t>
        </is>
      </c>
      <c r="L1569" s="195">
        <f>IF('Calendario J'!L39="","",'Calendario J'!L39)</f>
        <v/>
      </c>
      <c r="M1569" s="196" t="n"/>
      <c r="N1569" s="196" t="n"/>
      <c r="O1569" s="196" t="n"/>
      <c r="P1569" s="196" t="n"/>
      <c r="Q1569" s="196" t="n"/>
      <c r="R1569" s="196" t="n"/>
    </row>
    <row r="1570" ht="15" customHeight="1">
      <c r="A1570" s="141" t="n"/>
      <c r="B1570" s="69">
        <f>IF('Calendario J'!B40="","",'Calendario J'!B40)</f>
        <v/>
      </c>
      <c r="C1570" s="9" t="n"/>
      <c r="D1570" s="9" t="n"/>
      <c r="E1570" s="9" t="n"/>
      <c r="F1570" s="9" t="n"/>
      <c r="G1570" s="9" t="n"/>
      <c r="H1570" s="10" t="n"/>
      <c r="I1570" s="62">
        <f>IF('Calendario J'!I40="","",'Calendario J'!I40)</f>
        <v/>
      </c>
      <c r="J1570" s="141" t="n"/>
      <c r="K1570" s="141" t="n"/>
      <c r="L1570" s="141" t="n"/>
      <c r="M1570" s="141" t="n"/>
      <c r="N1570" s="141" t="n"/>
      <c r="O1570" s="141" t="n"/>
      <c r="P1570" s="141" t="n"/>
      <c r="Q1570" s="141" t="n"/>
      <c r="R1570" s="141" t="n"/>
    </row>
    <row r="1572" ht="20" customHeight="1">
      <c r="A1572" s="127">
        <f>IF('Calendario J'!A42="","",'Calendario J'!A42)</f>
        <v/>
      </c>
      <c r="B1572" s="128">
        <f>IF('Calendario J'!B42="","",'Calendario J'!B42)</f>
        <v/>
      </c>
      <c r="C1572" s="9" t="n"/>
      <c r="D1572" s="9" t="n"/>
      <c r="E1572" s="9" t="n"/>
      <c r="F1572" s="9" t="n"/>
      <c r="G1572" s="9" t="n"/>
      <c r="H1572" s="9" t="n"/>
      <c r="I1572" s="9" t="n"/>
      <c r="J1572" s="9" t="n"/>
      <c r="K1572" s="9" t="n"/>
      <c r="L1572" s="10" t="n"/>
      <c r="M1572" s="214" t="inlineStr">
        <is>
          <t>ARBITRI</t>
        </is>
      </c>
      <c r="N1572" s="9" t="n"/>
      <c r="O1572" s="10" t="n"/>
      <c r="P1572" s="214" t="inlineStr">
        <is>
          <t>UFFICIALI DI CAMPO</t>
        </is>
      </c>
      <c r="Q1572" s="9" t="n"/>
      <c r="R1572" s="10" t="n"/>
    </row>
    <row r="1573" ht="14" customHeight="1">
      <c r="A1573" s="130" t="inlineStr">
        <is>
          <t>Gara N.</t>
        </is>
      </c>
      <c r="B1573" s="130" t="inlineStr">
        <is>
          <t>Squadra A</t>
        </is>
      </c>
      <c r="C1573" s="10" t="n"/>
      <c r="D1573" s="130" t="inlineStr">
        <is>
          <t>Squadra B</t>
        </is>
      </c>
      <c r="E1573" s="10" t="n"/>
      <c r="F1573" s="130" t="inlineStr">
        <is>
          <t>Giorno</t>
        </is>
      </c>
      <c r="G1573" s="130" t="inlineStr">
        <is>
          <t>Data</t>
        </is>
      </c>
      <c r="H1573" s="130" t="inlineStr">
        <is>
          <t>Ora</t>
        </is>
      </c>
      <c r="I1573" s="10" t="n"/>
      <c r="J1573" s="130" t="inlineStr">
        <is>
          <t>Risultato</t>
        </is>
      </c>
      <c r="K1573" s="9" t="n"/>
      <c r="L1573" s="10" t="n"/>
      <c r="M1573" s="215" t="inlineStr">
        <is>
          <t>1o Arbitro</t>
        </is>
      </c>
      <c r="N1573" s="215" t="inlineStr">
        <is>
          <t>2o Arbitro</t>
        </is>
      </c>
      <c r="O1573" s="215" t="inlineStr">
        <is>
          <t>3o Arbitro/Tirocinante</t>
        </is>
      </c>
      <c r="P1573" s="215" t="inlineStr">
        <is>
          <t>Referto</t>
        </is>
      </c>
      <c r="Q1573" s="215" t="inlineStr">
        <is>
          <t>Cronometro</t>
        </is>
      </c>
      <c r="R1573" s="215" t="inlineStr">
        <is>
          <t>Foglio Tiri</t>
        </is>
      </c>
    </row>
    <row r="1574" ht="22" customHeight="1">
      <c r="A1574" s="132">
        <f>IF('Calendario J'!A44="","",'Calendario J'!A44)</f>
        <v/>
      </c>
      <c r="B1574" s="61">
        <f>IF('Calendario J'!B44="","",'Calendario J'!B44)</f>
        <v/>
      </c>
      <c r="C1574" s="62">
        <f>IF('Calendario J'!C44="","",'Calendario J'!C44)</f>
        <v/>
      </c>
      <c r="D1574" s="61">
        <f>IF('Calendario J'!D44="","",'Calendario J'!D44)</f>
        <v/>
      </c>
      <c r="E1574" s="62">
        <f>IF('Calendario J'!E44="","",'Calendario J'!E44)</f>
        <v/>
      </c>
      <c r="F1574" s="63">
        <f>IF('Calendario J'!F44="","",'Calendario J'!F44)</f>
        <v/>
      </c>
      <c r="G1574" s="9" t="n"/>
      <c r="H1574" s="9" t="n"/>
      <c r="I1574" s="10" t="n"/>
      <c r="J1574" s="195">
        <f>IF('Calendario J'!J44="","",'Calendario J'!J44)</f>
        <v/>
      </c>
      <c r="K1574" s="64" t="inlineStr">
        <is>
          <t>-</t>
        </is>
      </c>
      <c r="L1574" s="195">
        <f>IF('Calendario J'!L44="","",'Calendario J'!L44)</f>
        <v/>
      </c>
      <c r="M1574" s="196" t="n"/>
      <c r="N1574" s="196" t="n"/>
      <c r="O1574" s="196" t="n"/>
      <c r="P1574" s="196" t="n"/>
      <c r="Q1574" s="196" t="n"/>
      <c r="R1574" s="196" t="n"/>
    </row>
    <row r="1575" ht="15" customHeight="1">
      <c r="A1575" s="141" t="n"/>
      <c r="B1575" s="69">
        <f>IF('Calendario J'!B45="","",'Calendario J'!B45)</f>
        <v/>
      </c>
      <c r="C1575" s="9" t="n"/>
      <c r="D1575" s="9" t="n"/>
      <c r="E1575" s="9" t="n"/>
      <c r="F1575" s="9" t="n"/>
      <c r="G1575" s="9" t="n"/>
      <c r="H1575" s="10" t="n"/>
      <c r="I1575" s="62">
        <f>IF('Calendario J'!I45="","",'Calendario J'!I45)</f>
        <v/>
      </c>
      <c r="J1575" s="141" t="n"/>
      <c r="K1575" s="141" t="n"/>
      <c r="L1575" s="141" t="n"/>
      <c r="M1575" s="141" t="n"/>
      <c r="N1575" s="141" t="n"/>
      <c r="O1575" s="141" t="n"/>
      <c r="P1575" s="141" t="n"/>
      <c r="Q1575" s="141" t="n"/>
      <c r="R1575" s="141" t="n"/>
    </row>
    <row r="1576" ht="14" customHeight="1">
      <c r="A1576" s="130" t="inlineStr">
        <is>
          <t>Gara N.</t>
        </is>
      </c>
      <c r="B1576" s="130" t="inlineStr">
        <is>
          <t>Squadra A</t>
        </is>
      </c>
      <c r="C1576" s="10" t="n"/>
      <c r="D1576" s="130" t="inlineStr">
        <is>
          <t>Squadra B</t>
        </is>
      </c>
      <c r="E1576" s="10" t="n"/>
      <c r="F1576" s="130" t="inlineStr">
        <is>
          <t>Giorno</t>
        </is>
      </c>
      <c r="G1576" s="130" t="inlineStr">
        <is>
          <t>Data</t>
        </is>
      </c>
      <c r="H1576" s="130" t="inlineStr">
        <is>
          <t>Ora</t>
        </is>
      </c>
      <c r="I1576" s="10" t="n"/>
      <c r="J1576" s="130" t="inlineStr">
        <is>
          <t>Risultato</t>
        </is>
      </c>
      <c r="K1576" s="9" t="n"/>
      <c r="L1576" s="10" t="n"/>
      <c r="M1576" s="215" t="inlineStr">
        <is>
          <t>1o Arbitro</t>
        </is>
      </c>
      <c r="N1576" s="215" t="inlineStr">
        <is>
          <t>2o Arbitro</t>
        </is>
      </c>
      <c r="O1576" s="215" t="inlineStr">
        <is>
          <t>3o Arbitro/Tirocinante</t>
        </is>
      </c>
      <c r="P1576" s="215" t="inlineStr">
        <is>
          <t>Referto</t>
        </is>
      </c>
      <c r="Q1576" s="215" t="inlineStr">
        <is>
          <t>Cronometro</t>
        </is>
      </c>
      <c r="R1576" s="215" t="inlineStr">
        <is>
          <t>Foglio Tiri</t>
        </is>
      </c>
    </row>
    <row r="1577" ht="22" customHeight="1">
      <c r="A1577" s="132">
        <f>IF('Calendario J'!A47="","",'Calendario J'!A47)</f>
        <v/>
      </c>
      <c r="B1577" s="61">
        <f>IF('Calendario J'!B47="","",'Calendario J'!B47)</f>
        <v/>
      </c>
      <c r="C1577" s="62">
        <f>IF('Calendario J'!C47="","",'Calendario J'!C47)</f>
        <v/>
      </c>
      <c r="D1577" s="61">
        <f>IF('Calendario J'!D47="","",'Calendario J'!D47)</f>
        <v/>
      </c>
      <c r="E1577" s="62">
        <f>IF('Calendario J'!E47="","",'Calendario J'!E47)</f>
        <v/>
      </c>
      <c r="F1577" s="63">
        <f>IF('Calendario J'!F47="","",'Calendario J'!F47)</f>
        <v/>
      </c>
      <c r="G1577" s="9" t="n"/>
      <c r="H1577" s="9" t="n"/>
      <c r="I1577" s="10" t="n"/>
      <c r="J1577" s="195">
        <f>IF('Calendario J'!J47="","",'Calendario J'!J47)</f>
        <v/>
      </c>
      <c r="K1577" s="64" t="inlineStr">
        <is>
          <t>-</t>
        </is>
      </c>
      <c r="L1577" s="195">
        <f>IF('Calendario J'!L47="","",'Calendario J'!L47)</f>
        <v/>
      </c>
      <c r="M1577" s="196" t="n"/>
      <c r="N1577" s="196" t="n"/>
      <c r="O1577" s="196" t="n"/>
      <c r="P1577" s="196" t="n"/>
      <c r="Q1577" s="196" t="n"/>
      <c r="R1577" s="196" t="n"/>
    </row>
    <row r="1578" ht="15" customHeight="1">
      <c r="A1578" s="141" t="n"/>
      <c r="B1578" s="69">
        <f>IF('Calendario J'!B48="","",'Calendario J'!B48)</f>
        <v/>
      </c>
      <c r="C1578" s="9" t="n"/>
      <c r="D1578" s="9" t="n"/>
      <c r="E1578" s="9" t="n"/>
      <c r="F1578" s="9" t="n"/>
      <c r="G1578" s="9" t="n"/>
      <c r="H1578" s="10" t="n"/>
      <c r="I1578" s="62">
        <f>IF('Calendario J'!I48="","",'Calendario J'!I48)</f>
        <v/>
      </c>
      <c r="J1578" s="141" t="n"/>
      <c r="K1578" s="141" t="n"/>
      <c r="L1578" s="141" t="n"/>
      <c r="M1578" s="141" t="n"/>
      <c r="N1578" s="141" t="n"/>
      <c r="O1578" s="141" t="n"/>
      <c r="P1578" s="141" t="n"/>
      <c r="Q1578" s="141" t="n"/>
      <c r="R1578" s="141" t="n"/>
    </row>
    <row r="1579" ht="14" customHeight="1">
      <c r="A1579" s="130" t="inlineStr">
        <is>
          <t>Gara N.</t>
        </is>
      </c>
      <c r="B1579" s="130" t="inlineStr">
        <is>
          <t>Squadra A</t>
        </is>
      </c>
      <c r="C1579" s="10" t="n"/>
      <c r="D1579" s="130" t="inlineStr">
        <is>
          <t>Squadra B</t>
        </is>
      </c>
      <c r="E1579" s="10" t="n"/>
      <c r="F1579" s="130" t="inlineStr">
        <is>
          <t>Giorno</t>
        </is>
      </c>
      <c r="G1579" s="130" t="inlineStr">
        <is>
          <t>Data</t>
        </is>
      </c>
      <c r="H1579" s="130" t="inlineStr">
        <is>
          <t>Ora</t>
        </is>
      </c>
      <c r="I1579" s="10" t="n"/>
      <c r="J1579" s="130" t="inlineStr">
        <is>
          <t>Risultato</t>
        </is>
      </c>
      <c r="K1579" s="9" t="n"/>
      <c r="L1579" s="10" t="n"/>
      <c r="M1579" s="215" t="inlineStr">
        <is>
          <t>1o Arbitro</t>
        </is>
      </c>
      <c r="N1579" s="215" t="inlineStr">
        <is>
          <t>2o Arbitro</t>
        </is>
      </c>
      <c r="O1579" s="215" t="inlineStr">
        <is>
          <t>3o Arbitro/Tirocinante</t>
        </is>
      </c>
      <c r="P1579" s="215" t="inlineStr">
        <is>
          <t>Referto</t>
        </is>
      </c>
      <c r="Q1579" s="215" t="inlineStr">
        <is>
          <t>Cronometro</t>
        </is>
      </c>
      <c r="R1579" s="215" t="inlineStr">
        <is>
          <t>Foglio Tiri</t>
        </is>
      </c>
    </row>
    <row r="1580" ht="22" customHeight="1">
      <c r="A1580" s="132">
        <f>IF('Calendario J'!A50="","",'Calendario J'!A50)</f>
        <v/>
      </c>
      <c r="B1580" s="61">
        <f>IF('Calendario J'!B50="","",'Calendario J'!B50)</f>
        <v/>
      </c>
      <c r="C1580" s="62">
        <f>IF('Calendario J'!C50="","",'Calendario J'!C50)</f>
        <v/>
      </c>
      <c r="D1580" s="61">
        <f>IF('Calendario J'!D50="","",'Calendario J'!D50)</f>
        <v/>
      </c>
      <c r="E1580" s="62">
        <f>IF('Calendario J'!E50="","",'Calendario J'!E50)</f>
        <v/>
      </c>
      <c r="F1580" s="63">
        <f>IF('Calendario J'!F50="","",'Calendario J'!F50)</f>
        <v/>
      </c>
      <c r="G1580" s="9" t="n"/>
      <c r="H1580" s="9" t="n"/>
      <c r="I1580" s="10" t="n"/>
      <c r="J1580" s="195">
        <f>IF('Calendario J'!J50="","",'Calendario J'!J50)</f>
        <v/>
      </c>
      <c r="K1580" s="64" t="inlineStr">
        <is>
          <t>-</t>
        </is>
      </c>
      <c r="L1580" s="195">
        <f>IF('Calendario J'!L50="","",'Calendario J'!L50)</f>
        <v/>
      </c>
      <c r="M1580" s="196" t="n"/>
      <c r="N1580" s="196" t="n"/>
      <c r="O1580" s="196" t="n"/>
      <c r="P1580" s="196" t="n"/>
      <c r="Q1580" s="196" t="n"/>
      <c r="R1580" s="196" t="n"/>
    </row>
    <row r="1581" ht="15" customHeight="1">
      <c r="A1581" s="141" t="n"/>
      <c r="B1581" s="69">
        <f>IF('Calendario J'!B51="","",'Calendario J'!B51)</f>
        <v/>
      </c>
      <c r="C1581" s="9" t="n"/>
      <c r="D1581" s="9" t="n"/>
      <c r="E1581" s="9" t="n"/>
      <c r="F1581" s="9" t="n"/>
      <c r="G1581" s="9" t="n"/>
      <c r="H1581" s="10" t="n"/>
      <c r="I1581" s="62">
        <f>IF('Calendario J'!I51="","",'Calendario J'!I51)</f>
        <v/>
      </c>
      <c r="J1581" s="141" t="n"/>
      <c r="K1581" s="141" t="n"/>
      <c r="L1581" s="141" t="n"/>
      <c r="M1581" s="141" t="n"/>
      <c r="N1581" s="141" t="n"/>
      <c r="O1581" s="141" t="n"/>
      <c r="P1581" s="141" t="n"/>
      <c r="Q1581" s="141" t="n"/>
      <c r="R1581" s="141" t="n"/>
    </row>
    <row r="1582" ht="14" customHeight="1">
      <c r="A1582" s="130" t="inlineStr">
        <is>
          <t>Gara N.</t>
        </is>
      </c>
      <c r="B1582" s="130" t="inlineStr">
        <is>
          <t>Squadra A</t>
        </is>
      </c>
      <c r="C1582" s="10" t="n"/>
      <c r="D1582" s="130" t="inlineStr">
        <is>
          <t>Squadra B</t>
        </is>
      </c>
      <c r="E1582" s="10" t="n"/>
      <c r="F1582" s="130" t="inlineStr">
        <is>
          <t>Giorno</t>
        </is>
      </c>
      <c r="G1582" s="130" t="inlineStr">
        <is>
          <t>Data</t>
        </is>
      </c>
      <c r="H1582" s="130" t="inlineStr">
        <is>
          <t>Ora</t>
        </is>
      </c>
      <c r="I1582" s="10" t="n"/>
      <c r="J1582" s="130" t="inlineStr">
        <is>
          <t>Risultato</t>
        </is>
      </c>
      <c r="K1582" s="9" t="n"/>
      <c r="L1582" s="10" t="n"/>
      <c r="M1582" s="215" t="inlineStr">
        <is>
          <t>1o Arbitro</t>
        </is>
      </c>
      <c r="N1582" s="215" t="inlineStr">
        <is>
          <t>2o Arbitro</t>
        </is>
      </c>
      <c r="O1582" s="215" t="inlineStr">
        <is>
          <t>3o Arbitro/Tirocinante</t>
        </is>
      </c>
      <c r="P1582" s="215" t="inlineStr">
        <is>
          <t>Referto</t>
        </is>
      </c>
      <c r="Q1582" s="215" t="inlineStr">
        <is>
          <t>Cronometro</t>
        </is>
      </c>
      <c r="R1582" s="215" t="inlineStr">
        <is>
          <t>Foglio Tiri</t>
        </is>
      </c>
    </row>
    <row r="1583" ht="22" customHeight="1">
      <c r="A1583" s="132">
        <f>IF('Calendario J'!A53="","",'Calendario J'!A53)</f>
        <v/>
      </c>
      <c r="B1583" s="61">
        <f>IF('Calendario J'!B53="","",'Calendario J'!B53)</f>
        <v/>
      </c>
      <c r="C1583" s="62">
        <f>IF('Calendario J'!C53="","",'Calendario J'!C53)</f>
        <v/>
      </c>
      <c r="D1583" s="61">
        <f>IF('Calendario J'!D53="","",'Calendario J'!D53)</f>
        <v/>
      </c>
      <c r="E1583" s="62">
        <f>IF('Calendario J'!E53="","",'Calendario J'!E53)</f>
        <v/>
      </c>
      <c r="F1583" s="63">
        <f>IF('Calendario J'!F53="","",'Calendario J'!F53)</f>
        <v/>
      </c>
      <c r="G1583" s="9" t="n"/>
      <c r="H1583" s="9" t="n"/>
      <c r="I1583" s="10" t="n"/>
      <c r="J1583" s="195">
        <f>IF('Calendario J'!J53="","",'Calendario J'!J53)</f>
        <v/>
      </c>
      <c r="K1583" s="64" t="inlineStr">
        <is>
          <t>-</t>
        </is>
      </c>
      <c r="L1583" s="195">
        <f>IF('Calendario J'!L53="","",'Calendario J'!L53)</f>
        <v/>
      </c>
      <c r="M1583" s="196" t="n"/>
      <c r="N1583" s="196" t="n"/>
      <c r="O1583" s="196" t="n"/>
      <c r="P1583" s="196" t="n"/>
      <c r="Q1583" s="196" t="n"/>
      <c r="R1583" s="196" t="n"/>
    </row>
    <row r="1584" ht="15" customHeight="1">
      <c r="A1584" s="141" t="n"/>
      <c r="B1584" s="69">
        <f>IF('Calendario J'!B54="","",'Calendario J'!B54)</f>
        <v/>
      </c>
      <c r="C1584" s="9" t="n"/>
      <c r="D1584" s="9" t="n"/>
      <c r="E1584" s="9" t="n"/>
      <c r="F1584" s="9" t="n"/>
      <c r="G1584" s="9" t="n"/>
      <c r="H1584" s="10" t="n"/>
      <c r="I1584" s="62">
        <f>IF('Calendario J'!I54="","",'Calendario J'!I54)</f>
        <v/>
      </c>
      <c r="J1584" s="141" t="n"/>
      <c r="K1584" s="141" t="n"/>
      <c r="L1584" s="141" t="n"/>
      <c r="M1584" s="141" t="n"/>
      <c r="N1584" s="141" t="n"/>
      <c r="O1584" s="141" t="n"/>
      <c r="P1584" s="141" t="n"/>
      <c r="Q1584" s="141" t="n"/>
      <c r="R1584" s="141" t="n"/>
    </row>
    <row r="1585" ht="14" customHeight="1">
      <c r="A1585" s="130" t="inlineStr">
        <is>
          <t>Gara N.</t>
        </is>
      </c>
      <c r="B1585" s="130" t="inlineStr">
        <is>
          <t>Squadra A</t>
        </is>
      </c>
      <c r="C1585" s="10" t="n"/>
      <c r="D1585" s="130" t="inlineStr">
        <is>
          <t>Squadra B</t>
        </is>
      </c>
      <c r="E1585" s="10" t="n"/>
      <c r="F1585" s="130" t="inlineStr">
        <is>
          <t>Giorno</t>
        </is>
      </c>
      <c r="G1585" s="130" t="inlineStr">
        <is>
          <t>Data</t>
        </is>
      </c>
      <c r="H1585" s="130" t="inlineStr">
        <is>
          <t>Ora</t>
        </is>
      </c>
      <c r="I1585" s="10" t="n"/>
      <c r="J1585" s="130" t="inlineStr">
        <is>
          <t>Risultato</t>
        </is>
      </c>
      <c r="K1585" s="9" t="n"/>
      <c r="L1585" s="10" t="n"/>
      <c r="M1585" s="215" t="inlineStr">
        <is>
          <t>1o Arbitro</t>
        </is>
      </c>
      <c r="N1585" s="215" t="inlineStr">
        <is>
          <t>2o Arbitro</t>
        </is>
      </c>
      <c r="O1585" s="215" t="inlineStr">
        <is>
          <t>3o Arbitro/Tirocinante</t>
        </is>
      </c>
      <c r="P1585" s="215" t="inlineStr">
        <is>
          <t>Referto</t>
        </is>
      </c>
      <c r="Q1585" s="215" t="inlineStr">
        <is>
          <t>Cronometro</t>
        </is>
      </c>
      <c r="R1585" s="215" t="inlineStr">
        <is>
          <t>Foglio Tiri</t>
        </is>
      </c>
    </row>
    <row r="1586" ht="22" customHeight="1">
      <c r="A1586" s="132">
        <f>IF('Calendario J'!A56="","",'Calendario J'!A56)</f>
        <v/>
      </c>
      <c r="B1586" s="61">
        <f>IF('Calendario J'!B56="","",'Calendario J'!B56)</f>
        <v/>
      </c>
      <c r="C1586" s="62">
        <f>IF('Calendario J'!C56="","",'Calendario J'!C56)</f>
        <v/>
      </c>
      <c r="D1586" s="61">
        <f>IF('Calendario J'!D56="","",'Calendario J'!D56)</f>
        <v/>
      </c>
      <c r="E1586" s="62">
        <f>IF('Calendario J'!E56="","",'Calendario J'!E56)</f>
        <v/>
      </c>
      <c r="F1586" s="63">
        <f>IF('Calendario J'!F56="","",'Calendario J'!F56)</f>
        <v/>
      </c>
      <c r="G1586" s="9" t="n"/>
      <c r="H1586" s="9" t="n"/>
      <c r="I1586" s="10" t="n"/>
      <c r="J1586" s="195">
        <f>IF('Calendario J'!J56="","",'Calendario J'!J56)</f>
        <v/>
      </c>
      <c r="K1586" s="64" t="inlineStr">
        <is>
          <t>-</t>
        </is>
      </c>
      <c r="L1586" s="195">
        <f>IF('Calendario J'!L56="","",'Calendario J'!L56)</f>
        <v/>
      </c>
      <c r="M1586" s="196" t="n"/>
      <c r="N1586" s="196" t="n"/>
      <c r="O1586" s="196" t="n"/>
      <c r="P1586" s="196" t="n"/>
      <c r="Q1586" s="196" t="n"/>
      <c r="R1586" s="196" t="n"/>
    </row>
    <row r="1587" ht="15" customHeight="1">
      <c r="A1587" s="141" t="n"/>
      <c r="B1587" s="69">
        <f>IF('Calendario J'!B57="","",'Calendario J'!B57)</f>
        <v/>
      </c>
      <c r="C1587" s="9" t="n"/>
      <c r="D1587" s="9" t="n"/>
      <c r="E1587" s="9" t="n"/>
      <c r="F1587" s="9" t="n"/>
      <c r="G1587" s="9" t="n"/>
      <c r="H1587" s="10" t="n"/>
      <c r="I1587" s="62">
        <f>IF('Calendario J'!I57="","",'Calendario J'!I57)</f>
        <v/>
      </c>
      <c r="J1587" s="141" t="n"/>
      <c r="K1587" s="141" t="n"/>
      <c r="L1587" s="141" t="n"/>
      <c r="M1587" s="141" t="n"/>
      <c r="N1587" s="141" t="n"/>
      <c r="O1587" s="141" t="n"/>
      <c r="P1587" s="141" t="n"/>
      <c r="Q1587" s="141" t="n"/>
      <c r="R1587" s="141" t="n"/>
    </row>
    <row r="1589" ht="20" customHeight="1">
      <c r="A1589" s="127">
        <f>IF('Calendario J'!A59="","",'Calendario J'!A59)</f>
        <v/>
      </c>
      <c r="B1589" s="128">
        <f>IF('Calendario J'!B59="","",'Calendario J'!B59)</f>
        <v/>
      </c>
      <c r="C1589" s="9" t="n"/>
      <c r="D1589" s="9" t="n"/>
      <c r="E1589" s="9" t="n"/>
      <c r="F1589" s="9" t="n"/>
      <c r="G1589" s="9" t="n"/>
      <c r="H1589" s="9" t="n"/>
      <c r="I1589" s="9" t="n"/>
      <c r="J1589" s="9" t="n"/>
      <c r="K1589" s="9" t="n"/>
      <c r="L1589" s="10" t="n"/>
      <c r="M1589" s="214" t="inlineStr">
        <is>
          <t>ARBITRI</t>
        </is>
      </c>
      <c r="N1589" s="9" t="n"/>
      <c r="O1589" s="10" t="n"/>
      <c r="P1589" s="214" t="inlineStr">
        <is>
          <t>UFFICIALI DI CAMPO</t>
        </is>
      </c>
      <c r="Q1589" s="9" t="n"/>
      <c r="R1589" s="10" t="n"/>
    </row>
    <row r="1590" ht="14" customHeight="1">
      <c r="A1590" s="130" t="inlineStr">
        <is>
          <t>Gara N.</t>
        </is>
      </c>
      <c r="B1590" s="130" t="inlineStr">
        <is>
          <t>Squadra A</t>
        </is>
      </c>
      <c r="C1590" s="10" t="n"/>
      <c r="D1590" s="130" t="inlineStr">
        <is>
          <t>Squadra B</t>
        </is>
      </c>
      <c r="E1590" s="10" t="n"/>
      <c r="F1590" s="130" t="inlineStr">
        <is>
          <t>Giorno</t>
        </is>
      </c>
      <c r="G1590" s="130" t="inlineStr">
        <is>
          <t>Data</t>
        </is>
      </c>
      <c r="H1590" s="130" t="inlineStr">
        <is>
          <t>Ora</t>
        </is>
      </c>
      <c r="I1590" s="10" t="n"/>
      <c r="J1590" s="130" t="inlineStr">
        <is>
          <t>Risultato</t>
        </is>
      </c>
      <c r="K1590" s="9" t="n"/>
      <c r="L1590" s="10" t="n"/>
      <c r="M1590" s="215" t="inlineStr">
        <is>
          <t>1o Arbitro</t>
        </is>
      </c>
      <c r="N1590" s="215" t="inlineStr">
        <is>
          <t>2o Arbitro</t>
        </is>
      </c>
      <c r="O1590" s="215" t="inlineStr">
        <is>
          <t>3o Arbitro/Tirocinante</t>
        </is>
      </c>
      <c r="P1590" s="215" t="inlineStr">
        <is>
          <t>Referto</t>
        </is>
      </c>
      <c r="Q1590" s="215" t="inlineStr">
        <is>
          <t>Cronometro</t>
        </is>
      </c>
      <c r="R1590" s="215" t="inlineStr">
        <is>
          <t>Foglio Tiri</t>
        </is>
      </c>
    </row>
    <row r="1591" ht="22" customHeight="1">
      <c r="A1591" s="132">
        <f>IF('Calendario J'!A61="","",'Calendario J'!A61)</f>
        <v/>
      </c>
      <c r="B1591" s="61">
        <f>IF('Calendario J'!B61="","",'Calendario J'!B61)</f>
        <v/>
      </c>
      <c r="C1591" s="62">
        <f>IF('Calendario J'!C61="","",'Calendario J'!C61)</f>
        <v/>
      </c>
      <c r="D1591" s="61">
        <f>IF('Calendario J'!D61="","",'Calendario J'!D61)</f>
        <v/>
      </c>
      <c r="E1591" s="62">
        <f>IF('Calendario J'!E61="","",'Calendario J'!E61)</f>
        <v/>
      </c>
      <c r="F1591" s="63">
        <f>IF('Calendario J'!F61="","",'Calendario J'!F61)</f>
        <v/>
      </c>
      <c r="G1591" s="9" t="n"/>
      <c r="H1591" s="9" t="n"/>
      <c r="I1591" s="10" t="n"/>
      <c r="J1591" s="195">
        <f>IF('Calendario J'!J61="","",'Calendario J'!J61)</f>
        <v/>
      </c>
      <c r="K1591" s="64" t="inlineStr">
        <is>
          <t>-</t>
        </is>
      </c>
      <c r="L1591" s="195">
        <f>IF('Calendario J'!L61="","",'Calendario J'!L61)</f>
        <v/>
      </c>
      <c r="M1591" s="196" t="n"/>
      <c r="N1591" s="196" t="n"/>
      <c r="O1591" s="196" t="n"/>
      <c r="P1591" s="196" t="n"/>
      <c r="Q1591" s="196" t="n"/>
      <c r="R1591" s="196" t="n"/>
    </row>
    <row r="1592" ht="15" customHeight="1">
      <c r="A1592" s="141" t="n"/>
      <c r="B1592" s="69">
        <f>IF('Calendario J'!B62="","",'Calendario J'!B62)</f>
        <v/>
      </c>
      <c r="C1592" s="9" t="n"/>
      <c r="D1592" s="9" t="n"/>
      <c r="E1592" s="9" t="n"/>
      <c r="F1592" s="9" t="n"/>
      <c r="G1592" s="9" t="n"/>
      <c r="H1592" s="10" t="n"/>
      <c r="I1592" s="62">
        <f>IF('Calendario J'!I62="","",'Calendario J'!I62)</f>
        <v/>
      </c>
      <c r="J1592" s="141" t="n"/>
      <c r="K1592" s="141" t="n"/>
      <c r="L1592" s="141" t="n"/>
      <c r="M1592" s="141" t="n"/>
      <c r="N1592" s="141" t="n"/>
      <c r="O1592" s="141" t="n"/>
      <c r="P1592" s="141" t="n"/>
      <c r="Q1592" s="141" t="n"/>
      <c r="R1592" s="141" t="n"/>
    </row>
    <row r="1593" ht="14" customHeight="1">
      <c r="A1593" s="130" t="inlineStr">
        <is>
          <t>Gara N.</t>
        </is>
      </c>
      <c r="B1593" s="130" t="inlineStr">
        <is>
          <t>Squadra A</t>
        </is>
      </c>
      <c r="C1593" s="10" t="n"/>
      <c r="D1593" s="130" t="inlineStr">
        <is>
          <t>Squadra B</t>
        </is>
      </c>
      <c r="E1593" s="10" t="n"/>
      <c r="F1593" s="130" t="inlineStr">
        <is>
          <t>Giorno</t>
        </is>
      </c>
      <c r="G1593" s="130" t="inlineStr">
        <is>
          <t>Data</t>
        </is>
      </c>
      <c r="H1593" s="130" t="inlineStr">
        <is>
          <t>Ora</t>
        </is>
      </c>
      <c r="I1593" s="10" t="n"/>
      <c r="J1593" s="130" t="inlineStr">
        <is>
          <t>Risultato</t>
        </is>
      </c>
      <c r="K1593" s="9" t="n"/>
      <c r="L1593" s="10" t="n"/>
      <c r="M1593" s="215" t="inlineStr">
        <is>
          <t>1o Arbitro</t>
        </is>
      </c>
      <c r="N1593" s="215" t="inlineStr">
        <is>
          <t>2o Arbitro</t>
        </is>
      </c>
      <c r="O1593" s="215" t="inlineStr">
        <is>
          <t>3o Arbitro/Tirocinante</t>
        </is>
      </c>
      <c r="P1593" s="215" t="inlineStr">
        <is>
          <t>Referto</t>
        </is>
      </c>
      <c r="Q1593" s="215" t="inlineStr">
        <is>
          <t>Cronometro</t>
        </is>
      </c>
      <c r="R1593" s="215" t="inlineStr">
        <is>
          <t>Foglio Tiri</t>
        </is>
      </c>
    </row>
    <row r="1594" ht="22" customHeight="1">
      <c r="A1594" s="132">
        <f>IF('Calendario J'!A64="","",'Calendario J'!A64)</f>
        <v/>
      </c>
      <c r="B1594" s="61">
        <f>IF('Calendario J'!B64="","",'Calendario J'!B64)</f>
        <v/>
      </c>
      <c r="C1594" s="62">
        <f>IF('Calendario J'!C64="","",'Calendario J'!C64)</f>
        <v/>
      </c>
      <c r="D1594" s="61">
        <f>IF('Calendario J'!D64="","",'Calendario J'!D64)</f>
        <v/>
      </c>
      <c r="E1594" s="62">
        <f>IF('Calendario J'!E64="","",'Calendario J'!E64)</f>
        <v/>
      </c>
      <c r="F1594" s="63">
        <f>IF('Calendario J'!F64="","",'Calendario J'!F64)</f>
        <v/>
      </c>
      <c r="G1594" s="9" t="n"/>
      <c r="H1594" s="9" t="n"/>
      <c r="I1594" s="10" t="n"/>
      <c r="J1594" s="195">
        <f>IF('Calendario J'!J64="","",'Calendario J'!J64)</f>
        <v/>
      </c>
      <c r="K1594" s="64" t="inlineStr">
        <is>
          <t>-</t>
        </is>
      </c>
      <c r="L1594" s="195">
        <f>IF('Calendario J'!L64="","",'Calendario J'!L64)</f>
        <v/>
      </c>
      <c r="M1594" s="196" t="n"/>
      <c r="N1594" s="196" t="n"/>
      <c r="O1594" s="196" t="n"/>
      <c r="P1594" s="196" t="n"/>
      <c r="Q1594" s="196" t="n"/>
      <c r="R1594" s="196" t="n"/>
    </row>
    <row r="1595" ht="15" customHeight="1">
      <c r="A1595" s="141" t="n"/>
      <c r="B1595" s="69">
        <f>IF('Calendario J'!B65="","",'Calendario J'!B65)</f>
        <v/>
      </c>
      <c r="C1595" s="9" t="n"/>
      <c r="D1595" s="9" t="n"/>
      <c r="E1595" s="9" t="n"/>
      <c r="F1595" s="9" t="n"/>
      <c r="G1595" s="9" t="n"/>
      <c r="H1595" s="10" t="n"/>
      <c r="I1595" s="62">
        <f>IF('Calendario J'!I65="","",'Calendario J'!I65)</f>
        <v/>
      </c>
      <c r="J1595" s="141" t="n"/>
      <c r="K1595" s="141" t="n"/>
      <c r="L1595" s="141" t="n"/>
      <c r="M1595" s="141" t="n"/>
      <c r="N1595" s="141" t="n"/>
      <c r="O1595" s="141" t="n"/>
      <c r="P1595" s="141" t="n"/>
      <c r="Q1595" s="141" t="n"/>
      <c r="R1595" s="141" t="n"/>
    </row>
    <row r="1596" ht="14" customHeight="1">
      <c r="A1596" s="130" t="inlineStr">
        <is>
          <t>Gara N.</t>
        </is>
      </c>
      <c r="B1596" s="130" t="inlineStr">
        <is>
          <t>Squadra A</t>
        </is>
      </c>
      <c r="C1596" s="10" t="n"/>
      <c r="D1596" s="130" t="inlineStr">
        <is>
          <t>Squadra B</t>
        </is>
      </c>
      <c r="E1596" s="10" t="n"/>
      <c r="F1596" s="130" t="inlineStr">
        <is>
          <t>Giorno</t>
        </is>
      </c>
      <c r="G1596" s="130" t="inlineStr">
        <is>
          <t>Data</t>
        </is>
      </c>
      <c r="H1596" s="130" t="inlineStr">
        <is>
          <t>Ora</t>
        </is>
      </c>
      <c r="I1596" s="10" t="n"/>
      <c r="J1596" s="130" t="inlineStr">
        <is>
          <t>Risultato</t>
        </is>
      </c>
      <c r="K1596" s="9" t="n"/>
      <c r="L1596" s="10" t="n"/>
      <c r="M1596" s="215" t="inlineStr">
        <is>
          <t>1o Arbitro</t>
        </is>
      </c>
      <c r="N1596" s="215" t="inlineStr">
        <is>
          <t>2o Arbitro</t>
        </is>
      </c>
      <c r="O1596" s="215" t="inlineStr">
        <is>
          <t>3o Arbitro/Tirocinante</t>
        </is>
      </c>
      <c r="P1596" s="215" t="inlineStr">
        <is>
          <t>Referto</t>
        </is>
      </c>
      <c r="Q1596" s="215" t="inlineStr">
        <is>
          <t>Cronometro</t>
        </is>
      </c>
      <c r="R1596" s="215" t="inlineStr">
        <is>
          <t>Foglio Tiri</t>
        </is>
      </c>
    </row>
    <row r="1597" ht="22" customHeight="1">
      <c r="A1597" s="132">
        <f>IF('Calendario J'!A67="","",'Calendario J'!A67)</f>
        <v/>
      </c>
      <c r="B1597" s="61">
        <f>IF('Calendario J'!B67="","",'Calendario J'!B67)</f>
        <v/>
      </c>
      <c r="C1597" s="62">
        <f>IF('Calendario J'!C67="","",'Calendario J'!C67)</f>
        <v/>
      </c>
      <c r="D1597" s="61">
        <f>IF('Calendario J'!D67="","",'Calendario J'!D67)</f>
        <v/>
      </c>
      <c r="E1597" s="62">
        <f>IF('Calendario J'!E67="","",'Calendario J'!E67)</f>
        <v/>
      </c>
      <c r="F1597" s="63">
        <f>IF('Calendario J'!F67="","",'Calendario J'!F67)</f>
        <v/>
      </c>
      <c r="G1597" s="9" t="n"/>
      <c r="H1597" s="9" t="n"/>
      <c r="I1597" s="10" t="n"/>
      <c r="J1597" s="195">
        <f>IF('Calendario J'!J67="","",'Calendario J'!J67)</f>
        <v/>
      </c>
      <c r="K1597" s="64" t="inlineStr">
        <is>
          <t>-</t>
        </is>
      </c>
      <c r="L1597" s="195">
        <f>IF('Calendario J'!L67="","",'Calendario J'!L67)</f>
        <v/>
      </c>
      <c r="M1597" s="196" t="n"/>
      <c r="N1597" s="196" t="n"/>
      <c r="O1597" s="196" t="n"/>
      <c r="P1597" s="196" t="n"/>
      <c r="Q1597" s="196" t="n"/>
      <c r="R1597" s="196" t="n"/>
    </row>
    <row r="1598" ht="15" customHeight="1">
      <c r="A1598" s="141" t="n"/>
      <c r="B1598" s="69">
        <f>IF('Calendario J'!B68="","",'Calendario J'!B68)</f>
        <v/>
      </c>
      <c r="C1598" s="9" t="n"/>
      <c r="D1598" s="9" t="n"/>
      <c r="E1598" s="9" t="n"/>
      <c r="F1598" s="9" t="n"/>
      <c r="G1598" s="9" t="n"/>
      <c r="H1598" s="10" t="n"/>
      <c r="I1598" s="62">
        <f>IF('Calendario J'!I68="","",'Calendario J'!I68)</f>
        <v/>
      </c>
      <c r="J1598" s="141" t="n"/>
      <c r="K1598" s="141" t="n"/>
      <c r="L1598" s="141" t="n"/>
      <c r="M1598" s="141" t="n"/>
      <c r="N1598" s="141" t="n"/>
      <c r="O1598" s="141" t="n"/>
      <c r="P1598" s="141" t="n"/>
      <c r="Q1598" s="141" t="n"/>
      <c r="R1598" s="141" t="n"/>
    </row>
    <row r="1599" ht="14" customHeight="1">
      <c r="A1599" s="130" t="inlineStr">
        <is>
          <t>Gara N.</t>
        </is>
      </c>
      <c r="B1599" s="130" t="inlineStr">
        <is>
          <t>Squadra A</t>
        </is>
      </c>
      <c r="C1599" s="10" t="n"/>
      <c r="D1599" s="130" t="inlineStr">
        <is>
          <t>Squadra B</t>
        </is>
      </c>
      <c r="E1599" s="10" t="n"/>
      <c r="F1599" s="130" t="inlineStr">
        <is>
          <t>Giorno</t>
        </is>
      </c>
      <c r="G1599" s="130" t="inlineStr">
        <is>
          <t>Data</t>
        </is>
      </c>
      <c r="H1599" s="130" t="inlineStr">
        <is>
          <t>Ora</t>
        </is>
      </c>
      <c r="I1599" s="10" t="n"/>
      <c r="J1599" s="130" t="inlineStr">
        <is>
          <t>Risultato</t>
        </is>
      </c>
      <c r="K1599" s="9" t="n"/>
      <c r="L1599" s="10" t="n"/>
      <c r="M1599" s="215" t="inlineStr">
        <is>
          <t>1o Arbitro</t>
        </is>
      </c>
      <c r="N1599" s="215" t="inlineStr">
        <is>
          <t>2o Arbitro</t>
        </is>
      </c>
      <c r="O1599" s="215" t="inlineStr">
        <is>
          <t>3o Arbitro/Tirocinante</t>
        </is>
      </c>
      <c r="P1599" s="215" t="inlineStr">
        <is>
          <t>Referto</t>
        </is>
      </c>
      <c r="Q1599" s="215" t="inlineStr">
        <is>
          <t>Cronometro</t>
        </is>
      </c>
      <c r="R1599" s="215" t="inlineStr">
        <is>
          <t>Foglio Tiri</t>
        </is>
      </c>
    </row>
    <row r="1600" ht="22" customHeight="1">
      <c r="A1600" s="132">
        <f>IF('Calendario J'!A70="","",'Calendario J'!A70)</f>
        <v/>
      </c>
      <c r="B1600" s="61">
        <f>IF('Calendario J'!B70="","",'Calendario J'!B70)</f>
        <v/>
      </c>
      <c r="C1600" s="62">
        <f>IF('Calendario J'!C70="","",'Calendario J'!C70)</f>
        <v/>
      </c>
      <c r="D1600" s="61">
        <f>IF('Calendario J'!D70="","",'Calendario J'!D70)</f>
        <v/>
      </c>
      <c r="E1600" s="62">
        <f>IF('Calendario J'!E70="","",'Calendario J'!E70)</f>
        <v/>
      </c>
      <c r="F1600" s="63">
        <f>IF('Calendario J'!F70="","",'Calendario J'!F70)</f>
        <v/>
      </c>
      <c r="G1600" s="9" t="n"/>
      <c r="H1600" s="9" t="n"/>
      <c r="I1600" s="10" t="n"/>
      <c r="J1600" s="195">
        <f>IF('Calendario J'!J70="","",'Calendario J'!J70)</f>
        <v/>
      </c>
      <c r="K1600" s="64" t="inlineStr">
        <is>
          <t>-</t>
        </is>
      </c>
      <c r="L1600" s="195">
        <f>IF('Calendario J'!L70="","",'Calendario J'!L70)</f>
        <v/>
      </c>
      <c r="M1600" s="196" t="n"/>
      <c r="N1600" s="196" t="n"/>
      <c r="O1600" s="196" t="n"/>
      <c r="P1600" s="196" t="n"/>
      <c r="Q1600" s="196" t="n"/>
      <c r="R1600" s="196" t="n"/>
    </row>
    <row r="1601" ht="15" customHeight="1">
      <c r="A1601" s="141" t="n"/>
      <c r="B1601" s="69">
        <f>IF('Calendario J'!B71="","",'Calendario J'!B71)</f>
        <v/>
      </c>
      <c r="C1601" s="9" t="n"/>
      <c r="D1601" s="9" t="n"/>
      <c r="E1601" s="9" t="n"/>
      <c r="F1601" s="9" t="n"/>
      <c r="G1601" s="9" t="n"/>
      <c r="H1601" s="10" t="n"/>
      <c r="I1601" s="62">
        <f>IF('Calendario J'!I71="","",'Calendario J'!I71)</f>
        <v/>
      </c>
      <c r="J1601" s="141" t="n"/>
      <c r="K1601" s="141" t="n"/>
      <c r="L1601" s="141" t="n"/>
      <c r="M1601" s="141" t="n"/>
      <c r="N1601" s="141" t="n"/>
      <c r="O1601" s="141" t="n"/>
      <c r="P1601" s="141" t="n"/>
      <c r="Q1601" s="141" t="n"/>
      <c r="R1601" s="141" t="n"/>
    </row>
    <row r="1602" ht="14" customHeight="1">
      <c r="A1602" s="130" t="inlineStr">
        <is>
          <t>Gara N.</t>
        </is>
      </c>
      <c r="B1602" s="130" t="inlineStr">
        <is>
          <t>Squadra A</t>
        </is>
      </c>
      <c r="C1602" s="10" t="n"/>
      <c r="D1602" s="130" t="inlineStr">
        <is>
          <t>Squadra B</t>
        </is>
      </c>
      <c r="E1602" s="10" t="n"/>
      <c r="F1602" s="130" t="inlineStr">
        <is>
          <t>Giorno</t>
        </is>
      </c>
      <c r="G1602" s="130" t="inlineStr">
        <is>
          <t>Data</t>
        </is>
      </c>
      <c r="H1602" s="130" t="inlineStr">
        <is>
          <t>Ora</t>
        </is>
      </c>
      <c r="I1602" s="10" t="n"/>
      <c r="J1602" s="130" t="inlineStr">
        <is>
          <t>Risultato</t>
        </is>
      </c>
      <c r="K1602" s="9" t="n"/>
      <c r="L1602" s="10" t="n"/>
      <c r="M1602" s="215" t="inlineStr">
        <is>
          <t>1o Arbitro</t>
        </is>
      </c>
      <c r="N1602" s="215" t="inlineStr">
        <is>
          <t>2o Arbitro</t>
        </is>
      </c>
      <c r="O1602" s="215" t="inlineStr">
        <is>
          <t>3o Arbitro/Tirocinante</t>
        </is>
      </c>
      <c r="P1602" s="215" t="inlineStr">
        <is>
          <t>Referto</t>
        </is>
      </c>
      <c r="Q1602" s="215" t="inlineStr">
        <is>
          <t>Cronometro</t>
        </is>
      </c>
      <c r="R1602" s="215" t="inlineStr">
        <is>
          <t>Foglio Tiri</t>
        </is>
      </c>
    </row>
    <row r="1603" ht="22" customHeight="1">
      <c r="A1603" s="132">
        <f>IF('Calendario J'!A73="","",'Calendario J'!A73)</f>
        <v/>
      </c>
      <c r="B1603" s="61">
        <f>IF('Calendario J'!B73="","",'Calendario J'!B73)</f>
        <v/>
      </c>
      <c r="C1603" s="62">
        <f>IF('Calendario J'!C73="","",'Calendario J'!C73)</f>
        <v/>
      </c>
      <c r="D1603" s="61">
        <f>IF('Calendario J'!D73="","",'Calendario J'!D73)</f>
        <v/>
      </c>
      <c r="E1603" s="62">
        <f>IF('Calendario J'!E73="","",'Calendario J'!E73)</f>
        <v/>
      </c>
      <c r="F1603" s="63">
        <f>IF('Calendario J'!F73="","",'Calendario J'!F73)</f>
        <v/>
      </c>
      <c r="G1603" s="9" t="n"/>
      <c r="H1603" s="9" t="n"/>
      <c r="I1603" s="10" t="n"/>
      <c r="J1603" s="195">
        <f>IF('Calendario J'!J73="","",'Calendario J'!J73)</f>
        <v/>
      </c>
      <c r="K1603" s="64" t="inlineStr">
        <is>
          <t>-</t>
        </is>
      </c>
      <c r="L1603" s="195">
        <f>IF('Calendario J'!L73="","",'Calendario J'!L73)</f>
        <v/>
      </c>
      <c r="M1603" s="196" t="n"/>
      <c r="N1603" s="196" t="n"/>
      <c r="O1603" s="196" t="n"/>
      <c r="P1603" s="196" t="n"/>
      <c r="Q1603" s="196" t="n"/>
      <c r="R1603" s="196" t="n"/>
    </row>
    <row r="1604" ht="15" customHeight="1">
      <c r="A1604" s="141" t="n"/>
      <c r="B1604" s="69">
        <f>IF('Calendario J'!B74="","",'Calendario J'!B74)</f>
        <v/>
      </c>
      <c r="C1604" s="9" t="n"/>
      <c r="D1604" s="9" t="n"/>
      <c r="E1604" s="9" t="n"/>
      <c r="F1604" s="9" t="n"/>
      <c r="G1604" s="9" t="n"/>
      <c r="H1604" s="10" t="n"/>
      <c r="I1604" s="62">
        <f>IF('Calendario J'!I74="","",'Calendario J'!I74)</f>
        <v/>
      </c>
      <c r="J1604" s="141" t="n"/>
      <c r="K1604" s="141" t="n"/>
      <c r="L1604" s="141" t="n"/>
      <c r="M1604" s="141" t="n"/>
      <c r="N1604" s="141" t="n"/>
      <c r="O1604" s="141" t="n"/>
      <c r="P1604" s="141" t="n"/>
      <c r="Q1604" s="141" t="n"/>
      <c r="R1604" s="141" t="n"/>
    </row>
    <row r="1606" ht="20" customHeight="1">
      <c r="A1606" s="127">
        <f>IF('Calendario J'!A76="","",'Calendario J'!A76)</f>
        <v/>
      </c>
      <c r="B1606" s="128">
        <f>IF('Calendario J'!B76="","",'Calendario J'!B76)</f>
        <v/>
      </c>
      <c r="C1606" s="9" t="n"/>
      <c r="D1606" s="9" t="n"/>
      <c r="E1606" s="9" t="n"/>
      <c r="F1606" s="9" t="n"/>
      <c r="G1606" s="9" t="n"/>
      <c r="H1606" s="9" t="n"/>
      <c r="I1606" s="9" t="n"/>
      <c r="J1606" s="9" t="n"/>
      <c r="K1606" s="9" t="n"/>
      <c r="L1606" s="10" t="n"/>
      <c r="M1606" s="214" t="inlineStr">
        <is>
          <t>ARBITRI</t>
        </is>
      </c>
      <c r="N1606" s="9" t="n"/>
      <c r="O1606" s="10" t="n"/>
      <c r="P1606" s="214" t="inlineStr">
        <is>
          <t>UFFICIALI DI CAMPO</t>
        </is>
      </c>
      <c r="Q1606" s="9" t="n"/>
      <c r="R1606" s="10" t="n"/>
    </row>
    <row r="1607" ht="14" customHeight="1">
      <c r="A1607" s="130" t="inlineStr">
        <is>
          <t>Gara N.</t>
        </is>
      </c>
      <c r="B1607" s="130" t="inlineStr">
        <is>
          <t>Squadra A</t>
        </is>
      </c>
      <c r="C1607" s="10" t="n"/>
      <c r="D1607" s="130" t="inlineStr">
        <is>
          <t>Squadra B</t>
        </is>
      </c>
      <c r="E1607" s="10" t="n"/>
      <c r="F1607" s="130" t="inlineStr">
        <is>
          <t>Giorno</t>
        </is>
      </c>
      <c r="G1607" s="130" t="inlineStr">
        <is>
          <t>Data</t>
        </is>
      </c>
      <c r="H1607" s="130" t="inlineStr">
        <is>
          <t>Ora</t>
        </is>
      </c>
      <c r="I1607" s="10" t="n"/>
      <c r="J1607" s="130" t="inlineStr">
        <is>
          <t>Risultato</t>
        </is>
      </c>
      <c r="K1607" s="9" t="n"/>
      <c r="L1607" s="10" t="n"/>
      <c r="M1607" s="215" t="inlineStr">
        <is>
          <t>1o Arbitro</t>
        </is>
      </c>
      <c r="N1607" s="215" t="inlineStr">
        <is>
          <t>2o Arbitro</t>
        </is>
      </c>
      <c r="O1607" s="215" t="inlineStr">
        <is>
          <t>3o Arbitro/Tirocinante</t>
        </is>
      </c>
      <c r="P1607" s="215" t="inlineStr">
        <is>
          <t>Referto</t>
        </is>
      </c>
      <c r="Q1607" s="215" t="inlineStr">
        <is>
          <t>Cronometro</t>
        </is>
      </c>
      <c r="R1607" s="215" t="inlineStr">
        <is>
          <t>Foglio Tiri</t>
        </is>
      </c>
    </row>
    <row r="1608" ht="22" customHeight="1">
      <c r="A1608" s="132">
        <f>IF('Calendario J'!A78="","",'Calendario J'!A78)</f>
        <v/>
      </c>
      <c r="B1608" s="61">
        <f>IF('Calendario J'!B78="","",'Calendario J'!B78)</f>
        <v/>
      </c>
      <c r="C1608" s="62">
        <f>IF('Calendario J'!C78="","",'Calendario J'!C78)</f>
        <v/>
      </c>
      <c r="D1608" s="61">
        <f>IF('Calendario J'!D78="","",'Calendario J'!D78)</f>
        <v/>
      </c>
      <c r="E1608" s="62">
        <f>IF('Calendario J'!E78="","",'Calendario J'!E78)</f>
        <v/>
      </c>
      <c r="F1608" s="63">
        <f>IF('Calendario J'!F78="","",'Calendario J'!F78)</f>
        <v/>
      </c>
      <c r="G1608" s="9" t="n"/>
      <c r="H1608" s="9" t="n"/>
      <c r="I1608" s="10" t="n"/>
      <c r="J1608" s="195">
        <f>IF('Calendario J'!J78="","",'Calendario J'!J78)</f>
        <v/>
      </c>
      <c r="K1608" s="64" t="inlineStr">
        <is>
          <t>-</t>
        </is>
      </c>
      <c r="L1608" s="195">
        <f>IF('Calendario J'!L78="","",'Calendario J'!L78)</f>
        <v/>
      </c>
      <c r="M1608" s="196" t="n"/>
      <c r="N1608" s="196" t="n"/>
      <c r="O1608" s="196" t="n"/>
      <c r="P1608" s="196" t="n"/>
      <c r="Q1608" s="196" t="n"/>
      <c r="R1608" s="196" t="n"/>
    </row>
    <row r="1609" ht="15" customHeight="1">
      <c r="A1609" s="141" t="n"/>
      <c r="B1609" s="69">
        <f>IF('Calendario J'!B79="","",'Calendario J'!B79)</f>
        <v/>
      </c>
      <c r="C1609" s="9" t="n"/>
      <c r="D1609" s="9" t="n"/>
      <c r="E1609" s="9" t="n"/>
      <c r="F1609" s="9" t="n"/>
      <c r="G1609" s="9" t="n"/>
      <c r="H1609" s="10" t="n"/>
      <c r="I1609" s="62">
        <f>IF('Calendario J'!I79="","",'Calendario J'!I79)</f>
        <v/>
      </c>
      <c r="J1609" s="141" t="n"/>
      <c r="K1609" s="141" t="n"/>
      <c r="L1609" s="141" t="n"/>
      <c r="M1609" s="141" t="n"/>
      <c r="N1609" s="141" t="n"/>
      <c r="O1609" s="141" t="n"/>
      <c r="P1609" s="141" t="n"/>
      <c r="Q1609" s="141" t="n"/>
      <c r="R1609" s="141" t="n"/>
    </row>
    <row r="1610" ht="14" customHeight="1">
      <c r="A1610" s="130" t="inlineStr">
        <is>
          <t>Gara N.</t>
        </is>
      </c>
      <c r="B1610" s="130" t="inlineStr">
        <is>
          <t>Squadra A</t>
        </is>
      </c>
      <c r="C1610" s="10" t="n"/>
      <c r="D1610" s="130" t="inlineStr">
        <is>
          <t>Squadra B</t>
        </is>
      </c>
      <c r="E1610" s="10" t="n"/>
      <c r="F1610" s="130" t="inlineStr">
        <is>
          <t>Giorno</t>
        </is>
      </c>
      <c r="G1610" s="130" t="inlineStr">
        <is>
          <t>Data</t>
        </is>
      </c>
      <c r="H1610" s="130" t="inlineStr">
        <is>
          <t>Ora</t>
        </is>
      </c>
      <c r="I1610" s="10" t="n"/>
      <c r="J1610" s="130" t="inlineStr">
        <is>
          <t>Risultato</t>
        </is>
      </c>
      <c r="K1610" s="9" t="n"/>
      <c r="L1610" s="10" t="n"/>
      <c r="M1610" s="215" t="inlineStr">
        <is>
          <t>1o Arbitro</t>
        </is>
      </c>
      <c r="N1610" s="215" t="inlineStr">
        <is>
          <t>2o Arbitro</t>
        </is>
      </c>
      <c r="O1610" s="215" t="inlineStr">
        <is>
          <t>3o Arbitro/Tirocinante</t>
        </is>
      </c>
      <c r="P1610" s="215" t="inlineStr">
        <is>
          <t>Referto</t>
        </is>
      </c>
      <c r="Q1610" s="215" t="inlineStr">
        <is>
          <t>Cronometro</t>
        </is>
      </c>
      <c r="R1610" s="215" t="inlineStr">
        <is>
          <t>Foglio Tiri</t>
        </is>
      </c>
    </row>
    <row r="1611" ht="22" customHeight="1">
      <c r="A1611" s="132">
        <f>IF('Calendario J'!A81="","",'Calendario J'!A81)</f>
        <v/>
      </c>
      <c r="B1611" s="61">
        <f>IF('Calendario J'!B81="","",'Calendario J'!B81)</f>
        <v/>
      </c>
      <c r="C1611" s="62">
        <f>IF('Calendario J'!C81="","",'Calendario J'!C81)</f>
        <v/>
      </c>
      <c r="D1611" s="61">
        <f>IF('Calendario J'!D81="","",'Calendario J'!D81)</f>
        <v/>
      </c>
      <c r="E1611" s="62">
        <f>IF('Calendario J'!E81="","",'Calendario J'!E81)</f>
        <v/>
      </c>
      <c r="F1611" s="63">
        <f>IF('Calendario J'!F81="","",'Calendario J'!F81)</f>
        <v/>
      </c>
      <c r="G1611" s="9" t="n"/>
      <c r="H1611" s="9" t="n"/>
      <c r="I1611" s="10" t="n"/>
      <c r="J1611" s="195">
        <f>IF('Calendario J'!J81="","",'Calendario J'!J81)</f>
        <v/>
      </c>
      <c r="K1611" s="64" t="inlineStr">
        <is>
          <t>-</t>
        </is>
      </c>
      <c r="L1611" s="195">
        <f>IF('Calendario J'!L81="","",'Calendario J'!L81)</f>
        <v/>
      </c>
      <c r="M1611" s="196" t="n"/>
      <c r="N1611" s="196" t="n"/>
      <c r="O1611" s="196" t="n"/>
      <c r="P1611" s="196" t="n"/>
      <c r="Q1611" s="196" t="n"/>
      <c r="R1611" s="196" t="n"/>
    </row>
    <row r="1612" ht="15" customHeight="1">
      <c r="A1612" s="141" t="n"/>
      <c r="B1612" s="69">
        <f>IF('Calendario J'!B82="","",'Calendario J'!B82)</f>
        <v/>
      </c>
      <c r="C1612" s="9" t="n"/>
      <c r="D1612" s="9" t="n"/>
      <c r="E1612" s="9" t="n"/>
      <c r="F1612" s="9" t="n"/>
      <c r="G1612" s="9" t="n"/>
      <c r="H1612" s="10" t="n"/>
      <c r="I1612" s="62">
        <f>IF('Calendario J'!I82="","",'Calendario J'!I82)</f>
        <v/>
      </c>
      <c r="J1612" s="141" t="n"/>
      <c r="K1612" s="141" t="n"/>
      <c r="L1612" s="141" t="n"/>
      <c r="M1612" s="141" t="n"/>
      <c r="N1612" s="141" t="n"/>
      <c r="O1612" s="141" t="n"/>
      <c r="P1612" s="141" t="n"/>
      <c r="Q1612" s="141" t="n"/>
      <c r="R1612" s="141" t="n"/>
    </row>
    <row r="1613" ht="14" customHeight="1">
      <c r="A1613" s="130" t="inlineStr">
        <is>
          <t>Gara N.</t>
        </is>
      </c>
      <c r="B1613" s="130" t="inlineStr">
        <is>
          <t>Squadra A</t>
        </is>
      </c>
      <c r="C1613" s="10" t="n"/>
      <c r="D1613" s="130" t="inlineStr">
        <is>
          <t>Squadra B</t>
        </is>
      </c>
      <c r="E1613" s="10" t="n"/>
      <c r="F1613" s="130" t="inlineStr">
        <is>
          <t>Giorno</t>
        </is>
      </c>
      <c r="G1613" s="130" t="inlineStr">
        <is>
          <t>Data</t>
        </is>
      </c>
      <c r="H1613" s="130" t="inlineStr">
        <is>
          <t>Ora</t>
        </is>
      </c>
      <c r="I1613" s="10" t="n"/>
      <c r="J1613" s="130" t="inlineStr">
        <is>
          <t>Risultato</t>
        </is>
      </c>
      <c r="K1613" s="9" t="n"/>
      <c r="L1613" s="10" t="n"/>
      <c r="M1613" s="215" t="inlineStr">
        <is>
          <t>1o Arbitro</t>
        </is>
      </c>
      <c r="N1613" s="215" t="inlineStr">
        <is>
          <t>2o Arbitro</t>
        </is>
      </c>
      <c r="O1613" s="215" t="inlineStr">
        <is>
          <t>3o Arbitro/Tirocinante</t>
        </is>
      </c>
      <c r="P1613" s="215" t="inlineStr">
        <is>
          <t>Referto</t>
        </is>
      </c>
      <c r="Q1613" s="215" t="inlineStr">
        <is>
          <t>Cronometro</t>
        </is>
      </c>
      <c r="R1613" s="215" t="inlineStr">
        <is>
          <t>Foglio Tiri</t>
        </is>
      </c>
    </row>
    <row r="1614" ht="22" customHeight="1">
      <c r="A1614" s="132">
        <f>IF('Calendario J'!A84="","",'Calendario J'!A84)</f>
        <v/>
      </c>
      <c r="B1614" s="61">
        <f>IF('Calendario J'!B84="","",'Calendario J'!B84)</f>
        <v/>
      </c>
      <c r="C1614" s="62">
        <f>IF('Calendario J'!C84="","",'Calendario J'!C84)</f>
        <v/>
      </c>
      <c r="D1614" s="61">
        <f>IF('Calendario J'!D84="","",'Calendario J'!D84)</f>
        <v/>
      </c>
      <c r="E1614" s="62">
        <f>IF('Calendario J'!E84="","",'Calendario J'!E84)</f>
        <v/>
      </c>
      <c r="F1614" s="63">
        <f>IF('Calendario J'!F84="","",'Calendario J'!F84)</f>
        <v/>
      </c>
      <c r="G1614" s="9" t="n"/>
      <c r="H1614" s="9" t="n"/>
      <c r="I1614" s="10" t="n"/>
      <c r="J1614" s="195">
        <f>IF('Calendario J'!J84="","",'Calendario J'!J84)</f>
        <v/>
      </c>
      <c r="K1614" s="64" t="inlineStr">
        <is>
          <t>-</t>
        </is>
      </c>
      <c r="L1614" s="195">
        <f>IF('Calendario J'!L84="","",'Calendario J'!L84)</f>
        <v/>
      </c>
      <c r="M1614" s="196" t="n"/>
      <c r="N1614" s="196" t="n"/>
      <c r="O1614" s="196" t="n"/>
      <c r="P1614" s="196" t="n"/>
      <c r="Q1614" s="196" t="n"/>
      <c r="R1614" s="196" t="n"/>
    </row>
    <row r="1615" ht="15" customHeight="1">
      <c r="A1615" s="141" t="n"/>
      <c r="B1615" s="69">
        <f>IF('Calendario J'!B85="","",'Calendario J'!B85)</f>
        <v/>
      </c>
      <c r="C1615" s="9" t="n"/>
      <c r="D1615" s="9" t="n"/>
      <c r="E1615" s="9" t="n"/>
      <c r="F1615" s="9" t="n"/>
      <c r="G1615" s="9" t="n"/>
      <c r="H1615" s="10" t="n"/>
      <c r="I1615" s="62">
        <f>IF('Calendario J'!I85="","",'Calendario J'!I85)</f>
        <v/>
      </c>
      <c r="J1615" s="141" t="n"/>
      <c r="K1615" s="141" t="n"/>
      <c r="L1615" s="141" t="n"/>
      <c r="M1615" s="141" t="n"/>
      <c r="N1615" s="141" t="n"/>
      <c r="O1615" s="141" t="n"/>
      <c r="P1615" s="141" t="n"/>
      <c r="Q1615" s="141" t="n"/>
      <c r="R1615" s="141" t="n"/>
    </row>
    <row r="1616" ht="14" customHeight="1">
      <c r="A1616" s="130" t="inlineStr">
        <is>
          <t>Gara N.</t>
        </is>
      </c>
      <c r="B1616" s="130" t="inlineStr">
        <is>
          <t>Squadra A</t>
        </is>
      </c>
      <c r="C1616" s="10" t="n"/>
      <c r="D1616" s="130" t="inlineStr">
        <is>
          <t>Squadra B</t>
        </is>
      </c>
      <c r="E1616" s="10" t="n"/>
      <c r="F1616" s="130" t="inlineStr">
        <is>
          <t>Giorno</t>
        </is>
      </c>
      <c r="G1616" s="130" t="inlineStr">
        <is>
          <t>Data</t>
        </is>
      </c>
      <c r="H1616" s="130" t="inlineStr">
        <is>
          <t>Ora</t>
        </is>
      </c>
      <c r="I1616" s="10" t="n"/>
      <c r="J1616" s="130" t="inlineStr">
        <is>
          <t>Risultato</t>
        </is>
      </c>
      <c r="K1616" s="9" t="n"/>
      <c r="L1616" s="10" t="n"/>
      <c r="M1616" s="215" t="inlineStr">
        <is>
          <t>1o Arbitro</t>
        </is>
      </c>
      <c r="N1616" s="215" t="inlineStr">
        <is>
          <t>2o Arbitro</t>
        </is>
      </c>
      <c r="O1616" s="215" t="inlineStr">
        <is>
          <t>3o Arbitro/Tirocinante</t>
        </is>
      </c>
      <c r="P1616" s="215" t="inlineStr">
        <is>
          <t>Referto</t>
        </is>
      </c>
      <c r="Q1616" s="215" t="inlineStr">
        <is>
          <t>Cronometro</t>
        </is>
      </c>
      <c r="R1616" s="215" t="inlineStr">
        <is>
          <t>Foglio Tiri</t>
        </is>
      </c>
    </row>
    <row r="1617" ht="22" customHeight="1">
      <c r="A1617" s="132">
        <f>IF('Calendario J'!A87="","",'Calendario J'!A87)</f>
        <v/>
      </c>
      <c r="B1617" s="61">
        <f>IF('Calendario J'!B87="","",'Calendario J'!B87)</f>
        <v/>
      </c>
      <c r="C1617" s="62">
        <f>IF('Calendario J'!C87="","",'Calendario J'!C87)</f>
        <v/>
      </c>
      <c r="D1617" s="61">
        <f>IF('Calendario J'!D87="","",'Calendario J'!D87)</f>
        <v/>
      </c>
      <c r="E1617" s="62">
        <f>IF('Calendario J'!E87="","",'Calendario J'!E87)</f>
        <v/>
      </c>
      <c r="F1617" s="63">
        <f>IF('Calendario J'!F87="","",'Calendario J'!F87)</f>
        <v/>
      </c>
      <c r="G1617" s="9" t="n"/>
      <c r="H1617" s="9" t="n"/>
      <c r="I1617" s="10" t="n"/>
      <c r="J1617" s="195">
        <f>IF('Calendario J'!J87="","",'Calendario J'!J87)</f>
        <v/>
      </c>
      <c r="K1617" s="64" t="inlineStr">
        <is>
          <t>-</t>
        </is>
      </c>
      <c r="L1617" s="195">
        <f>IF('Calendario J'!L87="","",'Calendario J'!L87)</f>
        <v/>
      </c>
      <c r="M1617" s="196" t="n"/>
      <c r="N1617" s="196" t="n"/>
      <c r="O1617" s="196" t="n"/>
      <c r="P1617" s="196" t="n"/>
      <c r="Q1617" s="196" t="n"/>
      <c r="R1617" s="196" t="n"/>
    </row>
    <row r="1618" ht="15" customHeight="1">
      <c r="A1618" s="141" t="n"/>
      <c r="B1618" s="69">
        <f>IF('Calendario J'!B88="","",'Calendario J'!B88)</f>
        <v/>
      </c>
      <c r="C1618" s="9" t="n"/>
      <c r="D1618" s="9" t="n"/>
      <c r="E1618" s="9" t="n"/>
      <c r="F1618" s="9" t="n"/>
      <c r="G1618" s="9" t="n"/>
      <c r="H1618" s="10" t="n"/>
      <c r="I1618" s="62">
        <f>IF('Calendario J'!I88="","",'Calendario J'!I88)</f>
        <v/>
      </c>
      <c r="J1618" s="141" t="n"/>
      <c r="K1618" s="141" t="n"/>
      <c r="L1618" s="141" t="n"/>
      <c r="M1618" s="141" t="n"/>
      <c r="N1618" s="141" t="n"/>
      <c r="O1618" s="141" t="n"/>
      <c r="P1618" s="141" t="n"/>
      <c r="Q1618" s="141" t="n"/>
      <c r="R1618" s="141" t="n"/>
    </row>
    <row r="1619" ht="14" customHeight="1">
      <c r="A1619" s="130" t="inlineStr">
        <is>
          <t>Gara N.</t>
        </is>
      </c>
      <c r="B1619" s="130" t="inlineStr">
        <is>
          <t>Squadra A</t>
        </is>
      </c>
      <c r="C1619" s="10" t="n"/>
      <c r="D1619" s="130" t="inlineStr">
        <is>
          <t>Squadra B</t>
        </is>
      </c>
      <c r="E1619" s="10" t="n"/>
      <c r="F1619" s="130" t="inlineStr">
        <is>
          <t>Giorno</t>
        </is>
      </c>
      <c r="G1619" s="130" t="inlineStr">
        <is>
          <t>Data</t>
        </is>
      </c>
      <c r="H1619" s="130" t="inlineStr">
        <is>
          <t>Ora</t>
        </is>
      </c>
      <c r="I1619" s="10" t="n"/>
      <c r="J1619" s="130" t="inlineStr">
        <is>
          <t>Risultato</t>
        </is>
      </c>
      <c r="K1619" s="9" t="n"/>
      <c r="L1619" s="10" t="n"/>
      <c r="M1619" s="215" t="inlineStr">
        <is>
          <t>1o Arbitro</t>
        </is>
      </c>
      <c r="N1619" s="215" t="inlineStr">
        <is>
          <t>2o Arbitro</t>
        </is>
      </c>
      <c r="O1619" s="215" t="inlineStr">
        <is>
          <t>3o Arbitro/Tirocinante</t>
        </is>
      </c>
      <c r="P1619" s="215" t="inlineStr">
        <is>
          <t>Referto</t>
        </is>
      </c>
      <c r="Q1619" s="215" t="inlineStr">
        <is>
          <t>Cronometro</t>
        </is>
      </c>
      <c r="R1619" s="215" t="inlineStr">
        <is>
          <t>Foglio Tiri</t>
        </is>
      </c>
    </row>
    <row r="1620" ht="22" customHeight="1">
      <c r="A1620" s="132">
        <f>IF('Calendario J'!A90="","",'Calendario J'!A90)</f>
        <v/>
      </c>
      <c r="B1620" s="61">
        <f>IF('Calendario J'!B90="","",'Calendario J'!B90)</f>
        <v/>
      </c>
      <c r="C1620" s="62">
        <f>IF('Calendario J'!C90="","",'Calendario J'!C90)</f>
        <v/>
      </c>
      <c r="D1620" s="61">
        <f>IF('Calendario J'!D90="","",'Calendario J'!D90)</f>
        <v/>
      </c>
      <c r="E1620" s="62">
        <f>IF('Calendario J'!E90="","",'Calendario J'!E90)</f>
        <v/>
      </c>
      <c r="F1620" s="63">
        <f>IF('Calendario J'!F90="","",'Calendario J'!F90)</f>
        <v/>
      </c>
      <c r="G1620" s="9" t="n"/>
      <c r="H1620" s="9" t="n"/>
      <c r="I1620" s="10" t="n"/>
      <c r="J1620" s="195">
        <f>IF('Calendario J'!J90="","",'Calendario J'!J90)</f>
        <v/>
      </c>
      <c r="K1620" s="64" t="inlineStr">
        <is>
          <t>-</t>
        </is>
      </c>
      <c r="L1620" s="195">
        <f>IF('Calendario J'!L90="","",'Calendario J'!L90)</f>
        <v/>
      </c>
      <c r="M1620" s="196" t="n"/>
      <c r="N1620" s="196" t="n"/>
      <c r="O1620" s="196" t="n"/>
      <c r="P1620" s="196" t="n"/>
      <c r="Q1620" s="196" t="n"/>
      <c r="R1620" s="196" t="n"/>
    </row>
    <row r="1621" ht="15" customHeight="1">
      <c r="A1621" s="141" t="n"/>
      <c r="B1621" s="69">
        <f>IF('Calendario J'!B91="","",'Calendario J'!B91)</f>
        <v/>
      </c>
      <c r="C1621" s="9" t="n"/>
      <c r="D1621" s="9" t="n"/>
      <c r="E1621" s="9" t="n"/>
      <c r="F1621" s="9" t="n"/>
      <c r="G1621" s="9" t="n"/>
      <c r="H1621" s="10" t="n"/>
      <c r="I1621" s="62">
        <f>IF('Calendario J'!I91="","",'Calendario J'!I91)</f>
        <v/>
      </c>
      <c r="J1621" s="141" t="n"/>
      <c r="K1621" s="141" t="n"/>
      <c r="L1621" s="141" t="n"/>
      <c r="M1621" s="141" t="n"/>
      <c r="N1621" s="141" t="n"/>
      <c r="O1621" s="141" t="n"/>
      <c r="P1621" s="141" t="n"/>
      <c r="Q1621" s="141" t="n"/>
      <c r="R1621" s="141" t="n"/>
    </row>
    <row r="1623" ht="20" customHeight="1">
      <c r="A1623" s="127">
        <f>IF('Calendario J'!A93="","",'Calendario J'!A93)</f>
        <v/>
      </c>
      <c r="B1623" s="128">
        <f>IF('Calendario J'!B93="","",'Calendario J'!B93)</f>
        <v/>
      </c>
      <c r="C1623" s="9" t="n"/>
      <c r="D1623" s="9" t="n"/>
      <c r="E1623" s="9" t="n"/>
      <c r="F1623" s="9" t="n"/>
      <c r="G1623" s="9" t="n"/>
      <c r="H1623" s="9" t="n"/>
      <c r="I1623" s="9" t="n"/>
      <c r="J1623" s="9" t="n"/>
      <c r="K1623" s="9" t="n"/>
      <c r="L1623" s="10" t="n"/>
      <c r="M1623" s="214" t="inlineStr">
        <is>
          <t>ARBITRI</t>
        </is>
      </c>
      <c r="N1623" s="9" t="n"/>
      <c r="O1623" s="10" t="n"/>
      <c r="P1623" s="214" t="inlineStr">
        <is>
          <t>UFFICIALI DI CAMPO</t>
        </is>
      </c>
      <c r="Q1623" s="9" t="n"/>
      <c r="R1623" s="10" t="n"/>
    </row>
    <row r="1624" ht="14" customHeight="1">
      <c r="A1624" s="130" t="inlineStr">
        <is>
          <t>Gara N.</t>
        </is>
      </c>
      <c r="B1624" s="130" t="inlineStr">
        <is>
          <t>Squadra A</t>
        </is>
      </c>
      <c r="C1624" s="10" t="n"/>
      <c r="D1624" s="130" t="inlineStr">
        <is>
          <t>Squadra B</t>
        </is>
      </c>
      <c r="E1624" s="10" t="n"/>
      <c r="F1624" s="130" t="inlineStr">
        <is>
          <t>Giorno</t>
        </is>
      </c>
      <c r="G1624" s="130" t="inlineStr">
        <is>
          <t>Data</t>
        </is>
      </c>
      <c r="H1624" s="130" t="inlineStr">
        <is>
          <t>Ora</t>
        </is>
      </c>
      <c r="I1624" s="10" t="n"/>
      <c r="J1624" s="130" t="inlineStr">
        <is>
          <t>Risultato</t>
        </is>
      </c>
      <c r="K1624" s="9" t="n"/>
      <c r="L1624" s="10" t="n"/>
      <c r="M1624" s="215" t="inlineStr">
        <is>
          <t>1o Arbitro</t>
        </is>
      </c>
      <c r="N1624" s="215" t="inlineStr">
        <is>
          <t>2o Arbitro</t>
        </is>
      </c>
      <c r="O1624" s="215" t="inlineStr">
        <is>
          <t>3o Arbitro/Tirocinante</t>
        </is>
      </c>
      <c r="P1624" s="215" t="inlineStr">
        <is>
          <t>Referto</t>
        </is>
      </c>
      <c r="Q1624" s="215" t="inlineStr">
        <is>
          <t>Cronometro</t>
        </is>
      </c>
      <c r="R1624" s="215" t="inlineStr">
        <is>
          <t>Foglio Tiri</t>
        </is>
      </c>
    </row>
    <row r="1625" ht="22" customHeight="1">
      <c r="A1625" s="132">
        <f>IF('Calendario J'!A95="","",'Calendario J'!A95)</f>
        <v/>
      </c>
      <c r="B1625" s="61">
        <f>IF('Calendario J'!B95="","",'Calendario J'!B95)</f>
        <v/>
      </c>
      <c r="C1625" s="62">
        <f>IF('Calendario J'!C95="","",'Calendario J'!C95)</f>
        <v/>
      </c>
      <c r="D1625" s="61">
        <f>IF('Calendario J'!D95="","",'Calendario J'!D95)</f>
        <v/>
      </c>
      <c r="E1625" s="62">
        <f>IF('Calendario J'!E95="","",'Calendario J'!E95)</f>
        <v/>
      </c>
      <c r="F1625" s="63">
        <f>IF('Calendario J'!F95="","",'Calendario J'!F95)</f>
        <v/>
      </c>
      <c r="G1625" s="9" t="n"/>
      <c r="H1625" s="9" t="n"/>
      <c r="I1625" s="10" t="n"/>
      <c r="J1625" s="195">
        <f>IF('Calendario J'!J95="","",'Calendario J'!J95)</f>
        <v/>
      </c>
      <c r="K1625" s="64" t="inlineStr">
        <is>
          <t>-</t>
        </is>
      </c>
      <c r="L1625" s="195">
        <f>IF('Calendario J'!L95="","",'Calendario J'!L95)</f>
        <v/>
      </c>
      <c r="M1625" s="196" t="n"/>
      <c r="N1625" s="196" t="n"/>
      <c r="O1625" s="196" t="n"/>
      <c r="P1625" s="196" t="n"/>
      <c r="Q1625" s="196" t="n"/>
      <c r="R1625" s="196" t="n"/>
    </row>
    <row r="1626" ht="15" customHeight="1">
      <c r="A1626" s="141" t="n"/>
      <c r="B1626" s="69">
        <f>IF('Calendario J'!B96="","",'Calendario J'!B96)</f>
        <v/>
      </c>
      <c r="C1626" s="9" t="n"/>
      <c r="D1626" s="9" t="n"/>
      <c r="E1626" s="9" t="n"/>
      <c r="F1626" s="9" t="n"/>
      <c r="G1626" s="9" t="n"/>
      <c r="H1626" s="10" t="n"/>
      <c r="I1626" s="62">
        <f>IF('Calendario J'!I96="","",'Calendario J'!I96)</f>
        <v/>
      </c>
      <c r="J1626" s="141" t="n"/>
      <c r="K1626" s="141" t="n"/>
      <c r="L1626" s="141" t="n"/>
      <c r="M1626" s="141" t="n"/>
      <c r="N1626" s="141" t="n"/>
      <c r="O1626" s="141" t="n"/>
      <c r="P1626" s="141" t="n"/>
      <c r="Q1626" s="141" t="n"/>
      <c r="R1626" s="141" t="n"/>
    </row>
    <row r="1627" ht="14" customHeight="1">
      <c r="A1627" s="130" t="inlineStr">
        <is>
          <t>Gara N.</t>
        </is>
      </c>
      <c r="B1627" s="130" t="inlineStr">
        <is>
          <t>Squadra A</t>
        </is>
      </c>
      <c r="C1627" s="10" t="n"/>
      <c r="D1627" s="130" t="inlineStr">
        <is>
          <t>Squadra B</t>
        </is>
      </c>
      <c r="E1627" s="10" t="n"/>
      <c r="F1627" s="130" t="inlineStr">
        <is>
          <t>Giorno</t>
        </is>
      </c>
      <c r="G1627" s="130" t="inlineStr">
        <is>
          <t>Data</t>
        </is>
      </c>
      <c r="H1627" s="130" t="inlineStr">
        <is>
          <t>Ora</t>
        </is>
      </c>
      <c r="I1627" s="10" t="n"/>
      <c r="J1627" s="130" t="inlineStr">
        <is>
          <t>Risultato</t>
        </is>
      </c>
      <c r="K1627" s="9" t="n"/>
      <c r="L1627" s="10" t="n"/>
      <c r="M1627" s="215" t="inlineStr">
        <is>
          <t>1o Arbitro</t>
        </is>
      </c>
      <c r="N1627" s="215" t="inlineStr">
        <is>
          <t>2o Arbitro</t>
        </is>
      </c>
      <c r="O1627" s="215" t="inlineStr">
        <is>
          <t>3o Arbitro/Tirocinante</t>
        </is>
      </c>
      <c r="P1627" s="215" t="inlineStr">
        <is>
          <t>Referto</t>
        </is>
      </c>
      <c r="Q1627" s="215" t="inlineStr">
        <is>
          <t>Cronometro</t>
        </is>
      </c>
      <c r="R1627" s="215" t="inlineStr">
        <is>
          <t>Foglio Tiri</t>
        </is>
      </c>
    </row>
    <row r="1628" ht="22" customHeight="1">
      <c r="A1628" s="132">
        <f>IF('Calendario J'!A98="","",'Calendario J'!A98)</f>
        <v/>
      </c>
      <c r="B1628" s="61">
        <f>IF('Calendario J'!B98="","",'Calendario J'!B98)</f>
        <v/>
      </c>
      <c r="C1628" s="62">
        <f>IF('Calendario J'!C98="","",'Calendario J'!C98)</f>
        <v/>
      </c>
      <c r="D1628" s="61">
        <f>IF('Calendario J'!D98="","",'Calendario J'!D98)</f>
        <v/>
      </c>
      <c r="E1628" s="62">
        <f>IF('Calendario J'!E98="","",'Calendario J'!E98)</f>
        <v/>
      </c>
      <c r="F1628" s="63">
        <f>IF('Calendario J'!F98="","",'Calendario J'!F98)</f>
        <v/>
      </c>
      <c r="G1628" s="9" t="n"/>
      <c r="H1628" s="9" t="n"/>
      <c r="I1628" s="10" t="n"/>
      <c r="J1628" s="195">
        <f>IF('Calendario J'!J98="","",'Calendario J'!J98)</f>
        <v/>
      </c>
      <c r="K1628" s="64" t="inlineStr">
        <is>
          <t>-</t>
        </is>
      </c>
      <c r="L1628" s="195">
        <f>IF('Calendario J'!L98="","",'Calendario J'!L98)</f>
        <v/>
      </c>
      <c r="M1628" s="196" t="n"/>
      <c r="N1628" s="196" t="n"/>
      <c r="O1628" s="196" t="n"/>
      <c r="P1628" s="196" t="n"/>
      <c r="Q1628" s="196" t="n"/>
      <c r="R1628" s="196" t="n"/>
    </row>
    <row r="1629" ht="15" customHeight="1">
      <c r="A1629" s="141" t="n"/>
      <c r="B1629" s="69">
        <f>IF('Calendario J'!B99="","",'Calendario J'!B99)</f>
        <v/>
      </c>
      <c r="C1629" s="9" t="n"/>
      <c r="D1629" s="9" t="n"/>
      <c r="E1629" s="9" t="n"/>
      <c r="F1629" s="9" t="n"/>
      <c r="G1629" s="9" t="n"/>
      <c r="H1629" s="10" t="n"/>
      <c r="I1629" s="62">
        <f>IF('Calendario J'!I99="","",'Calendario J'!I99)</f>
        <v/>
      </c>
      <c r="J1629" s="141" t="n"/>
      <c r="K1629" s="141" t="n"/>
      <c r="L1629" s="141" t="n"/>
      <c r="M1629" s="141" t="n"/>
      <c r="N1629" s="141" t="n"/>
      <c r="O1629" s="141" t="n"/>
      <c r="P1629" s="141" t="n"/>
      <c r="Q1629" s="141" t="n"/>
      <c r="R1629" s="141" t="n"/>
    </row>
    <row r="1630" ht="14" customHeight="1">
      <c r="A1630" s="130" t="inlineStr">
        <is>
          <t>Gara N.</t>
        </is>
      </c>
      <c r="B1630" s="130" t="inlineStr">
        <is>
          <t>Squadra A</t>
        </is>
      </c>
      <c r="C1630" s="10" t="n"/>
      <c r="D1630" s="130" t="inlineStr">
        <is>
          <t>Squadra B</t>
        </is>
      </c>
      <c r="E1630" s="10" t="n"/>
      <c r="F1630" s="130" t="inlineStr">
        <is>
          <t>Giorno</t>
        </is>
      </c>
      <c r="G1630" s="130" t="inlineStr">
        <is>
          <t>Data</t>
        </is>
      </c>
      <c r="H1630" s="130" t="inlineStr">
        <is>
          <t>Ora</t>
        </is>
      </c>
      <c r="I1630" s="10" t="n"/>
      <c r="J1630" s="130" t="inlineStr">
        <is>
          <t>Risultato</t>
        </is>
      </c>
      <c r="K1630" s="9" t="n"/>
      <c r="L1630" s="10" t="n"/>
      <c r="M1630" s="215" t="inlineStr">
        <is>
          <t>1o Arbitro</t>
        </is>
      </c>
      <c r="N1630" s="215" t="inlineStr">
        <is>
          <t>2o Arbitro</t>
        </is>
      </c>
      <c r="O1630" s="215" t="inlineStr">
        <is>
          <t>3o Arbitro/Tirocinante</t>
        </is>
      </c>
      <c r="P1630" s="215" t="inlineStr">
        <is>
          <t>Referto</t>
        </is>
      </c>
      <c r="Q1630" s="215" t="inlineStr">
        <is>
          <t>Cronometro</t>
        </is>
      </c>
      <c r="R1630" s="215" t="inlineStr">
        <is>
          <t>Foglio Tiri</t>
        </is>
      </c>
    </row>
    <row r="1631" ht="22" customHeight="1">
      <c r="A1631" s="132">
        <f>IF('Calendario J'!A101="","",'Calendario J'!A101)</f>
        <v/>
      </c>
      <c r="B1631" s="61">
        <f>IF('Calendario J'!B101="","",'Calendario J'!B101)</f>
        <v/>
      </c>
      <c r="C1631" s="62">
        <f>IF('Calendario J'!C101="","",'Calendario J'!C101)</f>
        <v/>
      </c>
      <c r="D1631" s="61">
        <f>IF('Calendario J'!D101="","",'Calendario J'!D101)</f>
        <v/>
      </c>
      <c r="E1631" s="62">
        <f>IF('Calendario J'!E101="","",'Calendario J'!E101)</f>
        <v/>
      </c>
      <c r="F1631" s="63">
        <f>IF('Calendario J'!F101="","",'Calendario J'!F101)</f>
        <v/>
      </c>
      <c r="G1631" s="9" t="n"/>
      <c r="H1631" s="9" t="n"/>
      <c r="I1631" s="10" t="n"/>
      <c r="J1631" s="195">
        <f>IF('Calendario J'!J101="","",'Calendario J'!J101)</f>
        <v/>
      </c>
      <c r="K1631" s="64" t="inlineStr">
        <is>
          <t>-</t>
        </is>
      </c>
      <c r="L1631" s="195">
        <f>IF('Calendario J'!L101="","",'Calendario J'!L101)</f>
        <v/>
      </c>
      <c r="M1631" s="196" t="n"/>
      <c r="N1631" s="196" t="n"/>
      <c r="O1631" s="196" t="n"/>
      <c r="P1631" s="196" t="n"/>
      <c r="Q1631" s="196" t="n"/>
      <c r="R1631" s="196" t="n"/>
    </row>
    <row r="1632" ht="15" customHeight="1">
      <c r="A1632" s="141" t="n"/>
      <c r="B1632" s="69">
        <f>IF('Calendario J'!B102="","",'Calendario J'!B102)</f>
        <v/>
      </c>
      <c r="C1632" s="9" t="n"/>
      <c r="D1632" s="9" t="n"/>
      <c r="E1632" s="9" t="n"/>
      <c r="F1632" s="9" t="n"/>
      <c r="G1632" s="9" t="n"/>
      <c r="H1632" s="10" t="n"/>
      <c r="I1632" s="62">
        <f>IF('Calendario J'!I102="","",'Calendario J'!I102)</f>
        <v/>
      </c>
      <c r="J1632" s="141" t="n"/>
      <c r="K1632" s="141" t="n"/>
      <c r="L1632" s="141" t="n"/>
      <c r="M1632" s="141" t="n"/>
      <c r="N1632" s="141" t="n"/>
      <c r="O1632" s="141" t="n"/>
      <c r="P1632" s="141" t="n"/>
      <c r="Q1632" s="141" t="n"/>
      <c r="R1632" s="141" t="n"/>
    </row>
    <row r="1633" ht="14" customHeight="1">
      <c r="A1633" s="130" t="inlineStr">
        <is>
          <t>Gara N.</t>
        </is>
      </c>
      <c r="B1633" s="130" t="inlineStr">
        <is>
          <t>Squadra A</t>
        </is>
      </c>
      <c r="C1633" s="10" t="n"/>
      <c r="D1633" s="130" t="inlineStr">
        <is>
          <t>Squadra B</t>
        </is>
      </c>
      <c r="E1633" s="10" t="n"/>
      <c r="F1633" s="130" t="inlineStr">
        <is>
          <t>Giorno</t>
        </is>
      </c>
      <c r="G1633" s="130" t="inlineStr">
        <is>
          <t>Data</t>
        </is>
      </c>
      <c r="H1633" s="130" t="inlineStr">
        <is>
          <t>Ora</t>
        </is>
      </c>
      <c r="I1633" s="10" t="n"/>
      <c r="J1633" s="130" t="inlineStr">
        <is>
          <t>Risultato</t>
        </is>
      </c>
      <c r="K1633" s="9" t="n"/>
      <c r="L1633" s="10" t="n"/>
      <c r="M1633" s="215" t="inlineStr">
        <is>
          <t>1o Arbitro</t>
        </is>
      </c>
      <c r="N1633" s="215" t="inlineStr">
        <is>
          <t>2o Arbitro</t>
        </is>
      </c>
      <c r="O1633" s="215" t="inlineStr">
        <is>
          <t>3o Arbitro/Tirocinante</t>
        </is>
      </c>
      <c r="P1633" s="215" t="inlineStr">
        <is>
          <t>Referto</t>
        </is>
      </c>
      <c r="Q1633" s="215" t="inlineStr">
        <is>
          <t>Cronometro</t>
        </is>
      </c>
      <c r="R1633" s="215" t="inlineStr">
        <is>
          <t>Foglio Tiri</t>
        </is>
      </c>
    </row>
    <row r="1634" ht="22" customHeight="1">
      <c r="A1634" s="132">
        <f>IF('Calendario J'!A104="","",'Calendario J'!A104)</f>
        <v/>
      </c>
      <c r="B1634" s="61">
        <f>IF('Calendario J'!B104="","",'Calendario J'!B104)</f>
        <v/>
      </c>
      <c r="C1634" s="62">
        <f>IF('Calendario J'!C104="","",'Calendario J'!C104)</f>
        <v/>
      </c>
      <c r="D1634" s="61">
        <f>IF('Calendario J'!D104="","",'Calendario J'!D104)</f>
        <v/>
      </c>
      <c r="E1634" s="62">
        <f>IF('Calendario J'!E104="","",'Calendario J'!E104)</f>
        <v/>
      </c>
      <c r="F1634" s="63">
        <f>IF('Calendario J'!F104="","",'Calendario J'!F104)</f>
        <v/>
      </c>
      <c r="G1634" s="9" t="n"/>
      <c r="H1634" s="9" t="n"/>
      <c r="I1634" s="10" t="n"/>
      <c r="J1634" s="195">
        <f>IF('Calendario J'!J104="","",'Calendario J'!J104)</f>
        <v/>
      </c>
      <c r="K1634" s="64" t="inlineStr">
        <is>
          <t>-</t>
        </is>
      </c>
      <c r="L1634" s="195">
        <f>IF('Calendario J'!L104="","",'Calendario J'!L104)</f>
        <v/>
      </c>
      <c r="M1634" s="196" t="n"/>
      <c r="N1634" s="196" t="n"/>
      <c r="O1634" s="196" t="n"/>
      <c r="P1634" s="196" t="n"/>
      <c r="Q1634" s="196" t="n"/>
      <c r="R1634" s="196" t="n"/>
    </row>
    <row r="1635" ht="15" customHeight="1">
      <c r="A1635" s="141" t="n"/>
      <c r="B1635" s="69">
        <f>IF('Calendario J'!B105="","",'Calendario J'!B105)</f>
        <v/>
      </c>
      <c r="C1635" s="9" t="n"/>
      <c r="D1635" s="9" t="n"/>
      <c r="E1635" s="9" t="n"/>
      <c r="F1635" s="9" t="n"/>
      <c r="G1635" s="9" t="n"/>
      <c r="H1635" s="10" t="n"/>
      <c r="I1635" s="62">
        <f>IF('Calendario J'!I105="","",'Calendario J'!I105)</f>
        <v/>
      </c>
      <c r="J1635" s="141" t="n"/>
      <c r="K1635" s="141" t="n"/>
      <c r="L1635" s="141" t="n"/>
      <c r="M1635" s="141" t="n"/>
      <c r="N1635" s="141" t="n"/>
      <c r="O1635" s="141" t="n"/>
      <c r="P1635" s="141" t="n"/>
      <c r="Q1635" s="141" t="n"/>
      <c r="R1635" s="141" t="n"/>
    </row>
    <row r="1636" ht="14" customHeight="1">
      <c r="A1636" s="130" t="inlineStr">
        <is>
          <t>Gara N.</t>
        </is>
      </c>
      <c r="B1636" s="130" t="inlineStr">
        <is>
          <t>Squadra A</t>
        </is>
      </c>
      <c r="C1636" s="10" t="n"/>
      <c r="D1636" s="130" t="inlineStr">
        <is>
          <t>Squadra B</t>
        </is>
      </c>
      <c r="E1636" s="10" t="n"/>
      <c r="F1636" s="130" t="inlineStr">
        <is>
          <t>Giorno</t>
        </is>
      </c>
      <c r="G1636" s="130" t="inlineStr">
        <is>
          <t>Data</t>
        </is>
      </c>
      <c r="H1636" s="130" t="inlineStr">
        <is>
          <t>Ora</t>
        </is>
      </c>
      <c r="I1636" s="10" t="n"/>
      <c r="J1636" s="130" t="inlineStr">
        <is>
          <t>Risultato</t>
        </is>
      </c>
      <c r="K1636" s="9" t="n"/>
      <c r="L1636" s="10" t="n"/>
      <c r="M1636" s="215" t="inlineStr">
        <is>
          <t>1o Arbitro</t>
        </is>
      </c>
      <c r="N1636" s="215" t="inlineStr">
        <is>
          <t>2o Arbitro</t>
        </is>
      </c>
      <c r="O1636" s="215" t="inlineStr">
        <is>
          <t>3o Arbitro/Tirocinante</t>
        </is>
      </c>
      <c r="P1636" s="215" t="inlineStr">
        <is>
          <t>Referto</t>
        </is>
      </c>
      <c r="Q1636" s="215" t="inlineStr">
        <is>
          <t>Cronometro</t>
        </is>
      </c>
      <c r="R1636" s="215" t="inlineStr">
        <is>
          <t>Foglio Tiri</t>
        </is>
      </c>
    </row>
    <row r="1637" ht="22" customHeight="1">
      <c r="A1637" s="132">
        <f>IF('Calendario J'!A107="","",'Calendario J'!A107)</f>
        <v/>
      </c>
      <c r="B1637" s="61">
        <f>IF('Calendario J'!B107="","",'Calendario J'!B107)</f>
        <v/>
      </c>
      <c r="C1637" s="62">
        <f>IF('Calendario J'!C107="","",'Calendario J'!C107)</f>
        <v/>
      </c>
      <c r="D1637" s="61">
        <f>IF('Calendario J'!D107="","",'Calendario J'!D107)</f>
        <v/>
      </c>
      <c r="E1637" s="62">
        <f>IF('Calendario J'!E107="","",'Calendario J'!E107)</f>
        <v/>
      </c>
      <c r="F1637" s="63">
        <f>IF('Calendario J'!F107="","",'Calendario J'!F107)</f>
        <v/>
      </c>
      <c r="G1637" s="9" t="n"/>
      <c r="H1637" s="9" t="n"/>
      <c r="I1637" s="10" t="n"/>
      <c r="J1637" s="195">
        <f>IF('Calendario J'!J107="","",'Calendario J'!J107)</f>
        <v/>
      </c>
      <c r="K1637" s="64" t="inlineStr">
        <is>
          <t>-</t>
        </is>
      </c>
      <c r="L1637" s="195">
        <f>IF('Calendario J'!L107="","",'Calendario J'!L107)</f>
        <v/>
      </c>
      <c r="M1637" s="196" t="n"/>
      <c r="N1637" s="196" t="n"/>
      <c r="O1637" s="196" t="n"/>
      <c r="P1637" s="196" t="n"/>
      <c r="Q1637" s="196" t="n"/>
      <c r="R1637" s="196" t="n"/>
    </row>
    <row r="1638" ht="15" customHeight="1">
      <c r="A1638" s="141" t="n"/>
      <c r="B1638" s="69">
        <f>IF('Calendario J'!B108="","",'Calendario J'!B108)</f>
        <v/>
      </c>
      <c r="C1638" s="9" t="n"/>
      <c r="D1638" s="9" t="n"/>
      <c r="E1638" s="9" t="n"/>
      <c r="F1638" s="9" t="n"/>
      <c r="G1638" s="9" t="n"/>
      <c r="H1638" s="10" t="n"/>
      <c r="I1638" s="62">
        <f>IF('Calendario J'!I108="","",'Calendario J'!I108)</f>
        <v/>
      </c>
      <c r="J1638" s="141" t="n"/>
      <c r="K1638" s="141" t="n"/>
      <c r="L1638" s="141" t="n"/>
      <c r="M1638" s="141" t="n"/>
      <c r="N1638" s="141" t="n"/>
      <c r="O1638" s="141" t="n"/>
      <c r="P1638" s="141" t="n"/>
      <c r="Q1638" s="141" t="n"/>
      <c r="R1638" s="141" t="n"/>
    </row>
    <row r="1640" ht="20" customHeight="1">
      <c r="A1640" s="127">
        <f>IF('Calendario J'!A110="","",'Calendario J'!A110)</f>
        <v/>
      </c>
      <c r="B1640" s="128">
        <f>IF('Calendario J'!B110="","",'Calendario J'!B110)</f>
        <v/>
      </c>
      <c r="C1640" s="9" t="n"/>
      <c r="D1640" s="9" t="n"/>
      <c r="E1640" s="9" t="n"/>
      <c r="F1640" s="9" t="n"/>
      <c r="G1640" s="9" t="n"/>
      <c r="H1640" s="9" t="n"/>
      <c r="I1640" s="9" t="n"/>
      <c r="J1640" s="9" t="n"/>
      <c r="K1640" s="9" t="n"/>
      <c r="L1640" s="10" t="n"/>
      <c r="M1640" s="214" t="inlineStr">
        <is>
          <t>ARBITRI</t>
        </is>
      </c>
      <c r="N1640" s="9" t="n"/>
      <c r="O1640" s="10" t="n"/>
      <c r="P1640" s="214" t="inlineStr">
        <is>
          <t>UFFICIALI DI CAMPO</t>
        </is>
      </c>
      <c r="Q1640" s="9" t="n"/>
      <c r="R1640" s="10" t="n"/>
    </row>
    <row r="1641" ht="14" customHeight="1">
      <c r="A1641" s="130" t="inlineStr">
        <is>
          <t>Gara N.</t>
        </is>
      </c>
      <c r="B1641" s="130" t="inlineStr">
        <is>
          <t>Squadra A</t>
        </is>
      </c>
      <c r="C1641" s="10" t="n"/>
      <c r="D1641" s="130" t="inlineStr">
        <is>
          <t>Squadra B</t>
        </is>
      </c>
      <c r="E1641" s="10" t="n"/>
      <c r="F1641" s="130" t="inlineStr">
        <is>
          <t>Giorno</t>
        </is>
      </c>
      <c r="G1641" s="130" t="inlineStr">
        <is>
          <t>Data</t>
        </is>
      </c>
      <c r="H1641" s="130" t="inlineStr">
        <is>
          <t>Ora</t>
        </is>
      </c>
      <c r="I1641" s="10" t="n"/>
      <c r="J1641" s="130" t="inlineStr">
        <is>
          <t>Risultato</t>
        </is>
      </c>
      <c r="K1641" s="9" t="n"/>
      <c r="L1641" s="10" t="n"/>
      <c r="M1641" s="215" t="inlineStr">
        <is>
          <t>1o Arbitro</t>
        </is>
      </c>
      <c r="N1641" s="215" t="inlineStr">
        <is>
          <t>2o Arbitro</t>
        </is>
      </c>
      <c r="O1641" s="215" t="inlineStr">
        <is>
          <t>3o Arbitro/Tirocinante</t>
        </is>
      </c>
      <c r="P1641" s="215" t="inlineStr">
        <is>
          <t>Referto</t>
        </is>
      </c>
      <c r="Q1641" s="215" t="inlineStr">
        <is>
          <t>Cronometro</t>
        </is>
      </c>
      <c r="R1641" s="215" t="inlineStr">
        <is>
          <t>Foglio Tiri</t>
        </is>
      </c>
    </row>
    <row r="1642" ht="22" customHeight="1">
      <c r="A1642" s="132">
        <f>IF('Calendario J'!A112="","",'Calendario J'!A112)</f>
        <v/>
      </c>
      <c r="B1642" s="61">
        <f>IF('Calendario J'!B112="","",'Calendario J'!B112)</f>
        <v/>
      </c>
      <c r="C1642" s="62">
        <f>IF('Calendario J'!C112="","",'Calendario J'!C112)</f>
        <v/>
      </c>
      <c r="D1642" s="61">
        <f>IF('Calendario J'!D112="","",'Calendario J'!D112)</f>
        <v/>
      </c>
      <c r="E1642" s="62">
        <f>IF('Calendario J'!E112="","",'Calendario J'!E112)</f>
        <v/>
      </c>
      <c r="F1642" s="63">
        <f>IF('Calendario J'!F112="","",'Calendario J'!F112)</f>
        <v/>
      </c>
      <c r="G1642" s="9" t="n"/>
      <c r="H1642" s="9" t="n"/>
      <c r="I1642" s="10" t="n"/>
      <c r="J1642" s="195">
        <f>IF('Calendario J'!J112="","",'Calendario J'!J112)</f>
        <v/>
      </c>
      <c r="K1642" s="64" t="inlineStr">
        <is>
          <t>-</t>
        </is>
      </c>
      <c r="L1642" s="195">
        <f>IF('Calendario J'!L112="","",'Calendario J'!L112)</f>
        <v/>
      </c>
      <c r="M1642" s="196" t="n"/>
      <c r="N1642" s="196" t="n"/>
      <c r="O1642" s="196" t="n"/>
      <c r="P1642" s="196" t="n"/>
      <c r="Q1642" s="196" t="n"/>
      <c r="R1642" s="196" t="n"/>
    </row>
    <row r="1643" ht="15" customHeight="1">
      <c r="A1643" s="141" t="n"/>
      <c r="B1643" s="69">
        <f>IF('Calendario J'!B113="","",'Calendario J'!B113)</f>
        <v/>
      </c>
      <c r="C1643" s="9" t="n"/>
      <c r="D1643" s="9" t="n"/>
      <c r="E1643" s="9" t="n"/>
      <c r="F1643" s="9" t="n"/>
      <c r="G1643" s="9" t="n"/>
      <c r="H1643" s="10" t="n"/>
      <c r="I1643" s="62">
        <f>IF('Calendario J'!I113="","",'Calendario J'!I113)</f>
        <v/>
      </c>
      <c r="J1643" s="141" t="n"/>
      <c r="K1643" s="141" t="n"/>
      <c r="L1643" s="141" t="n"/>
      <c r="M1643" s="141" t="n"/>
      <c r="N1643" s="141" t="n"/>
      <c r="O1643" s="141" t="n"/>
      <c r="P1643" s="141" t="n"/>
      <c r="Q1643" s="141" t="n"/>
      <c r="R1643" s="141" t="n"/>
    </row>
    <row r="1644" ht="14" customHeight="1">
      <c r="A1644" s="130" t="inlineStr">
        <is>
          <t>Gara N.</t>
        </is>
      </c>
      <c r="B1644" s="130" t="inlineStr">
        <is>
          <t>Squadra A</t>
        </is>
      </c>
      <c r="C1644" s="10" t="n"/>
      <c r="D1644" s="130" t="inlineStr">
        <is>
          <t>Squadra B</t>
        </is>
      </c>
      <c r="E1644" s="10" t="n"/>
      <c r="F1644" s="130" t="inlineStr">
        <is>
          <t>Giorno</t>
        </is>
      </c>
      <c r="G1644" s="130" t="inlineStr">
        <is>
          <t>Data</t>
        </is>
      </c>
      <c r="H1644" s="130" t="inlineStr">
        <is>
          <t>Ora</t>
        </is>
      </c>
      <c r="I1644" s="10" t="n"/>
      <c r="J1644" s="130" t="inlineStr">
        <is>
          <t>Risultato</t>
        </is>
      </c>
      <c r="K1644" s="9" t="n"/>
      <c r="L1644" s="10" t="n"/>
      <c r="M1644" s="215" t="inlineStr">
        <is>
          <t>1o Arbitro</t>
        </is>
      </c>
      <c r="N1644" s="215" t="inlineStr">
        <is>
          <t>2o Arbitro</t>
        </is>
      </c>
      <c r="O1644" s="215" t="inlineStr">
        <is>
          <t>3o Arbitro/Tirocinante</t>
        </is>
      </c>
      <c r="P1644" s="215" t="inlineStr">
        <is>
          <t>Referto</t>
        </is>
      </c>
      <c r="Q1644" s="215" t="inlineStr">
        <is>
          <t>Cronometro</t>
        </is>
      </c>
      <c r="R1644" s="215" t="inlineStr">
        <is>
          <t>Foglio Tiri</t>
        </is>
      </c>
    </row>
    <row r="1645" ht="22" customHeight="1">
      <c r="A1645" s="132">
        <f>IF('Calendario J'!A115="","",'Calendario J'!A115)</f>
        <v/>
      </c>
      <c r="B1645" s="61">
        <f>IF('Calendario J'!B115="","",'Calendario J'!B115)</f>
        <v/>
      </c>
      <c r="C1645" s="62">
        <f>IF('Calendario J'!C115="","",'Calendario J'!C115)</f>
        <v/>
      </c>
      <c r="D1645" s="61">
        <f>IF('Calendario J'!D115="","",'Calendario J'!D115)</f>
        <v/>
      </c>
      <c r="E1645" s="62">
        <f>IF('Calendario J'!E115="","",'Calendario J'!E115)</f>
        <v/>
      </c>
      <c r="F1645" s="63">
        <f>IF('Calendario J'!F115="","",'Calendario J'!F115)</f>
        <v/>
      </c>
      <c r="G1645" s="9" t="n"/>
      <c r="H1645" s="9" t="n"/>
      <c r="I1645" s="10" t="n"/>
      <c r="J1645" s="195">
        <f>IF('Calendario J'!J115="","",'Calendario J'!J115)</f>
        <v/>
      </c>
      <c r="K1645" s="64" t="inlineStr">
        <is>
          <t>-</t>
        </is>
      </c>
      <c r="L1645" s="195">
        <f>IF('Calendario J'!L115="","",'Calendario J'!L115)</f>
        <v/>
      </c>
      <c r="M1645" s="196" t="n"/>
      <c r="N1645" s="196" t="n"/>
      <c r="O1645" s="196" t="n"/>
      <c r="P1645" s="196" t="n"/>
      <c r="Q1645" s="196" t="n"/>
      <c r="R1645" s="196" t="n"/>
    </row>
    <row r="1646" ht="15" customHeight="1">
      <c r="A1646" s="141" t="n"/>
      <c r="B1646" s="69">
        <f>IF('Calendario J'!B116="","",'Calendario J'!B116)</f>
        <v/>
      </c>
      <c r="C1646" s="9" t="n"/>
      <c r="D1646" s="9" t="n"/>
      <c r="E1646" s="9" t="n"/>
      <c r="F1646" s="9" t="n"/>
      <c r="G1646" s="9" t="n"/>
      <c r="H1646" s="10" t="n"/>
      <c r="I1646" s="62">
        <f>IF('Calendario J'!I116="","",'Calendario J'!I116)</f>
        <v/>
      </c>
      <c r="J1646" s="141" t="n"/>
      <c r="K1646" s="141" t="n"/>
      <c r="L1646" s="141" t="n"/>
      <c r="M1646" s="141" t="n"/>
      <c r="N1646" s="141" t="n"/>
      <c r="O1646" s="141" t="n"/>
      <c r="P1646" s="141" t="n"/>
      <c r="Q1646" s="141" t="n"/>
      <c r="R1646" s="141" t="n"/>
    </row>
    <row r="1647" ht="14" customHeight="1">
      <c r="A1647" s="130" t="inlineStr">
        <is>
          <t>Gara N.</t>
        </is>
      </c>
      <c r="B1647" s="130" t="inlineStr">
        <is>
          <t>Squadra A</t>
        </is>
      </c>
      <c r="C1647" s="10" t="n"/>
      <c r="D1647" s="130" t="inlineStr">
        <is>
          <t>Squadra B</t>
        </is>
      </c>
      <c r="E1647" s="10" t="n"/>
      <c r="F1647" s="130" t="inlineStr">
        <is>
          <t>Giorno</t>
        </is>
      </c>
      <c r="G1647" s="130" t="inlineStr">
        <is>
          <t>Data</t>
        </is>
      </c>
      <c r="H1647" s="130" t="inlineStr">
        <is>
          <t>Ora</t>
        </is>
      </c>
      <c r="I1647" s="10" t="n"/>
      <c r="J1647" s="130" t="inlineStr">
        <is>
          <t>Risultato</t>
        </is>
      </c>
      <c r="K1647" s="9" t="n"/>
      <c r="L1647" s="10" t="n"/>
      <c r="M1647" s="215" t="inlineStr">
        <is>
          <t>1o Arbitro</t>
        </is>
      </c>
      <c r="N1647" s="215" t="inlineStr">
        <is>
          <t>2o Arbitro</t>
        </is>
      </c>
      <c r="O1647" s="215" t="inlineStr">
        <is>
          <t>3o Arbitro/Tirocinante</t>
        </is>
      </c>
      <c r="P1647" s="215" t="inlineStr">
        <is>
          <t>Referto</t>
        </is>
      </c>
      <c r="Q1647" s="215" t="inlineStr">
        <is>
          <t>Cronometro</t>
        </is>
      </c>
      <c r="R1647" s="215" t="inlineStr">
        <is>
          <t>Foglio Tiri</t>
        </is>
      </c>
    </row>
    <row r="1648" ht="22" customHeight="1">
      <c r="A1648" s="132">
        <f>IF('Calendario J'!A118="","",'Calendario J'!A118)</f>
        <v/>
      </c>
      <c r="B1648" s="61">
        <f>IF('Calendario J'!B118="","",'Calendario J'!B118)</f>
        <v/>
      </c>
      <c r="C1648" s="62">
        <f>IF('Calendario J'!C118="","",'Calendario J'!C118)</f>
        <v/>
      </c>
      <c r="D1648" s="61">
        <f>IF('Calendario J'!D118="","",'Calendario J'!D118)</f>
        <v/>
      </c>
      <c r="E1648" s="62">
        <f>IF('Calendario J'!E118="","",'Calendario J'!E118)</f>
        <v/>
      </c>
      <c r="F1648" s="63">
        <f>IF('Calendario J'!F118="","",'Calendario J'!F118)</f>
        <v/>
      </c>
      <c r="G1648" s="9" t="n"/>
      <c r="H1648" s="9" t="n"/>
      <c r="I1648" s="10" t="n"/>
      <c r="J1648" s="195">
        <f>IF('Calendario J'!J118="","",'Calendario J'!J118)</f>
        <v/>
      </c>
      <c r="K1648" s="64" t="inlineStr">
        <is>
          <t>-</t>
        </is>
      </c>
      <c r="L1648" s="195">
        <f>IF('Calendario J'!L118="","",'Calendario J'!L118)</f>
        <v/>
      </c>
      <c r="M1648" s="196" t="n"/>
      <c r="N1648" s="196" t="n"/>
      <c r="O1648" s="196" t="n"/>
      <c r="P1648" s="196" t="n"/>
      <c r="Q1648" s="196" t="n"/>
      <c r="R1648" s="196" t="n"/>
    </row>
    <row r="1649" ht="15" customHeight="1">
      <c r="A1649" s="141" t="n"/>
      <c r="B1649" s="69">
        <f>IF('Calendario J'!B119="","",'Calendario J'!B119)</f>
        <v/>
      </c>
      <c r="C1649" s="9" t="n"/>
      <c r="D1649" s="9" t="n"/>
      <c r="E1649" s="9" t="n"/>
      <c r="F1649" s="9" t="n"/>
      <c r="G1649" s="9" t="n"/>
      <c r="H1649" s="10" t="n"/>
      <c r="I1649" s="62">
        <f>IF('Calendario J'!I119="","",'Calendario J'!I119)</f>
        <v/>
      </c>
      <c r="J1649" s="141" t="n"/>
      <c r="K1649" s="141" t="n"/>
      <c r="L1649" s="141" t="n"/>
      <c r="M1649" s="141" t="n"/>
      <c r="N1649" s="141" t="n"/>
      <c r="O1649" s="141" t="n"/>
      <c r="P1649" s="141" t="n"/>
      <c r="Q1649" s="141" t="n"/>
      <c r="R1649" s="141" t="n"/>
    </row>
    <row r="1650" ht="14" customHeight="1">
      <c r="A1650" s="130" t="inlineStr">
        <is>
          <t>Gara N.</t>
        </is>
      </c>
      <c r="B1650" s="130" t="inlineStr">
        <is>
          <t>Squadra A</t>
        </is>
      </c>
      <c r="C1650" s="10" t="n"/>
      <c r="D1650" s="130" t="inlineStr">
        <is>
          <t>Squadra B</t>
        </is>
      </c>
      <c r="E1650" s="10" t="n"/>
      <c r="F1650" s="130" t="inlineStr">
        <is>
          <t>Giorno</t>
        </is>
      </c>
      <c r="G1650" s="130" t="inlineStr">
        <is>
          <t>Data</t>
        </is>
      </c>
      <c r="H1650" s="130" t="inlineStr">
        <is>
          <t>Ora</t>
        </is>
      </c>
      <c r="I1650" s="10" t="n"/>
      <c r="J1650" s="130" t="inlineStr">
        <is>
          <t>Risultato</t>
        </is>
      </c>
      <c r="K1650" s="9" t="n"/>
      <c r="L1650" s="10" t="n"/>
      <c r="M1650" s="215" t="inlineStr">
        <is>
          <t>1o Arbitro</t>
        </is>
      </c>
      <c r="N1650" s="215" t="inlineStr">
        <is>
          <t>2o Arbitro</t>
        </is>
      </c>
      <c r="O1650" s="215" t="inlineStr">
        <is>
          <t>3o Arbitro/Tirocinante</t>
        </is>
      </c>
      <c r="P1650" s="215" t="inlineStr">
        <is>
          <t>Referto</t>
        </is>
      </c>
      <c r="Q1650" s="215" t="inlineStr">
        <is>
          <t>Cronometro</t>
        </is>
      </c>
      <c r="R1650" s="215" t="inlineStr">
        <is>
          <t>Foglio Tiri</t>
        </is>
      </c>
    </row>
    <row r="1651" ht="22" customHeight="1">
      <c r="A1651" s="132">
        <f>IF('Calendario J'!A121="","",'Calendario J'!A121)</f>
        <v/>
      </c>
      <c r="B1651" s="61">
        <f>IF('Calendario J'!B121="","",'Calendario J'!B121)</f>
        <v/>
      </c>
      <c r="C1651" s="62">
        <f>IF('Calendario J'!C121="","",'Calendario J'!C121)</f>
        <v/>
      </c>
      <c r="D1651" s="61">
        <f>IF('Calendario J'!D121="","",'Calendario J'!D121)</f>
        <v/>
      </c>
      <c r="E1651" s="62">
        <f>IF('Calendario J'!E121="","",'Calendario J'!E121)</f>
        <v/>
      </c>
      <c r="F1651" s="63">
        <f>IF('Calendario J'!F121="","",'Calendario J'!F121)</f>
        <v/>
      </c>
      <c r="G1651" s="9" t="n"/>
      <c r="H1651" s="9" t="n"/>
      <c r="I1651" s="10" t="n"/>
      <c r="J1651" s="195">
        <f>IF('Calendario J'!J121="","",'Calendario J'!J121)</f>
        <v/>
      </c>
      <c r="K1651" s="64" t="inlineStr">
        <is>
          <t>-</t>
        </is>
      </c>
      <c r="L1651" s="195">
        <f>IF('Calendario J'!L121="","",'Calendario J'!L121)</f>
        <v/>
      </c>
      <c r="M1651" s="196" t="n"/>
      <c r="N1651" s="196" t="n"/>
      <c r="O1651" s="196" t="n"/>
      <c r="P1651" s="196" t="n"/>
      <c r="Q1651" s="196" t="n"/>
      <c r="R1651" s="196" t="n"/>
    </row>
    <row r="1652" ht="15" customHeight="1">
      <c r="A1652" s="141" t="n"/>
      <c r="B1652" s="69">
        <f>IF('Calendario J'!B122="","",'Calendario J'!B122)</f>
        <v/>
      </c>
      <c r="C1652" s="9" t="n"/>
      <c r="D1652" s="9" t="n"/>
      <c r="E1652" s="9" t="n"/>
      <c r="F1652" s="9" t="n"/>
      <c r="G1652" s="9" t="n"/>
      <c r="H1652" s="10" t="n"/>
      <c r="I1652" s="62">
        <f>IF('Calendario J'!I122="","",'Calendario J'!I122)</f>
        <v/>
      </c>
      <c r="J1652" s="141" t="n"/>
      <c r="K1652" s="141" t="n"/>
      <c r="L1652" s="141" t="n"/>
      <c r="M1652" s="141" t="n"/>
      <c r="N1652" s="141" t="n"/>
      <c r="O1652" s="141" t="n"/>
      <c r="P1652" s="141" t="n"/>
      <c r="Q1652" s="141" t="n"/>
      <c r="R1652" s="141" t="n"/>
    </row>
    <row r="1653" ht="14" customHeight="1">
      <c r="A1653" s="130" t="inlineStr">
        <is>
          <t>Gara N.</t>
        </is>
      </c>
      <c r="B1653" s="130" t="inlineStr">
        <is>
          <t>Squadra A</t>
        </is>
      </c>
      <c r="C1653" s="10" t="n"/>
      <c r="D1653" s="130" t="inlineStr">
        <is>
          <t>Squadra B</t>
        </is>
      </c>
      <c r="E1653" s="10" t="n"/>
      <c r="F1653" s="130" t="inlineStr">
        <is>
          <t>Giorno</t>
        </is>
      </c>
      <c r="G1653" s="130" t="inlineStr">
        <is>
          <t>Data</t>
        </is>
      </c>
      <c r="H1653" s="130" t="inlineStr">
        <is>
          <t>Ora</t>
        </is>
      </c>
      <c r="I1653" s="10" t="n"/>
      <c r="J1653" s="130" t="inlineStr">
        <is>
          <t>Risultato</t>
        </is>
      </c>
      <c r="K1653" s="9" t="n"/>
      <c r="L1653" s="10" t="n"/>
      <c r="M1653" s="215" t="inlineStr">
        <is>
          <t>1o Arbitro</t>
        </is>
      </c>
      <c r="N1653" s="215" t="inlineStr">
        <is>
          <t>2o Arbitro</t>
        </is>
      </c>
      <c r="O1653" s="215" t="inlineStr">
        <is>
          <t>3o Arbitro/Tirocinante</t>
        </is>
      </c>
      <c r="P1653" s="215" t="inlineStr">
        <is>
          <t>Referto</t>
        </is>
      </c>
      <c r="Q1653" s="215" t="inlineStr">
        <is>
          <t>Cronometro</t>
        </is>
      </c>
      <c r="R1653" s="215" t="inlineStr">
        <is>
          <t>Foglio Tiri</t>
        </is>
      </c>
    </row>
    <row r="1654" ht="22" customHeight="1">
      <c r="A1654" s="132">
        <f>IF('Calendario J'!A124="","",'Calendario J'!A124)</f>
        <v/>
      </c>
      <c r="B1654" s="61">
        <f>IF('Calendario J'!B124="","",'Calendario J'!B124)</f>
        <v/>
      </c>
      <c r="C1654" s="62">
        <f>IF('Calendario J'!C124="","",'Calendario J'!C124)</f>
        <v/>
      </c>
      <c r="D1654" s="61">
        <f>IF('Calendario J'!D124="","",'Calendario J'!D124)</f>
        <v/>
      </c>
      <c r="E1654" s="62">
        <f>IF('Calendario J'!E124="","",'Calendario J'!E124)</f>
        <v/>
      </c>
      <c r="F1654" s="63">
        <f>IF('Calendario J'!F124="","",'Calendario J'!F124)</f>
        <v/>
      </c>
      <c r="G1654" s="9" t="n"/>
      <c r="H1654" s="9" t="n"/>
      <c r="I1654" s="10" t="n"/>
      <c r="J1654" s="195">
        <f>IF('Calendario J'!J124="","",'Calendario J'!J124)</f>
        <v/>
      </c>
      <c r="K1654" s="64" t="inlineStr">
        <is>
          <t>-</t>
        </is>
      </c>
      <c r="L1654" s="195">
        <f>IF('Calendario J'!L124="","",'Calendario J'!L124)</f>
        <v/>
      </c>
      <c r="M1654" s="196" t="n"/>
      <c r="N1654" s="196" t="n"/>
      <c r="O1654" s="196" t="n"/>
      <c r="P1654" s="196" t="n"/>
      <c r="Q1654" s="196" t="n"/>
      <c r="R1654" s="196" t="n"/>
    </row>
    <row r="1655" ht="15" customHeight="1">
      <c r="A1655" s="141" t="n"/>
      <c r="B1655" s="69">
        <f>IF('Calendario J'!B125="","",'Calendario J'!B125)</f>
        <v/>
      </c>
      <c r="C1655" s="9" t="n"/>
      <c r="D1655" s="9" t="n"/>
      <c r="E1655" s="9" t="n"/>
      <c r="F1655" s="9" t="n"/>
      <c r="G1655" s="9" t="n"/>
      <c r="H1655" s="10" t="n"/>
      <c r="I1655" s="62">
        <f>IF('Calendario J'!I125="","",'Calendario J'!I125)</f>
        <v/>
      </c>
      <c r="J1655" s="141" t="n"/>
      <c r="K1655" s="141" t="n"/>
      <c r="L1655" s="141" t="n"/>
      <c r="M1655" s="141" t="n"/>
      <c r="N1655" s="141" t="n"/>
      <c r="O1655" s="141" t="n"/>
      <c r="P1655" s="141" t="n"/>
      <c r="Q1655" s="141" t="n"/>
      <c r="R1655" s="141" t="n"/>
    </row>
    <row r="1657" ht="20" customHeight="1">
      <c r="A1657" s="127">
        <f>IF('Calendario J'!A127="","",'Calendario J'!A127)</f>
        <v/>
      </c>
      <c r="B1657" s="128">
        <f>IF('Calendario J'!B127="","",'Calendario J'!B127)</f>
        <v/>
      </c>
      <c r="C1657" s="9" t="n"/>
      <c r="D1657" s="9" t="n"/>
      <c r="E1657" s="9" t="n"/>
      <c r="F1657" s="9" t="n"/>
      <c r="G1657" s="9" t="n"/>
      <c r="H1657" s="9" t="n"/>
      <c r="I1657" s="9" t="n"/>
      <c r="J1657" s="9" t="n"/>
      <c r="K1657" s="9" t="n"/>
      <c r="L1657" s="10" t="n"/>
      <c r="M1657" s="214" t="inlineStr">
        <is>
          <t>ARBITRI</t>
        </is>
      </c>
      <c r="N1657" s="9" t="n"/>
      <c r="O1657" s="10" t="n"/>
      <c r="P1657" s="214" t="inlineStr">
        <is>
          <t>UFFICIALI DI CAMPO</t>
        </is>
      </c>
      <c r="Q1657" s="9" t="n"/>
      <c r="R1657" s="10" t="n"/>
    </row>
    <row r="1658" ht="14" customHeight="1">
      <c r="A1658" s="130" t="inlineStr">
        <is>
          <t>Gara N.</t>
        </is>
      </c>
      <c r="B1658" s="130" t="inlineStr">
        <is>
          <t>Squadra A</t>
        </is>
      </c>
      <c r="C1658" s="10" t="n"/>
      <c r="D1658" s="130" t="inlineStr">
        <is>
          <t>Squadra B</t>
        </is>
      </c>
      <c r="E1658" s="10" t="n"/>
      <c r="F1658" s="130" t="inlineStr">
        <is>
          <t>Giorno</t>
        </is>
      </c>
      <c r="G1658" s="130" t="inlineStr">
        <is>
          <t>Data</t>
        </is>
      </c>
      <c r="H1658" s="130" t="inlineStr">
        <is>
          <t>Ora</t>
        </is>
      </c>
      <c r="I1658" s="10" t="n"/>
      <c r="J1658" s="130" t="inlineStr">
        <is>
          <t>Risultato</t>
        </is>
      </c>
      <c r="K1658" s="9" t="n"/>
      <c r="L1658" s="10" t="n"/>
      <c r="M1658" s="215" t="inlineStr">
        <is>
          <t>1o Arbitro</t>
        </is>
      </c>
      <c r="N1658" s="215" t="inlineStr">
        <is>
          <t>2o Arbitro</t>
        </is>
      </c>
      <c r="O1658" s="215" t="inlineStr">
        <is>
          <t>3o Arbitro/Tirocinante</t>
        </is>
      </c>
      <c r="P1658" s="215" t="inlineStr">
        <is>
          <t>Referto</t>
        </is>
      </c>
      <c r="Q1658" s="215" t="inlineStr">
        <is>
          <t>Cronometro</t>
        </is>
      </c>
      <c r="R1658" s="215" t="inlineStr">
        <is>
          <t>Foglio Tiri</t>
        </is>
      </c>
    </row>
    <row r="1659" ht="22" customHeight="1">
      <c r="A1659" s="132">
        <f>IF('Calendario J'!A129="","",'Calendario J'!A129)</f>
        <v/>
      </c>
      <c r="B1659" s="61">
        <f>IF('Calendario J'!B129="","",'Calendario J'!B129)</f>
        <v/>
      </c>
      <c r="C1659" s="62">
        <f>IF('Calendario J'!C129="","",'Calendario J'!C129)</f>
        <v/>
      </c>
      <c r="D1659" s="61">
        <f>IF('Calendario J'!D129="","",'Calendario J'!D129)</f>
        <v/>
      </c>
      <c r="E1659" s="62">
        <f>IF('Calendario J'!E129="","",'Calendario J'!E129)</f>
        <v/>
      </c>
      <c r="F1659" s="63">
        <f>IF('Calendario J'!F129="","",'Calendario J'!F129)</f>
        <v/>
      </c>
      <c r="G1659" s="9" t="n"/>
      <c r="H1659" s="9" t="n"/>
      <c r="I1659" s="10" t="n"/>
      <c r="J1659" s="195">
        <f>IF('Calendario J'!J129="","",'Calendario J'!J129)</f>
        <v/>
      </c>
      <c r="K1659" s="64" t="inlineStr">
        <is>
          <t>-</t>
        </is>
      </c>
      <c r="L1659" s="195">
        <f>IF('Calendario J'!L129="","",'Calendario J'!L129)</f>
        <v/>
      </c>
      <c r="M1659" s="196" t="n"/>
      <c r="N1659" s="196" t="n"/>
      <c r="O1659" s="196" t="n"/>
      <c r="P1659" s="196" t="n"/>
      <c r="Q1659" s="196" t="n"/>
      <c r="R1659" s="196" t="n"/>
    </row>
    <row r="1660" ht="15" customHeight="1">
      <c r="A1660" s="141" t="n"/>
      <c r="B1660" s="69">
        <f>IF('Calendario J'!B130="","",'Calendario J'!B130)</f>
        <v/>
      </c>
      <c r="C1660" s="9" t="n"/>
      <c r="D1660" s="9" t="n"/>
      <c r="E1660" s="9" t="n"/>
      <c r="F1660" s="9" t="n"/>
      <c r="G1660" s="9" t="n"/>
      <c r="H1660" s="10" t="n"/>
      <c r="I1660" s="62">
        <f>IF('Calendario J'!I130="","",'Calendario J'!I130)</f>
        <v/>
      </c>
      <c r="J1660" s="141" t="n"/>
      <c r="K1660" s="141" t="n"/>
      <c r="L1660" s="141" t="n"/>
      <c r="M1660" s="141" t="n"/>
      <c r="N1660" s="141" t="n"/>
      <c r="O1660" s="141" t="n"/>
      <c r="P1660" s="141" t="n"/>
      <c r="Q1660" s="141" t="n"/>
      <c r="R1660" s="141" t="n"/>
    </row>
    <row r="1661" ht="14" customHeight="1">
      <c r="A1661" s="130" t="inlineStr">
        <is>
          <t>Gara N.</t>
        </is>
      </c>
      <c r="B1661" s="130" t="inlineStr">
        <is>
          <t>Squadra A</t>
        </is>
      </c>
      <c r="C1661" s="10" t="n"/>
      <c r="D1661" s="130" t="inlineStr">
        <is>
          <t>Squadra B</t>
        </is>
      </c>
      <c r="E1661" s="10" t="n"/>
      <c r="F1661" s="130" t="inlineStr">
        <is>
          <t>Giorno</t>
        </is>
      </c>
      <c r="G1661" s="130" t="inlineStr">
        <is>
          <t>Data</t>
        </is>
      </c>
      <c r="H1661" s="130" t="inlineStr">
        <is>
          <t>Ora</t>
        </is>
      </c>
      <c r="I1661" s="10" t="n"/>
      <c r="J1661" s="130" t="inlineStr">
        <is>
          <t>Risultato</t>
        </is>
      </c>
      <c r="K1661" s="9" t="n"/>
      <c r="L1661" s="10" t="n"/>
      <c r="M1661" s="215" t="inlineStr">
        <is>
          <t>1o Arbitro</t>
        </is>
      </c>
      <c r="N1661" s="215" t="inlineStr">
        <is>
          <t>2o Arbitro</t>
        </is>
      </c>
      <c r="O1661" s="215" t="inlineStr">
        <is>
          <t>3o Arbitro/Tirocinante</t>
        </is>
      </c>
      <c r="P1661" s="215" t="inlineStr">
        <is>
          <t>Referto</t>
        </is>
      </c>
      <c r="Q1661" s="215" t="inlineStr">
        <is>
          <t>Cronometro</t>
        </is>
      </c>
      <c r="R1661" s="215" t="inlineStr">
        <is>
          <t>Foglio Tiri</t>
        </is>
      </c>
    </row>
    <row r="1662" ht="22" customHeight="1">
      <c r="A1662" s="132">
        <f>IF('Calendario J'!A132="","",'Calendario J'!A132)</f>
        <v/>
      </c>
      <c r="B1662" s="61">
        <f>IF('Calendario J'!B132="","",'Calendario J'!B132)</f>
        <v/>
      </c>
      <c r="C1662" s="62">
        <f>IF('Calendario J'!C132="","",'Calendario J'!C132)</f>
        <v/>
      </c>
      <c r="D1662" s="61">
        <f>IF('Calendario J'!D132="","",'Calendario J'!D132)</f>
        <v/>
      </c>
      <c r="E1662" s="62">
        <f>IF('Calendario J'!E132="","",'Calendario J'!E132)</f>
        <v/>
      </c>
      <c r="F1662" s="63">
        <f>IF('Calendario J'!F132="","",'Calendario J'!F132)</f>
        <v/>
      </c>
      <c r="G1662" s="9" t="n"/>
      <c r="H1662" s="9" t="n"/>
      <c r="I1662" s="10" t="n"/>
      <c r="J1662" s="195">
        <f>IF('Calendario J'!J132="","",'Calendario J'!J132)</f>
        <v/>
      </c>
      <c r="K1662" s="64" t="inlineStr">
        <is>
          <t>-</t>
        </is>
      </c>
      <c r="L1662" s="195">
        <f>IF('Calendario J'!L132="","",'Calendario J'!L132)</f>
        <v/>
      </c>
      <c r="M1662" s="196" t="n"/>
      <c r="N1662" s="196" t="n"/>
      <c r="O1662" s="196" t="n"/>
      <c r="P1662" s="196" t="n"/>
      <c r="Q1662" s="196" t="n"/>
      <c r="R1662" s="196" t="n"/>
    </row>
    <row r="1663" ht="15" customHeight="1">
      <c r="A1663" s="141" t="n"/>
      <c r="B1663" s="69">
        <f>IF('Calendario J'!B133="","",'Calendario J'!B133)</f>
        <v/>
      </c>
      <c r="C1663" s="9" t="n"/>
      <c r="D1663" s="9" t="n"/>
      <c r="E1663" s="9" t="n"/>
      <c r="F1663" s="9" t="n"/>
      <c r="G1663" s="9" t="n"/>
      <c r="H1663" s="10" t="n"/>
      <c r="I1663" s="62">
        <f>IF('Calendario J'!I133="","",'Calendario J'!I133)</f>
        <v/>
      </c>
      <c r="J1663" s="141" t="n"/>
      <c r="K1663" s="141" t="n"/>
      <c r="L1663" s="141" t="n"/>
      <c r="M1663" s="141" t="n"/>
      <c r="N1663" s="141" t="n"/>
      <c r="O1663" s="141" t="n"/>
      <c r="P1663" s="141" t="n"/>
      <c r="Q1663" s="141" t="n"/>
      <c r="R1663" s="141" t="n"/>
    </row>
    <row r="1664" ht="14" customHeight="1">
      <c r="A1664" s="130" t="inlineStr">
        <is>
          <t>Gara N.</t>
        </is>
      </c>
      <c r="B1664" s="130" t="inlineStr">
        <is>
          <t>Squadra A</t>
        </is>
      </c>
      <c r="C1664" s="10" t="n"/>
      <c r="D1664" s="130" t="inlineStr">
        <is>
          <t>Squadra B</t>
        </is>
      </c>
      <c r="E1664" s="10" t="n"/>
      <c r="F1664" s="130" t="inlineStr">
        <is>
          <t>Giorno</t>
        </is>
      </c>
      <c r="G1664" s="130" t="inlineStr">
        <is>
          <t>Data</t>
        </is>
      </c>
      <c r="H1664" s="130" t="inlineStr">
        <is>
          <t>Ora</t>
        </is>
      </c>
      <c r="I1664" s="10" t="n"/>
      <c r="J1664" s="130" t="inlineStr">
        <is>
          <t>Risultato</t>
        </is>
      </c>
      <c r="K1664" s="9" t="n"/>
      <c r="L1664" s="10" t="n"/>
      <c r="M1664" s="215" t="inlineStr">
        <is>
          <t>1o Arbitro</t>
        </is>
      </c>
      <c r="N1664" s="215" t="inlineStr">
        <is>
          <t>2o Arbitro</t>
        </is>
      </c>
      <c r="O1664" s="215" t="inlineStr">
        <is>
          <t>3o Arbitro/Tirocinante</t>
        </is>
      </c>
      <c r="P1664" s="215" t="inlineStr">
        <is>
          <t>Referto</t>
        </is>
      </c>
      <c r="Q1664" s="215" t="inlineStr">
        <is>
          <t>Cronometro</t>
        </is>
      </c>
      <c r="R1664" s="215" t="inlineStr">
        <is>
          <t>Foglio Tiri</t>
        </is>
      </c>
    </row>
    <row r="1665" ht="22" customHeight="1">
      <c r="A1665" s="132">
        <f>IF('Calendario J'!A135="","",'Calendario J'!A135)</f>
        <v/>
      </c>
      <c r="B1665" s="61">
        <f>IF('Calendario J'!B135="","",'Calendario J'!B135)</f>
        <v/>
      </c>
      <c r="C1665" s="62">
        <f>IF('Calendario J'!C135="","",'Calendario J'!C135)</f>
        <v/>
      </c>
      <c r="D1665" s="61">
        <f>IF('Calendario J'!D135="","",'Calendario J'!D135)</f>
        <v/>
      </c>
      <c r="E1665" s="62">
        <f>IF('Calendario J'!E135="","",'Calendario J'!E135)</f>
        <v/>
      </c>
      <c r="F1665" s="63">
        <f>IF('Calendario J'!F135="","",'Calendario J'!F135)</f>
        <v/>
      </c>
      <c r="G1665" s="9" t="n"/>
      <c r="H1665" s="9" t="n"/>
      <c r="I1665" s="10" t="n"/>
      <c r="J1665" s="195">
        <f>IF('Calendario J'!J135="","",'Calendario J'!J135)</f>
        <v/>
      </c>
      <c r="K1665" s="64" t="inlineStr">
        <is>
          <t>-</t>
        </is>
      </c>
      <c r="L1665" s="195">
        <f>IF('Calendario J'!L135="","",'Calendario J'!L135)</f>
        <v/>
      </c>
      <c r="M1665" s="196" t="n"/>
      <c r="N1665" s="196" t="n"/>
      <c r="O1665" s="196" t="n"/>
      <c r="P1665" s="196" t="n"/>
      <c r="Q1665" s="196" t="n"/>
      <c r="R1665" s="196" t="n"/>
    </row>
    <row r="1666" ht="15" customHeight="1">
      <c r="A1666" s="141" t="n"/>
      <c r="B1666" s="69">
        <f>IF('Calendario J'!B136="","",'Calendario J'!B136)</f>
        <v/>
      </c>
      <c r="C1666" s="9" t="n"/>
      <c r="D1666" s="9" t="n"/>
      <c r="E1666" s="9" t="n"/>
      <c r="F1666" s="9" t="n"/>
      <c r="G1666" s="9" t="n"/>
      <c r="H1666" s="10" t="n"/>
      <c r="I1666" s="62">
        <f>IF('Calendario J'!I136="","",'Calendario J'!I136)</f>
        <v/>
      </c>
      <c r="J1666" s="141" t="n"/>
      <c r="K1666" s="141" t="n"/>
      <c r="L1666" s="141" t="n"/>
      <c r="M1666" s="141" t="n"/>
      <c r="N1666" s="141" t="n"/>
      <c r="O1666" s="141" t="n"/>
      <c r="P1666" s="141" t="n"/>
      <c r="Q1666" s="141" t="n"/>
      <c r="R1666" s="141" t="n"/>
    </row>
    <row r="1667" ht="14" customHeight="1">
      <c r="A1667" s="130" t="inlineStr">
        <is>
          <t>Gara N.</t>
        </is>
      </c>
      <c r="B1667" s="130" t="inlineStr">
        <is>
          <t>Squadra A</t>
        </is>
      </c>
      <c r="C1667" s="10" t="n"/>
      <c r="D1667" s="130" t="inlineStr">
        <is>
          <t>Squadra B</t>
        </is>
      </c>
      <c r="E1667" s="10" t="n"/>
      <c r="F1667" s="130" t="inlineStr">
        <is>
          <t>Giorno</t>
        </is>
      </c>
      <c r="G1667" s="130" t="inlineStr">
        <is>
          <t>Data</t>
        </is>
      </c>
      <c r="H1667" s="130" t="inlineStr">
        <is>
          <t>Ora</t>
        </is>
      </c>
      <c r="I1667" s="10" t="n"/>
      <c r="J1667" s="130" t="inlineStr">
        <is>
          <t>Risultato</t>
        </is>
      </c>
      <c r="K1667" s="9" t="n"/>
      <c r="L1667" s="10" t="n"/>
      <c r="M1667" s="215" t="inlineStr">
        <is>
          <t>1o Arbitro</t>
        </is>
      </c>
      <c r="N1667" s="215" t="inlineStr">
        <is>
          <t>2o Arbitro</t>
        </is>
      </c>
      <c r="O1667" s="215" t="inlineStr">
        <is>
          <t>3o Arbitro/Tirocinante</t>
        </is>
      </c>
      <c r="P1667" s="215" t="inlineStr">
        <is>
          <t>Referto</t>
        </is>
      </c>
      <c r="Q1667" s="215" t="inlineStr">
        <is>
          <t>Cronometro</t>
        </is>
      </c>
      <c r="R1667" s="215" t="inlineStr">
        <is>
          <t>Foglio Tiri</t>
        </is>
      </c>
    </row>
    <row r="1668" ht="22" customHeight="1">
      <c r="A1668" s="132">
        <f>IF('Calendario J'!A138="","",'Calendario J'!A138)</f>
        <v/>
      </c>
      <c r="B1668" s="61">
        <f>IF('Calendario J'!B138="","",'Calendario J'!B138)</f>
        <v/>
      </c>
      <c r="C1668" s="62">
        <f>IF('Calendario J'!C138="","",'Calendario J'!C138)</f>
        <v/>
      </c>
      <c r="D1668" s="61">
        <f>IF('Calendario J'!D138="","",'Calendario J'!D138)</f>
        <v/>
      </c>
      <c r="E1668" s="62">
        <f>IF('Calendario J'!E138="","",'Calendario J'!E138)</f>
        <v/>
      </c>
      <c r="F1668" s="63">
        <f>IF('Calendario J'!F138="","",'Calendario J'!F138)</f>
        <v/>
      </c>
      <c r="G1668" s="9" t="n"/>
      <c r="H1668" s="9" t="n"/>
      <c r="I1668" s="10" t="n"/>
      <c r="J1668" s="195">
        <f>IF('Calendario J'!J138="","",'Calendario J'!J138)</f>
        <v/>
      </c>
      <c r="K1668" s="64" t="inlineStr">
        <is>
          <t>-</t>
        </is>
      </c>
      <c r="L1668" s="195">
        <f>IF('Calendario J'!L138="","",'Calendario J'!L138)</f>
        <v/>
      </c>
      <c r="M1668" s="196" t="n"/>
      <c r="N1668" s="196" t="n"/>
      <c r="O1668" s="196" t="n"/>
      <c r="P1668" s="196" t="n"/>
      <c r="Q1668" s="196" t="n"/>
      <c r="R1668" s="196" t="n"/>
    </row>
    <row r="1669" ht="15" customHeight="1">
      <c r="A1669" s="141" t="n"/>
      <c r="B1669" s="69">
        <f>IF('Calendario J'!B139="","",'Calendario J'!B139)</f>
        <v/>
      </c>
      <c r="C1669" s="9" t="n"/>
      <c r="D1669" s="9" t="n"/>
      <c r="E1669" s="9" t="n"/>
      <c r="F1669" s="9" t="n"/>
      <c r="G1669" s="9" t="n"/>
      <c r="H1669" s="10" t="n"/>
      <c r="I1669" s="62">
        <f>IF('Calendario J'!I139="","",'Calendario J'!I139)</f>
        <v/>
      </c>
      <c r="J1669" s="141" t="n"/>
      <c r="K1669" s="141" t="n"/>
      <c r="L1669" s="141" t="n"/>
      <c r="M1669" s="141" t="n"/>
      <c r="N1669" s="141" t="n"/>
      <c r="O1669" s="141" t="n"/>
      <c r="P1669" s="141" t="n"/>
      <c r="Q1669" s="141" t="n"/>
      <c r="R1669" s="141" t="n"/>
    </row>
    <row r="1670" ht="14" customHeight="1">
      <c r="A1670" s="130" t="inlineStr">
        <is>
          <t>Gara N.</t>
        </is>
      </c>
      <c r="B1670" s="130" t="inlineStr">
        <is>
          <t>Squadra A</t>
        </is>
      </c>
      <c r="C1670" s="10" t="n"/>
      <c r="D1670" s="130" t="inlineStr">
        <is>
          <t>Squadra B</t>
        </is>
      </c>
      <c r="E1670" s="10" t="n"/>
      <c r="F1670" s="130" t="inlineStr">
        <is>
          <t>Giorno</t>
        </is>
      </c>
      <c r="G1670" s="130" t="inlineStr">
        <is>
          <t>Data</t>
        </is>
      </c>
      <c r="H1670" s="130" t="inlineStr">
        <is>
          <t>Ora</t>
        </is>
      </c>
      <c r="I1670" s="10" t="n"/>
      <c r="J1670" s="130" t="inlineStr">
        <is>
          <t>Risultato</t>
        </is>
      </c>
      <c r="K1670" s="9" t="n"/>
      <c r="L1670" s="10" t="n"/>
      <c r="M1670" s="215" t="inlineStr">
        <is>
          <t>1o Arbitro</t>
        </is>
      </c>
      <c r="N1670" s="215" t="inlineStr">
        <is>
          <t>2o Arbitro</t>
        </is>
      </c>
      <c r="O1670" s="215" t="inlineStr">
        <is>
          <t>3o Arbitro/Tirocinante</t>
        </is>
      </c>
      <c r="P1670" s="215" t="inlineStr">
        <is>
          <t>Referto</t>
        </is>
      </c>
      <c r="Q1670" s="215" t="inlineStr">
        <is>
          <t>Cronometro</t>
        </is>
      </c>
      <c r="R1670" s="215" t="inlineStr">
        <is>
          <t>Foglio Tiri</t>
        </is>
      </c>
    </row>
    <row r="1671" ht="22" customHeight="1">
      <c r="A1671" s="132">
        <f>IF('Calendario J'!A141="","",'Calendario J'!A141)</f>
        <v/>
      </c>
      <c r="B1671" s="61">
        <f>IF('Calendario J'!B141="","",'Calendario J'!B141)</f>
        <v/>
      </c>
      <c r="C1671" s="62">
        <f>IF('Calendario J'!C141="","",'Calendario J'!C141)</f>
        <v/>
      </c>
      <c r="D1671" s="61">
        <f>IF('Calendario J'!D141="","",'Calendario J'!D141)</f>
        <v/>
      </c>
      <c r="E1671" s="62">
        <f>IF('Calendario J'!E141="","",'Calendario J'!E141)</f>
        <v/>
      </c>
      <c r="F1671" s="63">
        <f>IF('Calendario J'!F141="","",'Calendario J'!F141)</f>
        <v/>
      </c>
      <c r="G1671" s="9" t="n"/>
      <c r="H1671" s="9" t="n"/>
      <c r="I1671" s="10" t="n"/>
      <c r="J1671" s="195">
        <f>IF('Calendario J'!J141="","",'Calendario J'!J141)</f>
        <v/>
      </c>
      <c r="K1671" s="64" t="inlineStr">
        <is>
          <t>-</t>
        </is>
      </c>
      <c r="L1671" s="195">
        <f>IF('Calendario J'!L141="","",'Calendario J'!L141)</f>
        <v/>
      </c>
      <c r="M1671" s="196" t="n"/>
      <c r="N1671" s="196" t="n"/>
      <c r="O1671" s="196" t="n"/>
      <c r="P1671" s="196" t="n"/>
      <c r="Q1671" s="196" t="n"/>
      <c r="R1671" s="196" t="n"/>
    </row>
    <row r="1672" ht="15" customHeight="1">
      <c r="A1672" s="141" t="n"/>
      <c r="B1672" s="69">
        <f>IF('Calendario J'!B142="","",'Calendario J'!B142)</f>
        <v/>
      </c>
      <c r="C1672" s="9" t="n"/>
      <c r="D1672" s="9" t="n"/>
      <c r="E1672" s="9" t="n"/>
      <c r="F1672" s="9" t="n"/>
      <c r="G1672" s="9" t="n"/>
      <c r="H1672" s="10" t="n"/>
      <c r="I1672" s="62">
        <f>IF('Calendario J'!I142="","",'Calendario J'!I142)</f>
        <v/>
      </c>
      <c r="J1672" s="141" t="n"/>
      <c r="K1672" s="141" t="n"/>
      <c r="L1672" s="141" t="n"/>
      <c r="M1672" s="141" t="n"/>
      <c r="N1672" s="141" t="n"/>
      <c r="O1672" s="141" t="n"/>
      <c r="P1672" s="141" t="n"/>
      <c r="Q1672" s="141" t="n"/>
      <c r="R1672" s="141" t="n"/>
    </row>
    <row r="1674" ht="20" customHeight="1">
      <c r="A1674" s="127">
        <f>IF('Calendario J'!A144="","",'Calendario J'!A144)</f>
        <v/>
      </c>
      <c r="B1674" s="128">
        <f>IF('Calendario J'!B144="","",'Calendario J'!B144)</f>
        <v/>
      </c>
      <c r="C1674" s="9" t="n"/>
      <c r="D1674" s="9" t="n"/>
      <c r="E1674" s="9" t="n"/>
      <c r="F1674" s="9" t="n"/>
      <c r="G1674" s="9" t="n"/>
      <c r="H1674" s="9" t="n"/>
      <c r="I1674" s="9" t="n"/>
      <c r="J1674" s="9" t="n"/>
      <c r="K1674" s="9" t="n"/>
      <c r="L1674" s="10" t="n"/>
      <c r="M1674" s="214" t="inlineStr">
        <is>
          <t>ARBITRI</t>
        </is>
      </c>
      <c r="N1674" s="9" t="n"/>
      <c r="O1674" s="10" t="n"/>
      <c r="P1674" s="214" t="inlineStr">
        <is>
          <t>UFFICIALI DI CAMPO</t>
        </is>
      </c>
      <c r="Q1674" s="9" t="n"/>
      <c r="R1674" s="10" t="n"/>
    </row>
    <row r="1675" ht="14" customHeight="1">
      <c r="A1675" s="130" t="inlineStr">
        <is>
          <t>Gara N.</t>
        </is>
      </c>
      <c r="B1675" s="130" t="inlineStr">
        <is>
          <t>Squadra A</t>
        </is>
      </c>
      <c r="C1675" s="10" t="n"/>
      <c r="D1675" s="130" t="inlineStr">
        <is>
          <t>Squadra B</t>
        </is>
      </c>
      <c r="E1675" s="10" t="n"/>
      <c r="F1675" s="130" t="inlineStr">
        <is>
          <t>Giorno</t>
        </is>
      </c>
      <c r="G1675" s="130" t="inlineStr">
        <is>
          <t>Data</t>
        </is>
      </c>
      <c r="H1675" s="130" t="inlineStr">
        <is>
          <t>Ora</t>
        </is>
      </c>
      <c r="I1675" s="10" t="n"/>
      <c r="J1675" s="130" t="inlineStr">
        <is>
          <t>Risultato</t>
        </is>
      </c>
      <c r="K1675" s="9" t="n"/>
      <c r="L1675" s="10" t="n"/>
      <c r="M1675" s="215" t="inlineStr">
        <is>
          <t>1o Arbitro</t>
        </is>
      </c>
      <c r="N1675" s="215" t="inlineStr">
        <is>
          <t>2o Arbitro</t>
        </is>
      </c>
      <c r="O1675" s="215" t="inlineStr">
        <is>
          <t>3o Arbitro/Tirocinante</t>
        </is>
      </c>
      <c r="P1675" s="215" t="inlineStr">
        <is>
          <t>Referto</t>
        </is>
      </c>
      <c r="Q1675" s="215" t="inlineStr">
        <is>
          <t>Cronometro</t>
        </is>
      </c>
      <c r="R1675" s="215" t="inlineStr">
        <is>
          <t>Foglio Tiri</t>
        </is>
      </c>
    </row>
    <row r="1676" ht="22" customHeight="1">
      <c r="A1676" s="132">
        <f>IF('Calendario J'!A146="","",'Calendario J'!A146)</f>
        <v/>
      </c>
      <c r="B1676" s="61">
        <f>IF('Calendario J'!B146="","",'Calendario J'!B146)</f>
        <v/>
      </c>
      <c r="C1676" s="62">
        <f>IF('Calendario J'!C146="","",'Calendario J'!C146)</f>
        <v/>
      </c>
      <c r="D1676" s="61">
        <f>IF('Calendario J'!D146="","",'Calendario J'!D146)</f>
        <v/>
      </c>
      <c r="E1676" s="62">
        <f>IF('Calendario J'!E146="","",'Calendario J'!E146)</f>
        <v/>
      </c>
      <c r="F1676" s="63">
        <f>IF('Calendario J'!F146="","",'Calendario J'!F146)</f>
        <v/>
      </c>
      <c r="G1676" s="9" t="n"/>
      <c r="H1676" s="9" t="n"/>
      <c r="I1676" s="10" t="n"/>
      <c r="J1676" s="195">
        <f>IF('Calendario J'!J146="","",'Calendario J'!J146)</f>
        <v/>
      </c>
      <c r="K1676" s="64" t="inlineStr">
        <is>
          <t>-</t>
        </is>
      </c>
      <c r="L1676" s="195">
        <f>IF('Calendario J'!L146="","",'Calendario J'!L146)</f>
        <v/>
      </c>
      <c r="M1676" s="196" t="n"/>
      <c r="N1676" s="196" t="n"/>
      <c r="O1676" s="196" t="n"/>
      <c r="P1676" s="196" t="n"/>
      <c r="Q1676" s="196" t="n"/>
      <c r="R1676" s="196" t="n"/>
    </row>
    <row r="1677" ht="15" customHeight="1">
      <c r="A1677" s="141" t="n"/>
      <c r="B1677" s="69">
        <f>IF('Calendario J'!B147="","",'Calendario J'!B147)</f>
        <v/>
      </c>
      <c r="C1677" s="9" t="n"/>
      <c r="D1677" s="9" t="n"/>
      <c r="E1677" s="9" t="n"/>
      <c r="F1677" s="9" t="n"/>
      <c r="G1677" s="9" t="n"/>
      <c r="H1677" s="10" t="n"/>
      <c r="I1677" s="62">
        <f>IF('Calendario J'!I147="","",'Calendario J'!I147)</f>
        <v/>
      </c>
      <c r="J1677" s="141" t="n"/>
      <c r="K1677" s="141" t="n"/>
      <c r="L1677" s="141" t="n"/>
      <c r="M1677" s="141" t="n"/>
      <c r="N1677" s="141" t="n"/>
      <c r="O1677" s="141" t="n"/>
      <c r="P1677" s="141" t="n"/>
      <c r="Q1677" s="141" t="n"/>
      <c r="R1677" s="141" t="n"/>
    </row>
    <row r="1678" ht="14" customHeight="1">
      <c r="A1678" s="130" t="inlineStr">
        <is>
          <t>Gara N.</t>
        </is>
      </c>
      <c r="B1678" s="130" t="inlineStr">
        <is>
          <t>Squadra A</t>
        </is>
      </c>
      <c r="C1678" s="10" t="n"/>
      <c r="D1678" s="130" t="inlineStr">
        <is>
          <t>Squadra B</t>
        </is>
      </c>
      <c r="E1678" s="10" t="n"/>
      <c r="F1678" s="130" t="inlineStr">
        <is>
          <t>Giorno</t>
        </is>
      </c>
      <c r="G1678" s="130" t="inlineStr">
        <is>
          <t>Data</t>
        </is>
      </c>
      <c r="H1678" s="130" t="inlineStr">
        <is>
          <t>Ora</t>
        </is>
      </c>
      <c r="I1678" s="10" t="n"/>
      <c r="J1678" s="130" t="inlineStr">
        <is>
          <t>Risultato</t>
        </is>
      </c>
      <c r="K1678" s="9" t="n"/>
      <c r="L1678" s="10" t="n"/>
      <c r="M1678" s="215" t="inlineStr">
        <is>
          <t>1o Arbitro</t>
        </is>
      </c>
      <c r="N1678" s="215" t="inlineStr">
        <is>
          <t>2o Arbitro</t>
        </is>
      </c>
      <c r="O1678" s="215" t="inlineStr">
        <is>
          <t>3o Arbitro/Tirocinante</t>
        </is>
      </c>
      <c r="P1678" s="215" t="inlineStr">
        <is>
          <t>Referto</t>
        </is>
      </c>
      <c r="Q1678" s="215" t="inlineStr">
        <is>
          <t>Cronometro</t>
        </is>
      </c>
      <c r="R1678" s="215" t="inlineStr">
        <is>
          <t>Foglio Tiri</t>
        </is>
      </c>
    </row>
    <row r="1679" ht="22" customHeight="1">
      <c r="A1679" s="132">
        <f>IF('Calendario J'!A149="","",'Calendario J'!A149)</f>
        <v/>
      </c>
      <c r="B1679" s="61">
        <f>IF('Calendario J'!B149="","",'Calendario J'!B149)</f>
        <v/>
      </c>
      <c r="C1679" s="62">
        <f>IF('Calendario J'!C149="","",'Calendario J'!C149)</f>
        <v/>
      </c>
      <c r="D1679" s="61">
        <f>IF('Calendario J'!D149="","",'Calendario J'!D149)</f>
        <v/>
      </c>
      <c r="E1679" s="62">
        <f>IF('Calendario J'!E149="","",'Calendario J'!E149)</f>
        <v/>
      </c>
      <c r="F1679" s="63">
        <f>IF('Calendario J'!F149="","",'Calendario J'!F149)</f>
        <v/>
      </c>
      <c r="G1679" s="9" t="n"/>
      <c r="H1679" s="9" t="n"/>
      <c r="I1679" s="10" t="n"/>
      <c r="J1679" s="195">
        <f>IF('Calendario J'!J149="","",'Calendario J'!J149)</f>
        <v/>
      </c>
      <c r="K1679" s="64" t="inlineStr">
        <is>
          <t>-</t>
        </is>
      </c>
      <c r="L1679" s="195">
        <f>IF('Calendario J'!L149="","",'Calendario J'!L149)</f>
        <v/>
      </c>
      <c r="M1679" s="196" t="n"/>
      <c r="N1679" s="196" t="n"/>
      <c r="O1679" s="196" t="n"/>
      <c r="P1679" s="196" t="n"/>
      <c r="Q1679" s="196" t="n"/>
      <c r="R1679" s="196" t="n"/>
    </row>
    <row r="1680" ht="15" customHeight="1">
      <c r="A1680" s="141" t="n"/>
      <c r="B1680" s="69">
        <f>IF('Calendario J'!B150="","",'Calendario J'!B150)</f>
        <v/>
      </c>
      <c r="C1680" s="9" t="n"/>
      <c r="D1680" s="9" t="n"/>
      <c r="E1680" s="9" t="n"/>
      <c r="F1680" s="9" t="n"/>
      <c r="G1680" s="9" t="n"/>
      <c r="H1680" s="10" t="n"/>
      <c r="I1680" s="62">
        <f>IF('Calendario J'!I150="","",'Calendario J'!I150)</f>
        <v/>
      </c>
      <c r="J1680" s="141" t="n"/>
      <c r="K1680" s="141" t="n"/>
      <c r="L1680" s="141" t="n"/>
      <c r="M1680" s="141" t="n"/>
      <c r="N1680" s="141" t="n"/>
      <c r="O1680" s="141" t="n"/>
      <c r="P1680" s="141" t="n"/>
      <c r="Q1680" s="141" t="n"/>
      <c r="R1680" s="141" t="n"/>
    </row>
    <row r="1681" ht="14" customHeight="1">
      <c r="A1681" s="130" t="inlineStr">
        <is>
          <t>Gara N.</t>
        </is>
      </c>
      <c r="B1681" s="130" t="inlineStr">
        <is>
          <t>Squadra A</t>
        </is>
      </c>
      <c r="C1681" s="10" t="n"/>
      <c r="D1681" s="130" t="inlineStr">
        <is>
          <t>Squadra B</t>
        </is>
      </c>
      <c r="E1681" s="10" t="n"/>
      <c r="F1681" s="130" t="inlineStr">
        <is>
          <t>Giorno</t>
        </is>
      </c>
      <c r="G1681" s="130" t="inlineStr">
        <is>
          <t>Data</t>
        </is>
      </c>
      <c r="H1681" s="130" t="inlineStr">
        <is>
          <t>Ora</t>
        </is>
      </c>
      <c r="I1681" s="10" t="n"/>
      <c r="J1681" s="130" t="inlineStr">
        <is>
          <t>Risultato</t>
        </is>
      </c>
      <c r="K1681" s="9" t="n"/>
      <c r="L1681" s="10" t="n"/>
      <c r="M1681" s="215" t="inlineStr">
        <is>
          <t>1o Arbitro</t>
        </is>
      </c>
      <c r="N1681" s="215" t="inlineStr">
        <is>
          <t>2o Arbitro</t>
        </is>
      </c>
      <c r="O1681" s="215" t="inlineStr">
        <is>
          <t>3o Arbitro/Tirocinante</t>
        </is>
      </c>
      <c r="P1681" s="215" t="inlineStr">
        <is>
          <t>Referto</t>
        </is>
      </c>
      <c r="Q1681" s="215" t="inlineStr">
        <is>
          <t>Cronometro</t>
        </is>
      </c>
      <c r="R1681" s="215" t="inlineStr">
        <is>
          <t>Foglio Tiri</t>
        </is>
      </c>
    </row>
    <row r="1682" ht="22" customHeight="1">
      <c r="A1682" s="132">
        <f>IF('Calendario J'!A152="","",'Calendario J'!A152)</f>
        <v/>
      </c>
      <c r="B1682" s="61">
        <f>IF('Calendario J'!B152="","",'Calendario J'!B152)</f>
        <v/>
      </c>
      <c r="C1682" s="62">
        <f>IF('Calendario J'!C152="","",'Calendario J'!C152)</f>
        <v/>
      </c>
      <c r="D1682" s="61">
        <f>IF('Calendario J'!D152="","",'Calendario J'!D152)</f>
        <v/>
      </c>
      <c r="E1682" s="62">
        <f>IF('Calendario J'!E152="","",'Calendario J'!E152)</f>
        <v/>
      </c>
      <c r="F1682" s="63">
        <f>IF('Calendario J'!F152="","",'Calendario J'!F152)</f>
        <v/>
      </c>
      <c r="G1682" s="9" t="n"/>
      <c r="H1682" s="9" t="n"/>
      <c r="I1682" s="10" t="n"/>
      <c r="J1682" s="195">
        <f>IF('Calendario J'!J152="","",'Calendario J'!J152)</f>
        <v/>
      </c>
      <c r="K1682" s="64" t="inlineStr">
        <is>
          <t>-</t>
        </is>
      </c>
      <c r="L1682" s="195">
        <f>IF('Calendario J'!L152="","",'Calendario J'!L152)</f>
        <v/>
      </c>
      <c r="M1682" s="196" t="n"/>
      <c r="N1682" s="196" t="n"/>
      <c r="O1682" s="196" t="n"/>
      <c r="P1682" s="196" t="n"/>
      <c r="Q1682" s="196" t="n"/>
      <c r="R1682" s="196" t="n"/>
    </row>
    <row r="1683" ht="15" customHeight="1">
      <c r="A1683" s="141" t="n"/>
      <c r="B1683" s="69">
        <f>IF('Calendario J'!B153="","",'Calendario J'!B153)</f>
        <v/>
      </c>
      <c r="C1683" s="9" t="n"/>
      <c r="D1683" s="9" t="n"/>
      <c r="E1683" s="9" t="n"/>
      <c r="F1683" s="9" t="n"/>
      <c r="G1683" s="9" t="n"/>
      <c r="H1683" s="10" t="n"/>
      <c r="I1683" s="62">
        <f>IF('Calendario J'!I153="","",'Calendario J'!I153)</f>
        <v/>
      </c>
      <c r="J1683" s="141" t="n"/>
      <c r="K1683" s="141" t="n"/>
      <c r="L1683" s="141" t="n"/>
      <c r="M1683" s="141" t="n"/>
      <c r="N1683" s="141" t="n"/>
      <c r="O1683" s="141" t="n"/>
      <c r="P1683" s="141" t="n"/>
      <c r="Q1683" s="141" t="n"/>
      <c r="R1683" s="141" t="n"/>
    </row>
    <row r="1684" ht="14" customHeight="1">
      <c r="A1684" s="130" t="inlineStr">
        <is>
          <t>Gara N.</t>
        </is>
      </c>
      <c r="B1684" s="130" t="inlineStr">
        <is>
          <t>Squadra A</t>
        </is>
      </c>
      <c r="C1684" s="10" t="n"/>
      <c r="D1684" s="130" t="inlineStr">
        <is>
          <t>Squadra B</t>
        </is>
      </c>
      <c r="E1684" s="10" t="n"/>
      <c r="F1684" s="130" t="inlineStr">
        <is>
          <t>Giorno</t>
        </is>
      </c>
      <c r="G1684" s="130" t="inlineStr">
        <is>
          <t>Data</t>
        </is>
      </c>
      <c r="H1684" s="130" t="inlineStr">
        <is>
          <t>Ora</t>
        </is>
      </c>
      <c r="I1684" s="10" t="n"/>
      <c r="J1684" s="130" t="inlineStr">
        <is>
          <t>Risultato</t>
        </is>
      </c>
      <c r="K1684" s="9" t="n"/>
      <c r="L1684" s="10" t="n"/>
      <c r="M1684" s="215" t="inlineStr">
        <is>
          <t>1o Arbitro</t>
        </is>
      </c>
      <c r="N1684" s="215" t="inlineStr">
        <is>
          <t>2o Arbitro</t>
        </is>
      </c>
      <c r="O1684" s="215" t="inlineStr">
        <is>
          <t>3o Arbitro/Tirocinante</t>
        </is>
      </c>
      <c r="P1684" s="215" t="inlineStr">
        <is>
          <t>Referto</t>
        </is>
      </c>
      <c r="Q1684" s="215" t="inlineStr">
        <is>
          <t>Cronometro</t>
        </is>
      </c>
      <c r="R1684" s="215" t="inlineStr">
        <is>
          <t>Foglio Tiri</t>
        </is>
      </c>
    </row>
    <row r="1685" ht="22" customHeight="1">
      <c r="A1685" s="132">
        <f>IF('Calendario J'!A155="","",'Calendario J'!A155)</f>
        <v/>
      </c>
      <c r="B1685" s="61">
        <f>IF('Calendario J'!B155="","",'Calendario J'!B155)</f>
        <v/>
      </c>
      <c r="C1685" s="62">
        <f>IF('Calendario J'!C155="","",'Calendario J'!C155)</f>
        <v/>
      </c>
      <c r="D1685" s="61">
        <f>IF('Calendario J'!D155="","",'Calendario J'!D155)</f>
        <v/>
      </c>
      <c r="E1685" s="62">
        <f>IF('Calendario J'!E155="","",'Calendario J'!E155)</f>
        <v/>
      </c>
      <c r="F1685" s="63">
        <f>IF('Calendario J'!F155="","",'Calendario J'!F155)</f>
        <v/>
      </c>
      <c r="G1685" s="9" t="n"/>
      <c r="H1685" s="9" t="n"/>
      <c r="I1685" s="10" t="n"/>
      <c r="J1685" s="195">
        <f>IF('Calendario J'!J155="","",'Calendario J'!J155)</f>
        <v/>
      </c>
      <c r="K1685" s="64" t="inlineStr">
        <is>
          <t>-</t>
        </is>
      </c>
      <c r="L1685" s="195">
        <f>IF('Calendario J'!L155="","",'Calendario J'!L155)</f>
        <v/>
      </c>
      <c r="M1685" s="196" t="n"/>
      <c r="N1685" s="196" t="n"/>
      <c r="O1685" s="196" t="n"/>
      <c r="P1685" s="196" t="n"/>
      <c r="Q1685" s="196" t="n"/>
      <c r="R1685" s="196" t="n"/>
    </row>
    <row r="1686" ht="15" customHeight="1">
      <c r="A1686" s="141" t="n"/>
      <c r="B1686" s="69">
        <f>IF('Calendario J'!B156="","",'Calendario J'!B156)</f>
        <v/>
      </c>
      <c r="C1686" s="9" t="n"/>
      <c r="D1686" s="9" t="n"/>
      <c r="E1686" s="9" t="n"/>
      <c r="F1686" s="9" t="n"/>
      <c r="G1686" s="9" t="n"/>
      <c r="H1686" s="10" t="n"/>
      <c r="I1686" s="62">
        <f>IF('Calendario J'!I156="","",'Calendario J'!I156)</f>
        <v/>
      </c>
      <c r="J1686" s="141" t="n"/>
      <c r="K1686" s="141" t="n"/>
      <c r="L1686" s="141" t="n"/>
      <c r="M1686" s="141" t="n"/>
      <c r="N1686" s="141" t="n"/>
      <c r="O1686" s="141" t="n"/>
      <c r="P1686" s="141" t="n"/>
      <c r="Q1686" s="141" t="n"/>
      <c r="R1686" s="141" t="n"/>
    </row>
    <row r="1687" ht="14" customHeight="1">
      <c r="A1687" s="130" t="inlineStr">
        <is>
          <t>Gara N.</t>
        </is>
      </c>
      <c r="B1687" s="130" t="inlineStr">
        <is>
          <t>Squadra A</t>
        </is>
      </c>
      <c r="C1687" s="10" t="n"/>
      <c r="D1687" s="130" t="inlineStr">
        <is>
          <t>Squadra B</t>
        </is>
      </c>
      <c r="E1687" s="10" t="n"/>
      <c r="F1687" s="130" t="inlineStr">
        <is>
          <t>Giorno</t>
        </is>
      </c>
      <c r="G1687" s="130" t="inlineStr">
        <is>
          <t>Data</t>
        </is>
      </c>
      <c r="H1687" s="130" t="inlineStr">
        <is>
          <t>Ora</t>
        </is>
      </c>
      <c r="I1687" s="10" t="n"/>
      <c r="J1687" s="130" t="inlineStr">
        <is>
          <t>Risultato</t>
        </is>
      </c>
      <c r="K1687" s="9" t="n"/>
      <c r="L1687" s="10" t="n"/>
      <c r="M1687" s="215" t="inlineStr">
        <is>
          <t>1o Arbitro</t>
        </is>
      </c>
      <c r="N1687" s="215" t="inlineStr">
        <is>
          <t>2o Arbitro</t>
        </is>
      </c>
      <c r="O1687" s="215" t="inlineStr">
        <is>
          <t>3o Arbitro/Tirocinante</t>
        </is>
      </c>
      <c r="P1687" s="215" t="inlineStr">
        <is>
          <t>Referto</t>
        </is>
      </c>
      <c r="Q1687" s="215" t="inlineStr">
        <is>
          <t>Cronometro</t>
        </is>
      </c>
      <c r="R1687" s="215" t="inlineStr">
        <is>
          <t>Foglio Tiri</t>
        </is>
      </c>
    </row>
    <row r="1688" ht="22" customHeight="1">
      <c r="A1688" s="132">
        <f>IF('Calendario J'!A158="","",'Calendario J'!A158)</f>
        <v/>
      </c>
      <c r="B1688" s="61">
        <f>IF('Calendario J'!B158="","",'Calendario J'!B158)</f>
        <v/>
      </c>
      <c r="C1688" s="62">
        <f>IF('Calendario J'!C158="","",'Calendario J'!C158)</f>
        <v/>
      </c>
      <c r="D1688" s="61">
        <f>IF('Calendario J'!D158="","",'Calendario J'!D158)</f>
        <v/>
      </c>
      <c r="E1688" s="62">
        <f>IF('Calendario J'!E158="","",'Calendario J'!E158)</f>
        <v/>
      </c>
      <c r="F1688" s="63">
        <f>IF('Calendario J'!F158="","",'Calendario J'!F158)</f>
        <v/>
      </c>
      <c r="G1688" s="9" t="n"/>
      <c r="H1688" s="9" t="n"/>
      <c r="I1688" s="10" t="n"/>
      <c r="J1688" s="195">
        <f>IF('Calendario J'!J158="","",'Calendario J'!J158)</f>
        <v/>
      </c>
      <c r="K1688" s="64" t="inlineStr">
        <is>
          <t>-</t>
        </is>
      </c>
      <c r="L1688" s="195">
        <f>IF('Calendario J'!L158="","",'Calendario J'!L158)</f>
        <v/>
      </c>
      <c r="M1688" s="196" t="n"/>
      <c r="N1688" s="196" t="n"/>
      <c r="O1688" s="196" t="n"/>
      <c r="P1688" s="196" t="n"/>
      <c r="Q1688" s="196" t="n"/>
      <c r="R1688" s="196" t="n"/>
    </row>
    <row r="1689" ht="15" customHeight="1">
      <c r="A1689" s="141" t="n"/>
      <c r="B1689" s="69">
        <f>IF('Calendario J'!B159="","",'Calendario J'!B159)</f>
        <v/>
      </c>
      <c r="C1689" s="9" t="n"/>
      <c r="D1689" s="9" t="n"/>
      <c r="E1689" s="9" t="n"/>
      <c r="F1689" s="9" t="n"/>
      <c r="G1689" s="9" t="n"/>
      <c r="H1689" s="10" t="n"/>
      <c r="I1689" s="62">
        <f>IF('Calendario J'!I159="","",'Calendario J'!I159)</f>
        <v/>
      </c>
      <c r="J1689" s="141" t="n"/>
      <c r="K1689" s="141" t="n"/>
      <c r="L1689" s="141" t="n"/>
      <c r="M1689" s="141" t="n"/>
      <c r="N1689" s="141" t="n"/>
      <c r="O1689" s="141" t="n"/>
      <c r="P1689" s="141" t="n"/>
      <c r="Q1689" s="141" t="n"/>
      <c r="R1689" s="141" t="n"/>
    </row>
    <row r="1708" ht="20" customHeight="1">
      <c r="A1708" s="216">
        <f>IF('Playoff'!A8="","",'Playoff'!A8)</f>
        <v/>
      </c>
      <c r="B1708" s="133">
        <f>IF('Playoff'!B8="","",'Playoff'!B8)</f>
        <v/>
      </c>
      <c r="C1708" s="9" t="n"/>
      <c r="D1708" s="9" t="n"/>
      <c r="E1708" s="9" t="n"/>
      <c r="F1708" s="9" t="n"/>
      <c r="G1708" s="9" t="n"/>
      <c r="H1708" s="9" t="n"/>
      <c r="I1708" s="9" t="n"/>
      <c r="J1708" s="9" t="n"/>
      <c r="K1708" s="9" t="n"/>
      <c r="L1708" s="10" t="n"/>
      <c r="M1708" s="217" t="inlineStr">
        <is>
          <t>ARBITRI</t>
        </is>
      </c>
      <c r="N1708" s="9" t="n"/>
      <c r="O1708" s="10" t="n"/>
      <c r="P1708" s="217" t="inlineStr">
        <is>
          <t>UFFICIALI DI CAMPO</t>
        </is>
      </c>
      <c r="Q1708" s="9" t="n"/>
      <c r="R1708" s="10" t="n"/>
    </row>
    <row r="1709" ht="14" customHeight="1">
      <c r="A1709" s="135" t="inlineStr">
        <is>
          <t>Gara N.</t>
        </is>
      </c>
      <c r="B1709" s="135" t="inlineStr">
        <is>
          <t>Squadra A</t>
        </is>
      </c>
      <c r="C1709" s="10" t="n"/>
      <c r="D1709" s="135" t="inlineStr">
        <is>
          <t>Squadra B</t>
        </is>
      </c>
      <c r="E1709" s="10" t="n"/>
      <c r="F1709" s="135" t="inlineStr">
        <is>
          <t>Giorno</t>
        </is>
      </c>
      <c r="G1709" s="135" t="inlineStr">
        <is>
          <t>Data</t>
        </is>
      </c>
      <c r="H1709" s="135" t="inlineStr">
        <is>
          <t>Ora</t>
        </is>
      </c>
      <c r="I1709" s="10" t="n"/>
      <c r="J1709" s="135" t="inlineStr">
        <is>
          <t>Risultato</t>
        </is>
      </c>
      <c r="K1709" s="9" t="n"/>
      <c r="L1709" s="10" t="n"/>
      <c r="M1709" s="218" t="inlineStr">
        <is>
          <t>1o Arbitro</t>
        </is>
      </c>
      <c r="N1709" s="218" t="inlineStr">
        <is>
          <t>2o Arbitro</t>
        </is>
      </c>
      <c r="O1709" s="218" t="inlineStr">
        <is>
          <t>3o Arbitro/Tirocinante</t>
        </is>
      </c>
      <c r="P1709" s="218" t="inlineStr">
        <is>
          <t>Referto</t>
        </is>
      </c>
      <c r="Q1709" s="218" t="inlineStr">
        <is>
          <t>Cronometro</t>
        </is>
      </c>
      <c r="R1709" s="218" t="inlineStr">
        <is>
          <t>Foglio Tiri</t>
        </is>
      </c>
    </row>
    <row r="1710" ht="22" customHeight="1">
      <c r="A1710" s="137">
        <f>IF('Playoff'!A10="","",'Playoff'!A10)</f>
        <v/>
      </c>
      <c r="B1710" s="61">
        <f>IF('Playoff'!B10="","",'Playoff'!B10)</f>
        <v/>
      </c>
      <c r="C1710" s="62">
        <f>IF('Playoff'!C10="","",'Playoff'!C10)</f>
        <v/>
      </c>
      <c r="D1710" s="61">
        <f>IF('Playoff'!D10="","",'Playoff'!D10)</f>
        <v/>
      </c>
      <c r="E1710" s="62">
        <f>IF('Playoff'!E10="","",'Playoff'!E10)</f>
        <v/>
      </c>
      <c r="F1710" s="63">
        <f>IF('Playoff'!F10="","",'Playoff'!F10)</f>
        <v/>
      </c>
      <c r="G1710" s="9" t="n"/>
      <c r="H1710" s="9" t="n"/>
      <c r="I1710" s="10" t="n"/>
      <c r="J1710" s="195">
        <f>IF('Playoff'!J10="","",'Playoff'!J10)</f>
        <v/>
      </c>
      <c r="K1710" s="64" t="inlineStr">
        <is>
          <t>-</t>
        </is>
      </c>
      <c r="L1710" s="195">
        <f>IF('Playoff'!L10="","",'Playoff'!L10)</f>
        <v/>
      </c>
      <c r="M1710" s="196" t="n"/>
      <c r="N1710" s="196" t="n"/>
      <c r="O1710" s="196" t="n"/>
      <c r="P1710" s="196" t="n"/>
      <c r="Q1710" s="196" t="n"/>
      <c r="R1710" s="196" t="n"/>
    </row>
    <row r="1711" ht="15" customHeight="1">
      <c r="A1711" s="141" t="n"/>
      <c r="B1711" s="69">
        <f>IF('Playoff'!B11="","",'Playoff'!B11)</f>
        <v/>
      </c>
      <c r="C1711" s="9" t="n"/>
      <c r="D1711" s="9" t="n"/>
      <c r="E1711" s="9" t="n"/>
      <c r="F1711" s="9" t="n"/>
      <c r="G1711" s="9" t="n"/>
      <c r="H1711" s="10" t="n"/>
      <c r="I1711" s="62">
        <f>IF('Playoff'!I11="","",'Playoff'!I11)</f>
        <v/>
      </c>
      <c r="J1711" s="141" t="n"/>
      <c r="K1711" s="141" t="n"/>
      <c r="L1711" s="141" t="n"/>
      <c r="M1711" s="141" t="n"/>
      <c r="N1711" s="141" t="n"/>
      <c r="O1711" s="141" t="n"/>
      <c r="P1711" s="141" t="n"/>
      <c r="Q1711" s="141" t="n"/>
      <c r="R1711" s="141" t="n"/>
    </row>
    <row r="1712" ht="14" customHeight="1">
      <c r="A1712" s="135" t="inlineStr">
        <is>
          <t>Gara N.</t>
        </is>
      </c>
      <c r="B1712" s="135" t="inlineStr">
        <is>
          <t>Squadra A</t>
        </is>
      </c>
      <c r="C1712" s="10" t="n"/>
      <c r="D1712" s="135" t="inlineStr">
        <is>
          <t>Squadra B</t>
        </is>
      </c>
      <c r="E1712" s="10" t="n"/>
      <c r="F1712" s="135" t="inlineStr">
        <is>
          <t>Giorno</t>
        </is>
      </c>
      <c r="G1712" s="135" t="inlineStr">
        <is>
          <t>Data</t>
        </is>
      </c>
      <c r="H1712" s="135" t="inlineStr">
        <is>
          <t>Ora</t>
        </is>
      </c>
      <c r="I1712" s="10" t="n"/>
      <c r="J1712" s="135" t="inlineStr">
        <is>
          <t>Risultato</t>
        </is>
      </c>
      <c r="K1712" s="9" t="n"/>
      <c r="L1712" s="10" t="n"/>
      <c r="M1712" s="218" t="inlineStr">
        <is>
          <t>1o Arbitro</t>
        </is>
      </c>
      <c r="N1712" s="218" t="inlineStr">
        <is>
          <t>2o Arbitro</t>
        </is>
      </c>
      <c r="O1712" s="218" t="inlineStr">
        <is>
          <t>3o Arbitro/Tirocinante</t>
        </is>
      </c>
      <c r="P1712" s="218" t="inlineStr">
        <is>
          <t>Referto</t>
        </is>
      </c>
      <c r="Q1712" s="218" t="inlineStr">
        <is>
          <t>Cronometro</t>
        </is>
      </c>
      <c r="R1712" s="218" t="inlineStr">
        <is>
          <t>Foglio Tiri</t>
        </is>
      </c>
    </row>
    <row r="1713" ht="22" customHeight="1">
      <c r="A1713" s="137">
        <f>IF('Playoff'!A13="","",'Playoff'!A13)</f>
        <v/>
      </c>
      <c r="B1713" s="61">
        <f>IF('Playoff'!B13="","",'Playoff'!B13)</f>
        <v/>
      </c>
      <c r="C1713" s="62">
        <f>IF('Playoff'!C13="","",'Playoff'!C13)</f>
        <v/>
      </c>
      <c r="D1713" s="61">
        <f>IF('Playoff'!D13="","",'Playoff'!D13)</f>
        <v/>
      </c>
      <c r="E1713" s="62">
        <f>IF('Playoff'!E13="","",'Playoff'!E13)</f>
        <v/>
      </c>
      <c r="F1713" s="63">
        <f>IF('Playoff'!F13="","",'Playoff'!F13)</f>
        <v/>
      </c>
      <c r="G1713" s="9" t="n"/>
      <c r="H1713" s="9" t="n"/>
      <c r="I1713" s="10" t="n"/>
      <c r="J1713" s="195">
        <f>IF('Playoff'!J13="","",'Playoff'!J13)</f>
        <v/>
      </c>
      <c r="K1713" s="64" t="inlineStr">
        <is>
          <t>-</t>
        </is>
      </c>
      <c r="L1713" s="195">
        <f>IF('Playoff'!L13="","",'Playoff'!L13)</f>
        <v/>
      </c>
      <c r="M1713" s="196" t="n"/>
      <c r="N1713" s="196" t="n"/>
      <c r="O1713" s="196" t="n"/>
      <c r="P1713" s="196" t="n"/>
      <c r="Q1713" s="196" t="n"/>
      <c r="R1713" s="196" t="n"/>
    </row>
    <row r="1714" ht="15" customHeight="1">
      <c r="A1714" s="141" t="n"/>
      <c r="B1714" s="69">
        <f>IF('Playoff'!B14="","",'Playoff'!B14)</f>
        <v/>
      </c>
      <c r="C1714" s="9" t="n"/>
      <c r="D1714" s="9" t="n"/>
      <c r="E1714" s="9" t="n"/>
      <c r="F1714" s="9" t="n"/>
      <c r="G1714" s="9" t="n"/>
      <c r="H1714" s="10" t="n"/>
      <c r="I1714" s="62">
        <f>IF('Playoff'!I14="","",'Playoff'!I14)</f>
        <v/>
      </c>
      <c r="J1714" s="141" t="n"/>
      <c r="K1714" s="141" t="n"/>
      <c r="L1714" s="141" t="n"/>
      <c r="M1714" s="141" t="n"/>
      <c r="N1714" s="141" t="n"/>
      <c r="O1714" s="141" t="n"/>
      <c r="P1714" s="141" t="n"/>
      <c r="Q1714" s="141" t="n"/>
      <c r="R1714" s="141" t="n"/>
    </row>
    <row r="1715" ht="14" customHeight="1">
      <c r="A1715" s="135" t="inlineStr">
        <is>
          <t>Gara N.</t>
        </is>
      </c>
      <c r="B1715" s="135" t="inlineStr">
        <is>
          <t>Squadra A</t>
        </is>
      </c>
      <c r="C1715" s="10" t="n"/>
      <c r="D1715" s="135" t="inlineStr">
        <is>
          <t>Squadra B</t>
        </is>
      </c>
      <c r="E1715" s="10" t="n"/>
      <c r="F1715" s="135" t="inlineStr">
        <is>
          <t>Giorno</t>
        </is>
      </c>
      <c r="G1715" s="135" t="inlineStr">
        <is>
          <t>Data</t>
        </is>
      </c>
      <c r="H1715" s="135" t="inlineStr">
        <is>
          <t>Ora</t>
        </is>
      </c>
      <c r="I1715" s="10" t="n"/>
      <c r="J1715" s="135" t="inlineStr">
        <is>
          <t>Risultato</t>
        </is>
      </c>
      <c r="K1715" s="9" t="n"/>
      <c r="L1715" s="10" t="n"/>
      <c r="M1715" s="218" t="inlineStr">
        <is>
          <t>1o Arbitro</t>
        </is>
      </c>
      <c r="N1715" s="218" t="inlineStr">
        <is>
          <t>2o Arbitro</t>
        </is>
      </c>
      <c r="O1715" s="218" t="inlineStr">
        <is>
          <t>3o Arbitro/Tirocinante</t>
        </is>
      </c>
      <c r="P1715" s="218" t="inlineStr">
        <is>
          <t>Referto</t>
        </is>
      </c>
      <c r="Q1715" s="218" t="inlineStr">
        <is>
          <t>Cronometro</t>
        </is>
      </c>
      <c r="R1715" s="218" t="inlineStr">
        <is>
          <t>Foglio Tiri</t>
        </is>
      </c>
    </row>
    <row r="1716" ht="22" customHeight="1">
      <c r="A1716" s="137">
        <f>IF('Playoff'!A16="","",'Playoff'!A16)</f>
        <v/>
      </c>
      <c r="B1716" s="61">
        <f>IF('Playoff'!B16="","",'Playoff'!B16)</f>
        <v/>
      </c>
      <c r="C1716" s="62">
        <f>IF('Playoff'!C16="","",'Playoff'!C16)</f>
        <v/>
      </c>
      <c r="D1716" s="61">
        <f>IF('Playoff'!D16="","",'Playoff'!D16)</f>
        <v/>
      </c>
      <c r="E1716" s="62">
        <f>IF('Playoff'!E16="","",'Playoff'!E16)</f>
        <v/>
      </c>
      <c r="F1716" s="63">
        <f>IF('Playoff'!F16="","",'Playoff'!F16)</f>
        <v/>
      </c>
      <c r="G1716" s="9" t="n"/>
      <c r="H1716" s="9" t="n"/>
      <c r="I1716" s="10" t="n"/>
      <c r="J1716" s="195">
        <f>IF('Playoff'!J16="","",'Playoff'!J16)</f>
        <v/>
      </c>
      <c r="K1716" s="64" t="inlineStr">
        <is>
          <t>-</t>
        </is>
      </c>
      <c r="L1716" s="195">
        <f>IF('Playoff'!L16="","",'Playoff'!L16)</f>
        <v/>
      </c>
      <c r="M1716" s="196" t="n"/>
      <c r="N1716" s="196" t="n"/>
      <c r="O1716" s="196" t="n"/>
      <c r="P1716" s="196" t="n"/>
      <c r="Q1716" s="196" t="n"/>
      <c r="R1716" s="196" t="n"/>
    </row>
    <row r="1717" ht="15" customHeight="1">
      <c r="A1717" s="141" t="n"/>
      <c r="B1717" s="69">
        <f>IF('Playoff'!B17="","",'Playoff'!B17)</f>
        <v/>
      </c>
      <c r="C1717" s="9" t="n"/>
      <c r="D1717" s="9" t="n"/>
      <c r="E1717" s="9" t="n"/>
      <c r="F1717" s="9" t="n"/>
      <c r="G1717" s="9" t="n"/>
      <c r="H1717" s="10" t="n"/>
      <c r="I1717" s="62">
        <f>IF('Playoff'!I17="","",'Playoff'!I17)</f>
        <v/>
      </c>
      <c r="J1717" s="141" t="n"/>
      <c r="K1717" s="141" t="n"/>
      <c r="L1717" s="141" t="n"/>
      <c r="M1717" s="141" t="n"/>
      <c r="N1717" s="141" t="n"/>
      <c r="O1717" s="141" t="n"/>
      <c r="P1717" s="141" t="n"/>
      <c r="Q1717" s="141" t="n"/>
      <c r="R1717" s="141" t="n"/>
    </row>
    <row r="1718" ht="14" customHeight="1">
      <c r="A1718" s="135" t="inlineStr">
        <is>
          <t>Gara N.</t>
        </is>
      </c>
      <c r="B1718" s="135" t="inlineStr">
        <is>
          <t>Squadra A</t>
        </is>
      </c>
      <c r="C1718" s="10" t="n"/>
      <c r="D1718" s="135" t="inlineStr">
        <is>
          <t>Squadra B</t>
        </is>
      </c>
      <c r="E1718" s="10" t="n"/>
      <c r="F1718" s="135" t="inlineStr">
        <is>
          <t>Giorno</t>
        </is>
      </c>
      <c r="G1718" s="135" t="inlineStr">
        <is>
          <t>Data</t>
        </is>
      </c>
      <c r="H1718" s="135" t="inlineStr">
        <is>
          <t>Ora</t>
        </is>
      </c>
      <c r="I1718" s="10" t="n"/>
      <c r="J1718" s="135" t="inlineStr">
        <is>
          <t>Risultato</t>
        </is>
      </c>
      <c r="K1718" s="9" t="n"/>
      <c r="L1718" s="10" t="n"/>
      <c r="M1718" s="218" t="inlineStr">
        <is>
          <t>1o Arbitro</t>
        </is>
      </c>
      <c r="N1718" s="218" t="inlineStr">
        <is>
          <t>2o Arbitro</t>
        </is>
      </c>
      <c r="O1718" s="218" t="inlineStr">
        <is>
          <t>3o Arbitro/Tirocinante</t>
        </is>
      </c>
      <c r="P1718" s="218" t="inlineStr">
        <is>
          <t>Referto</t>
        </is>
      </c>
      <c r="Q1718" s="218" t="inlineStr">
        <is>
          <t>Cronometro</t>
        </is>
      </c>
      <c r="R1718" s="218" t="inlineStr">
        <is>
          <t>Foglio Tiri</t>
        </is>
      </c>
    </row>
    <row r="1719" ht="22" customHeight="1">
      <c r="A1719" s="137">
        <f>IF('Playoff'!A19="","",'Playoff'!A19)</f>
        <v/>
      </c>
      <c r="B1719" s="61">
        <f>IF('Playoff'!B19="","",'Playoff'!B19)</f>
        <v/>
      </c>
      <c r="C1719" s="62">
        <f>IF('Playoff'!C19="","",'Playoff'!C19)</f>
        <v/>
      </c>
      <c r="D1719" s="61">
        <f>IF('Playoff'!D19="","",'Playoff'!D19)</f>
        <v/>
      </c>
      <c r="E1719" s="62">
        <f>IF('Playoff'!E19="","",'Playoff'!E19)</f>
        <v/>
      </c>
      <c r="F1719" s="63">
        <f>IF('Playoff'!F19="","",'Playoff'!F19)</f>
        <v/>
      </c>
      <c r="G1719" s="9" t="n"/>
      <c r="H1719" s="9" t="n"/>
      <c r="I1719" s="10" t="n"/>
      <c r="J1719" s="195">
        <f>IF('Playoff'!J19="","",'Playoff'!J19)</f>
        <v/>
      </c>
      <c r="K1719" s="64" t="inlineStr">
        <is>
          <t>-</t>
        </is>
      </c>
      <c r="L1719" s="195">
        <f>IF('Playoff'!L19="","",'Playoff'!L19)</f>
        <v/>
      </c>
      <c r="M1719" s="196" t="n"/>
      <c r="N1719" s="196" t="n"/>
      <c r="O1719" s="196" t="n"/>
      <c r="P1719" s="196" t="n"/>
      <c r="Q1719" s="196" t="n"/>
      <c r="R1719" s="196" t="n"/>
    </row>
    <row r="1720" ht="15" customHeight="1">
      <c r="A1720" s="141" t="n"/>
      <c r="B1720" s="69">
        <f>IF('Playoff'!B20="","",'Playoff'!B20)</f>
        <v/>
      </c>
      <c r="C1720" s="9" t="n"/>
      <c r="D1720" s="9" t="n"/>
      <c r="E1720" s="9" t="n"/>
      <c r="F1720" s="9" t="n"/>
      <c r="G1720" s="9" t="n"/>
      <c r="H1720" s="10" t="n"/>
      <c r="I1720" s="62">
        <f>IF('Playoff'!I20="","",'Playoff'!I20)</f>
        <v/>
      </c>
      <c r="J1720" s="141" t="n"/>
      <c r="K1720" s="141" t="n"/>
      <c r="L1720" s="141" t="n"/>
      <c r="M1720" s="141" t="n"/>
      <c r="N1720" s="141" t="n"/>
      <c r="O1720" s="141" t="n"/>
      <c r="P1720" s="141" t="n"/>
      <c r="Q1720" s="141" t="n"/>
      <c r="R1720" s="141" t="n"/>
    </row>
    <row r="1721" ht="14" customHeight="1">
      <c r="A1721" s="135" t="inlineStr">
        <is>
          <t>Gara N.</t>
        </is>
      </c>
      <c r="B1721" s="135" t="inlineStr">
        <is>
          <t>Squadra A</t>
        </is>
      </c>
      <c r="C1721" s="10" t="n"/>
      <c r="D1721" s="135" t="inlineStr">
        <is>
          <t>Squadra B</t>
        </is>
      </c>
      <c r="E1721" s="10" t="n"/>
      <c r="F1721" s="135" t="inlineStr">
        <is>
          <t>Giorno</t>
        </is>
      </c>
      <c r="G1721" s="135" t="inlineStr">
        <is>
          <t>Data</t>
        </is>
      </c>
      <c r="H1721" s="135" t="inlineStr">
        <is>
          <t>Ora</t>
        </is>
      </c>
      <c r="I1721" s="10" t="n"/>
      <c r="J1721" s="135" t="inlineStr">
        <is>
          <t>Risultato</t>
        </is>
      </c>
      <c r="K1721" s="9" t="n"/>
      <c r="L1721" s="10" t="n"/>
      <c r="M1721" s="218" t="inlineStr">
        <is>
          <t>1o Arbitro</t>
        </is>
      </c>
      <c r="N1721" s="218" t="inlineStr">
        <is>
          <t>2o Arbitro</t>
        </is>
      </c>
      <c r="O1721" s="218" t="inlineStr">
        <is>
          <t>3o Arbitro/Tirocinante</t>
        </is>
      </c>
      <c r="P1721" s="218" t="inlineStr">
        <is>
          <t>Referto</t>
        </is>
      </c>
      <c r="Q1721" s="218" t="inlineStr">
        <is>
          <t>Cronometro</t>
        </is>
      </c>
      <c r="R1721" s="218" t="inlineStr">
        <is>
          <t>Foglio Tiri</t>
        </is>
      </c>
    </row>
    <row r="1722" ht="22" customHeight="1">
      <c r="A1722" s="137">
        <f>IF('Playoff'!A22="","",'Playoff'!A22)</f>
        <v/>
      </c>
      <c r="B1722" s="61">
        <f>IF('Playoff'!B22="","",'Playoff'!B22)</f>
        <v/>
      </c>
      <c r="C1722" s="62">
        <f>IF('Playoff'!C22="","",'Playoff'!C22)</f>
        <v/>
      </c>
      <c r="D1722" s="61">
        <f>IF('Playoff'!D22="","",'Playoff'!D22)</f>
        <v/>
      </c>
      <c r="E1722" s="62">
        <f>IF('Playoff'!E22="","",'Playoff'!E22)</f>
        <v/>
      </c>
      <c r="F1722" s="63">
        <f>IF('Playoff'!F22="","",'Playoff'!F22)</f>
        <v/>
      </c>
      <c r="G1722" s="9" t="n"/>
      <c r="H1722" s="9" t="n"/>
      <c r="I1722" s="10" t="n"/>
      <c r="J1722" s="195">
        <f>IF('Playoff'!J22="","",'Playoff'!J22)</f>
        <v/>
      </c>
      <c r="K1722" s="64" t="inlineStr">
        <is>
          <t>-</t>
        </is>
      </c>
      <c r="L1722" s="195">
        <f>IF('Playoff'!L22="","",'Playoff'!L22)</f>
        <v/>
      </c>
      <c r="M1722" s="196" t="n"/>
      <c r="N1722" s="196" t="n"/>
      <c r="O1722" s="196" t="n"/>
      <c r="P1722" s="196" t="n"/>
      <c r="Q1722" s="196" t="n"/>
      <c r="R1722" s="196" t="n"/>
    </row>
    <row r="1723" ht="15" customHeight="1">
      <c r="A1723" s="141" t="n"/>
      <c r="B1723" s="69">
        <f>IF('Playoff'!B23="","",'Playoff'!B23)</f>
        <v/>
      </c>
      <c r="C1723" s="9" t="n"/>
      <c r="D1723" s="9" t="n"/>
      <c r="E1723" s="9" t="n"/>
      <c r="F1723" s="9" t="n"/>
      <c r="G1723" s="9" t="n"/>
      <c r="H1723" s="10" t="n"/>
      <c r="I1723" s="62">
        <f>IF('Playoff'!I23="","",'Playoff'!I23)</f>
        <v/>
      </c>
      <c r="J1723" s="141" t="n"/>
      <c r="K1723" s="141" t="n"/>
      <c r="L1723" s="141" t="n"/>
      <c r="M1723" s="141" t="n"/>
      <c r="N1723" s="141" t="n"/>
      <c r="O1723" s="141" t="n"/>
      <c r="P1723" s="141" t="n"/>
      <c r="Q1723" s="141" t="n"/>
      <c r="R1723" s="141" t="n"/>
    </row>
    <row r="1724" ht="14" customHeight="1">
      <c r="A1724" s="135" t="inlineStr">
        <is>
          <t>Gara N.</t>
        </is>
      </c>
      <c r="B1724" s="135" t="inlineStr">
        <is>
          <t>Squadra A</t>
        </is>
      </c>
      <c r="C1724" s="10" t="n"/>
      <c r="D1724" s="135" t="inlineStr">
        <is>
          <t>Squadra B</t>
        </is>
      </c>
      <c r="E1724" s="10" t="n"/>
      <c r="F1724" s="135" t="inlineStr">
        <is>
          <t>Giorno</t>
        </is>
      </c>
      <c r="G1724" s="135" t="inlineStr">
        <is>
          <t>Data</t>
        </is>
      </c>
      <c r="H1724" s="135" t="inlineStr">
        <is>
          <t>Ora</t>
        </is>
      </c>
      <c r="I1724" s="10" t="n"/>
      <c r="J1724" s="135" t="inlineStr">
        <is>
          <t>Risultato</t>
        </is>
      </c>
      <c r="K1724" s="9" t="n"/>
      <c r="L1724" s="10" t="n"/>
      <c r="M1724" s="218" t="inlineStr">
        <is>
          <t>1o Arbitro</t>
        </is>
      </c>
      <c r="N1724" s="218" t="inlineStr">
        <is>
          <t>2o Arbitro</t>
        </is>
      </c>
      <c r="O1724" s="218" t="inlineStr">
        <is>
          <t>3o Arbitro/Tirocinante</t>
        </is>
      </c>
      <c r="P1724" s="218" t="inlineStr">
        <is>
          <t>Referto</t>
        </is>
      </c>
      <c r="Q1724" s="218" t="inlineStr">
        <is>
          <t>Cronometro</t>
        </is>
      </c>
      <c r="R1724" s="218" t="inlineStr">
        <is>
          <t>Foglio Tiri</t>
        </is>
      </c>
    </row>
    <row r="1725" ht="22" customHeight="1">
      <c r="A1725" s="137">
        <f>IF('Playoff'!A25="","",'Playoff'!A25)</f>
        <v/>
      </c>
      <c r="B1725" s="61">
        <f>IF('Playoff'!B25="","",'Playoff'!B25)</f>
        <v/>
      </c>
      <c r="C1725" s="62">
        <f>IF('Playoff'!C25="","",'Playoff'!C25)</f>
        <v/>
      </c>
      <c r="D1725" s="61">
        <f>IF('Playoff'!D25="","",'Playoff'!D25)</f>
        <v/>
      </c>
      <c r="E1725" s="62">
        <f>IF('Playoff'!E25="","",'Playoff'!E25)</f>
        <v/>
      </c>
      <c r="F1725" s="63">
        <f>IF('Playoff'!F25="","",'Playoff'!F25)</f>
        <v/>
      </c>
      <c r="G1725" s="9" t="n"/>
      <c r="H1725" s="9" t="n"/>
      <c r="I1725" s="10" t="n"/>
      <c r="J1725" s="195">
        <f>IF('Playoff'!J25="","",'Playoff'!J25)</f>
        <v/>
      </c>
      <c r="K1725" s="64" t="inlineStr">
        <is>
          <t>-</t>
        </is>
      </c>
      <c r="L1725" s="195">
        <f>IF('Playoff'!L25="","",'Playoff'!L25)</f>
        <v/>
      </c>
      <c r="M1725" s="196" t="n"/>
      <c r="N1725" s="196" t="n"/>
      <c r="O1725" s="196" t="n"/>
      <c r="P1725" s="196" t="n"/>
      <c r="Q1725" s="196" t="n"/>
      <c r="R1725" s="196" t="n"/>
    </row>
    <row r="1726" ht="15" customHeight="1">
      <c r="A1726" s="141" t="n"/>
      <c r="B1726" s="69">
        <f>IF('Playoff'!B26="","",'Playoff'!B26)</f>
        <v/>
      </c>
      <c r="C1726" s="9" t="n"/>
      <c r="D1726" s="9" t="n"/>
      <c r="E1726" s="9" t="n"/>
      <c r="F1726" s="9" t="n"/>
      <c r="G1726" s="9" t="n"/>
      <c r="H1726" s="10" t="n"/>
      <c r="I1726" s="62">
        <f>IF('Playoff'!I26="","",'Playoff'!I26)</f>
        <v/>
      </c>
      <c r="J1726" s="141" t="n"/>
      <c r="K1726" s="141" t="n"/>
      <c r="L1726" s="141" t="n"/>
      <c r="M1726" s="141" t="n"/>
      <c r="N1726" s="141" t="n"/>
      <c r="O1726" s="141" t="n"/>
      <c r="P1726" s="141" t="n"/>
      <c r="Q1726" s="141" t="n"/>
      <c r="R1726" s="141" t="n"/>
    </row>
    <row r="1727" ht="14" customHeight="1">
      <c r="A1727" s="135" t="inlineStr">
        <is>
          <t>Gara N.</t>
        </is>
      </c>
      <c r="B1727" s="135" t="inlineStr">
        <is>
          <t>Squadra A</t>
        </is>
      </c>
      <c r="C1727" s="10" t="n"/>
      <c r="D1727" s="135" t="inlineStr">
        <is>
          <t>Squadra B</t>
        </is>
      </c>
      <c r="E1727" s="10" t="n"/>
      <c r="F1727" s="135" t="inlineStr">
        <is>
          <t>Giorno</t>
        </is>
      </c>
      <c r="G1727" s="135" t="inlineStr">
        <is>
          <t>Data</t>
        </is>
      </c>
      <c r="H1727" s="135" t="inlineStr">
        <is>
          <t>Ora</t>
        </is>
      </c>
      <c r="I1727" s="10" t="n"/>
      <c r="J1727" s="135" t="inlineStr">
        <is>
          <t>Risultato</t>
        </is>
      </c>
      <c r="K1727" s="9" t="n"/>
      <c r="L1727" s="10" t="n"/>
      <c r="M1727" s="218" t="inlineStr">
        <is>
          <t>1o Arbitro</t>
        </is>
      </c>
      <c r="N1727" s="218" t="inlineStr">
        <is>
          <t>2o Arbitro</t>
        </is>
      </c>
      <c r="O1727" s="218" t="inlineStr">
        <is>
          <t>3o Arbitro/Tirocinante</t>
        </is>
      </c>
      <c r="P1727" s="218" t="inlineStr">
        <is>
          <t>Referto</t>
        </is>
      </c>
      <c r="Q1727" s="218" t="inlineStr">
        <is>
          <t>Cronometro</t>
        </is>
      </c>
      <c r="R1727" s="218" t="inlineStr">
        <is>
          <t>Foglio Tiri</t>
        </is>
      </c>
    </row>
    <row r="1728" ht="22" customHeight="1">
      <c r="A1728" s="137">
        <f>IF('Playoff'!A28="","",'Playoff'!A28)</f>
        <v/>
      </c>
      <c r="B1728" s="61">
        <f>IF('Playoff'!B28="","",'Playoff'!B28)</f>
        <v/>
      </c>
      <c r="C1728" s="62">
        <f>IF('Playoff'!C28="","",'Playoff'!C28)</f>
        <v/>
      </c>
      <c r="D1728" s="61">
        <f>IF('Playoff'!D28="","",'Playoff'!D28)</f>
        <v/>
      </c>
      <c r="E1728" s="62">
        <f>IF('Playoff'!E28="","",'Playoff'!E28)</f>
        <v/>
      </c>
      <c r="F1728" s="63">
        <f>IF('Playoff'!F28="","",'Playoff'!F28)</f>
        <v/>
      </c>
      <c r="G1728" s="9" t="n"/>
      <c r="H1728" s="9" t="n"/>
      <c r="I1728" s="10" t="n"/>
      <c r="J1728" s="195">
        <f>IF('Playoff'!J28="","",'Playoff'!J28)</f>
        <v/>
      </c>
      <c r="K1728" s="64" t="inlineStr">
        <is>
          <t>-</t>
        </is>
      </c>
      <c r="L1728" s="195">
        <f>IF('Playoff'!L28="","",'Playoff'!L28)</f>
        <v/>
      </c>
      <c r="M1728" s="196" t="n"/>
      <c r="N1728" s="196" t="n"/>
      <c r="O1728" s="196" t="n"/>
      <c r="P1728" s="196" t="n"/>
      <c r="Q1728" s="196" t="n"/>
      <c r="R1728" s="196" t="n"/>
    </row>
    <row r="1729" ht="15" customHeight="1">
      <c r="A1729" s="141" t="n"/>
      <c r="B1729" s="69">
        <f>IF('Playoff'!B29="","",'Playoff'!B29)</f>
        <v/>
      </c>
      <c r="C1729" s="9" t="n"/>
      <c r="D1729" s="9" t="n"/>
      <c r="E1729" s="9" t="n"/>
      <c r="F1729" s="9" t="n"/>
      <c r="G1729" s="9" t="n"/>
      <c r="H1729" s="10" t="n"/>
      <c r="I1729" s="62">
        <f>IF('Playoff'!I29="","",'Playoff'!I29)</f>
        <v/>
      </c>
      <c r="J1729" s="141" t="n"/>
      <c r="K1729" s="141" t="n"/>
      <c r="L1729" s="141" t="n"/>
      <c r="M1729" s="141" t="n"/>
      <c r="N1729" s="141" t="n"/>
      <c r="O1729" s="141" t="n"/>
      <c r="P1729" s="141" t="n"/>
      <c r="Q1729" s="141" t="n"/>
      <c r="R1729" s="141" t="n"/>
    </row>
    <row r="1730" ht="14" customHeight="1">
      <c r="A1730" s="135" t="inlineStr">
        <is>
          <t>Gara N.</t>
        </is>
      </c>
      <c r="B1730" s="135" t="inlineStr">
        <is>
          <t>Squadra A</t>
        </is>
      </c>
      <c r="C1730" s="10" t="n"/>
      <c r="D1730" s="135" t="inlineStr">
        <is>
          <t>Squadra B</t>
        </is>
      </c>
      <c r="E1730" s="10" t="n"/>
      <c r="F1730" s="135" t="inlineStr">
        <is>
          <t>Giorno</t>
        </is>
      </c>
      <c r="G1730" s="135" t="inlineStr">
        <is>
          <t>Data</t>
        </is>
      </c>
      <c r="H1730" s="135" t="inlineStr">
        <is>
          <t>Ora</t>
        </is>
      </c>
      <c r="I1730" s="10" t="n"/>
      <c r="J1730" s="135" t="inlineStr">
        <is>
          <t>Risultato</t>
        </is>
      </c>
      <c r="K1730" s="9" t="n"/>
      <c r="L1730" s="10" t="n"/>
      <c r="M1730" s="218" t="inlineStr">
        <is>
          <t>1o Arbitro</t>
        </is>
      </c>
      <c r="N1730" s="218" t="inlineStr">
        <is>
          <t>2o Arbitro</t>
        </is>
      </c>
      <c r="O1730" s="218" t="inlineStr">
        <is>
          <t>3o Arbitro/Tirocinante</t>
        </is>
      </c>
      <c r="P1730" s="218" t="inlineStr">
        <is>
          <t>Referto</t>
        </is>
      </c>
      <c r="Q1730" s="218" t="inlineStr">
        <is>
          <t>Cronometro</t>
        </is>
      </c>
      <c r="R1730" s="218" t="inlineStr">
        <is>
          <t>Foglio Tiri</t>
        </is>
      </c>
    </row>
    <row r="1731" ht="22" customHeight="1">
      <c r="A1731" s="137">
        <f>IF('Playoff'!A31="","",'Playoff'!A31)</f>
        <v/>
      </c>
      <c r="B1731" s="61">
        <f>IF('Playoff'!B31="","",'Playoff'!B31)</f>
        <v/>
      </c>
      <c r="C1731" s="62">
        <f>IF('Playoff'!C31="","",'Playoff'!C31)</f>
        <v/>
      </c>
      <c r="D1731" s="61">
        <f>IF('Playoff'!D31="","",'Playoff'!D31)</f>
        <v/>
      </c>
      <c r="E1731" s="62">
        <f>IF('Playoff'!E31="","",'Playoff'!E31)</f>
        <v/>
      </c>
      <c r="F1731" s="63">
        <f>IF('Playoff'!F31="","",'Playoff'!F31)</f>
        <v/>
      </c>
      <c r="G1731" s="9" t="n"/>
      <c r="H1731" s="9" t="n"/>
      <c r="I1731" s="10" t="n"/>
      <c r="J1731" s="195">
        <f>IF('Playoff'!J31="","",'Playoff'!J31)</f>
        <v/>
      </c>
      <c r="K1731" s="64" t="inlineStr">
        <is>
          <t>-</t>
        </is>
      </c>
      <c r="L1731" s="195">
        <f>IF('Playoff'!L31="","",'Playoff'!L31)</f>
        <v/>
      </c>
      <c r="M1731" s="196" t="n"/>
      <c r="N1731" s="196" t="n"/>
      <c r="O1731" s="196" t="n"/>
      <c r="P1731" s="196" t="n"/>
      <c r="Q1731" s="196" t="n"/>
      <c r="R1731" s="196" t="n"/>
    </row>
    <row r="1732" ht="15" customHeight="1">
      <c r="A1732" s="141" t="n"/>
      <c r="B1732" s="69">
        <f>IF('Playoff'!B32="","",'Playoff'!B32)</f>
        <v/>
      </c>
      <c r="C1732" s="9" t="n"/>
      <c r="D1732" s="9" t="n"/>
      <c r="E1732" s="9" t="n"/>
      <c r="F1732" s="9" t="n"/>
      <c r="G1732" s="9" t="n"/>
      <c r="H1732" s="10" t="n"/>
      <c r="I1732" s="62">
        <f>IF('Playoff'!I32="","",'Playoff'!I32)</f>
        <v/>
      </c>
      <c r="J1732" s="141" t="n"/>
      <c r="K1732" s="141" t="n"/>
      <c r="L1732" s="141" t="n"/>
      <c r="M1732" s="141" t="n"/>
      <c r="N1732" s="141" t="n"/>
      <c r="O1732" s="141" t="n"/>
      <c r="P1732" s="141" t="n"/>
      <c r="Q1732" s="141" t="n"/>
      <c r="R1732" s="141" t="n"/>
    </row>
    <row r="1734" ht="20" customHeight="1">
      <c r="A1734" s="216">
        <f>IF('Playoff'!A34="","",'Playoff'!A34)</f>
        <v/>
      </c>
      <c r="B1734" s="133">
        <f>IF('Playoff'!B34="","",'Playoff'!B34)</f>
        <v/>
      </c>
      <c r="C1734" s="9" t="n"/>
      <c r="D1734" s="9" t="n"/>
      <c r="E1734" s="9" t="n"/>
      <c r="F1734" s="9" t="n"/>
      <c r="G1734" s="9" t="n"/>
      <c r="H1734" s="9" t="n"/>
      <c r="I1734" s="9" t="n"/>
      <c r="J1734" s="9" t="n"/>
      <c r="K1734" s="9" t="n"/>
      <c r="L1734" s="10" t="n"/>
      <c r="M1734" s="217" t="inlineStr">
        <is>
          <t>ARBITRI</t>
        </is>
      </c>
      <c r="N1734" s="9" t="n"/>
      <c r="O1734" s="10" t="n"/>
      <c r="P1734" s="217" t="inlineStr">
        <is>
          <t>UFFICIALI DI CAMPO</t>
        </is>
      </c>
      <c r="Q1734" s="9" t="n"/>
      <c r="R1734" s="10" t="n"/>
    </row>
    <row r="1735" ht="14" customHeight="1">
      <c r="A1735" s="135" t="inlineStr">
        <is>
          <t>Gara N.</t>
        </is>
      </c>
      <c r="B1735" s="135" t="inlineStr">
        <is>
          <t>Squadra A</t>
        </is>
      </c>
      <c r="C1735" s="10" t="n"/>
      <c r="D1735" s="135" t="inlineStr">
        <is>
          <t>Squadra B</t>
        </is>
      </c>
      <c r="E1735" s="10" t="n"/>
      <c r="F1735" s="135" t="inlineStr">
        <is>
          <t>Giorno</t>
        </is>
      </c>
      <c r="G1735" s="135" t="inlineStr">
        <is>
          <t>Data</t>
        </is>
      </c>
      <c r="H1735" s="135" t="inlineStr">
        <is>
          <t>Ora</t>
        </is>
      </c>
      <c r="I1735" s="10" t="n"/>
      <c r="J1735" s="135" t="inlineStr">
        <is>
          <t>Risultato</t>
        </is>
      </c>
      <c r="K1735" s="9" t="n"/>
      <c r="L1735" s="10" t="n"/>
      <c r="M1735" s="218" t="inlineStr">
        <is>
          <t>1o Arbitro</t>
        </is>
      </c>
      <c r="N1735" s="218" t="inlineStr">
        <is>
          <t>2o Arbitro</t>
        </is>
      </c>
      <c r="O1735" s="218" t="inlineStr">
        <is>
          <t>3o Arbitro/Tirocinante</t>
        </is>
      </c>
      <c r="P1735" s="218" t="inlineStr">
        <is>
          <t>Referto</t>
        </is>
      </c>
      <c r="Q1735" s="218" t="inlineStr">
        <is>
          <t>Cronometro</t>
        </is>
      </c>
      <c r="R1735" s="218" t="inlineStr">
        <is>
          <t>Foglio Tiri</t>
        </is>
      </c>
    </row>
    <row r="1736" ht="22" customHeight="1">
      <c r="A1736" s="137">
        <f>IF('Playoff'!A36="","",'Playoff'!A36)</f>
        <v/>
      </c>
      <c r="B1736" s="61">
        <f>IF('Playoff'!B36="","",'Playoff'!B36)</f>
        <v/>
      </c>
      <c r="C1736" s="62">
        <f>IF('Playoff'!C36="","",'Playoff'!C36)</f>
        <v/>
      </c>
      <c r="D1736" s="61">
        <f>IF('Playoff'!D36="","",'Playoff'!D36)</f>
        <v/>
      </c>
      <c r="E1736" s="62">
        <f>IF('Playoff'!E36="","",'Playoff'!E36)</f>
        <v/>
      </c>
      <c r="F1736" s="63">
        <f>IF('Playoff'!F36="","",'Playoff'!F36)</f>
        <v/>
      </c>
      <c r="G1736" s="9" t="n"/>
      <c r="H1736" s="9" t="n"/>
      <c r="I1736" s="10" t="n"/>
      <c r="J1736" s="195">
        <f>IF('Playoff'!J36="","",'Playoff'!J36)</f>
        <v/>
      </c>
      <c r="K1736" s="64" t="inlineStr">
        <is>
          <t>-</t>
        </is>
      </c>
      <c r="L1736" s="195">
        <f>IF('Playoff'!L36="","",'Playoff'!L36)</f>
        <v/>
      </c>
      <c r="M1736" s="196" t="n"/>
      <c r="N1736" s="196" t="n"/>
      <c r="O1736" s="196" t="n"/>
      <c r="P1736" s="196" t="n"/>
      <c r="Q1736" s="196" t="n"/>
      <c r="R1736" s="196" t="n"/>
    </row>
    <row r="1737" ht="15" customHeight="1">
      <c r="A1737" s="141" t="n"/>
      <c r="B1737" s="69">
        <f>IF('Playoff'!B37="","",'Playoff'!B37)</f>
        <v/>
      </c>
      <c r="C1737" s="9" t="n"/>
      <c r="D1737" s="9" t="n"/>
      <c r="E1737" s="9" t="n"/>
      <c r="F1737" s="9" t="n"/>
      <c r="G1737" s="9" t="n"/>
      <c r="H1737" s="10" t="n"/>
      <c r="I1737" s="62">
        <f>IF('Playoff'!I37="","",'Playoff'!I37)</f>
        <v/>
      </c>
      <c r="J1737" s="141" t="n"/>
      <c r="K1737" s="141" t="n"/>
      <c r="L1737" s="141" t="n"/>
      <c r="M1737" s="141" t="n"/>
      <c r="N1737" s="141" t="n"/>
      <c r="O1737" s="141" t="n"/>
      <c r="P1737" s="141" t="n"/>
      <c r="Q1737" s="141" t="n"/>
      <c r="R1737" s="141" t="n"/>
    </row>
    <row r="1738" ht="14" customHeight="1">
      <c r="A1738" s="135" t="inlineStr">
        <is>
          <t>Gara N.</t>
        </is>
      </c>
      <c r="B1738" s="135" t="inlineStr">
        <is>
          <t>Squadra A</t>
        </is>
      </c>
      <c r="C1738" s="10" t="n"/>
      <c r="D1738" s="135" t="inlineStr">
        <is>
          <t>Squadra B</t>
        </is>
      </c>
      <c r="E1738" s="10" t="n"/>
      <c r="F1738" s="135" t="inlineStr">
        <is>
          <t>Giorno</t>
        </is>
      </c>
      <c r="G1738" s="135" t="inlineStr">
        <is>
          <t>Data</t>
        </is>
      </c>
      <c r="H1738" s="135" t="inlineStr">
        <is>
          <t>Ora</t>
        </is>
      </c>
      <c r="I1738" s="10" t="n"/>
      <c r="J1738" s="135" t="inlineStr">
        <is>
          <t>Risultato</t>
        </is>
      </c>
      <c r="K1738" s="9" t="n"/>
      <c r="L1738" s="10" t="n"/>
      <c r="M1738" s="218" t="inlineStr">
        <is>
          <t>1o Arbitro</t>
        </is>
      </c>
      <c r="N1738" s="218" t="inlineStr">
        <is>
          <t>2o Arbitro</t>
        </is>
      </c>
      <c r="O1738" s="218" t="inlineStr">
        <is>
          <t>3o Arbitro/Tirocinante</t>
        </is>
      </c>
      <c r="P1738" s="218" t="inlineStr">
        <is>
          <t>Referto</t>
        </is>
      </c>
      <c r="Q1738" s="218" t="inlineStr">
        <is>
          <t>Cronometro</t>
        </is>
      </c>
      <c r="R1738" s="218" t="inlineStr">
        <is>
          <t>Foglio Tiri</t>
        </is>
      </c>
    </row>
    <row r="1739" ht="22" customHeight="1">
      <c r="A1739" s="137">
        <f>IF('Playoff'!A39="","",'Playoff'!A39)</f>
        <v/>
      </c>
      <c r="B1739" s="61">
        <f>IF('Playoff'!B39="","",'Playoff'!B39)</f>
        <v/>
      </c>
      <c r="C1739" s="62">
        <f>IF('Playoff'!C39="","",'Playoff'!C39)</f>
        <v/>
      </c>
      <c r="D1739" s="61">
        <f>IF('Playoff'!D39="","",'Playoff'!D39)</f>
        <v/>
      </c>
      <c r="E1739" s="62">
        <f>IF('Playoff'!E39="","",'Playoff'!E39)</f>
        <v/>
      </c>
      <c r="F1739" s="63">
        <f>IF('Playoff'!F39="","",'Playoff'!F39)</f>
        <v/>
      </c>
      <c r="G1739" s="9" t="n"/>
      <c r="H1739" s="9" t="n"/>
      <c r="I1739" s="10" t="n"/>
      <c r="J1739" s="195">
        <f>IF('Playoff'!J39="","",'Playoff'!J39)</f>
        <v/>
      </c>
      <c r="K1739" s="64" t="inlineStr">
        <is>
          <t>-</t>
        </is>
      </c>
      <c r="L1739" s="195">
        <f>IF('Playoff'!L39="","",'Playoff'!L39)</f>
        <v/>
      </c>
      <c r="M1739" s="196" t="n"/>
      <c r="N1739" s="196" t="n"/>
      <c r="O1739" s="196" t="n"/>
      <c r="P1739" s="196" t="n"/>
      <c r="Q1739" s="196" t="n"/>
      <c r="R1739" s="196" t="n"/>
    </row>
    <row r="1740" ht="15" customHeight="1">
      <c r="A1740" s="141" t="n"/>
      <c r="B1740" s="69">
        <f>IF('Playoff'!B40="","",'Playoff'!B40)</f>
        <v/>
      </c>
      <c r="C1740" s="9" t="n"/>
      <c r="D1740" s="9" t="n"/>
      <c r="E1740" s="9" t="n"/>
      <c r="F1740" s="9" t="n"/>
      <c r="G1740" s="9" t="n"/>
      <c r="H1740" s="10" t="n"/>
      <c r="I1740" s="62">
        <f>IF('Playoff'!I40="","",'Playoff'!I40)</f>
        <v/>
      </c>
      <c r="J1740" s="141" t="n"/>
      <c r="K1740" s="141" t="n"/>
      <c r="L1740" s="141" t="n"/>
      <c r="M1740" s="141" t="n"/>
      <c r="N1740" s="141" t="n"/>
      <c r="O1740" s="141" t="n"/>
      <c r="P1740" s="141" t="n"/>
      <c r="Q1740" s="141" t="n"/>
      <c r="R1740" s="141" t="n"/>
    </row>
    <row r="1741" ht="14" customHeight="1">
      <c r="A1741" s="135" t="inlineStr">
        <is>
          <t>Gara N.</t>
        </is>
      </c>
      <c r="B1741" s="135" t="inlineStr">
        <is>
          <t>Squadra A</t>
        </is>
      </c>
      <c r="C1741" s="10" t="n"/>
      <c r="D1741" s="135" t="inlineStr">
        <is>
          <t>Squadra B</t>
        </is>
      </c>
      <c r="E1741" s="10" t="n"/>
      <c r="F1741" s="135" t="inlineStr">
        <is>
          <t>Giorno</t>
        </is>
      </c>
      <c r="G1741" s="135" t="inlineStr">
        <is>
          <t>Data</t>
        </is>
      </c>
      <c r="H1741" s="135" t="inlineStr">
        <is>
          <t>Ora</t>
        </is>
      </c>
      <c r="I1741" s="10" t="n"/>
      <c r="J1741" s="135" t="inlineStr">
        <is>
          <t>Risultato</t>
        </is>
      </c>
      <c r="K1741" s="9" t="n"/>
      <c r="L1741" s="10" t="n"/>
      <c r="M1741" s="218" t="inlineStr">
        <is>
          <t>1o Arbitro</t>
        </is>
      </c>
      <c r="N1741" s="218" t="inlineStr">
        <is>
          <t>2o Arbitro</t>
        </is>
      </c>
      <c r="O1741" s="218" t="inlineStr">
        <is>
          <t>3o Arbitro/Tirocinante</t>
        </is>
      </c>
      <c r="P1741" s="218" t="inlineStr">
        <is>
          <t>Referto</t>
        </is>
      </c>
      <c r="Q1741" s="218" t="inlineStr">
        <is>
          <t>Cronometro</t>
        </is>
      </c>
      <c r="R1741" s="218" t="inlineStr">
        <is>
          <t>Foglio Tiri</t>
        </is>
      </c>
    </row>
    <row r="1742" ht="22" customHeight="1">
      <c r="A1742" s="137">
        <f>IF('Playoff'!A42="","",'Playoff'!A42)</f>
        <v/>
      </c>
      <c r="B1742" s="61">
        <f>IF('Playoff'!B42="","",'Playoff'!B42)</f>
        <v/>
      </c>
      <c r="C1742" s="62">
        <f>IF('Playoff'!C42="","",'Playoff'!C42)</f>
        <v/>
      </c>
      <c r="D1742" s="61">
        <f>IF('Playoff'!D42="","",'Playoff'!D42)</f>
        <v/>
      </c>
      <c r="E1742" s="62">
        <f>IF('Playoff'!E42="","",'Playoff'!E42)</f>
        <v/>
      </c>
      <c r="F1742" s="63">
        <f>IF('Playoff'!F42="","",'Playoff'!F42)</f>
        <v/>
      </c>
      <c r="G1742" s="9" t="n"/>
      <c r="H1742" s="9" t="n"/>
      <c r="I1742" s="10" t="n"/>
      <c r="J1742" s="195">
        <f>IF('Playoff'!J42="","",'Playoff'!J42)</f>
        <v/>
      </c>
      <c r="K1742" s="64" t="inlineStr">
        <is>
          <t>-</t>
        </is>
      </c>
      <c r="L1742" s="195">
        <f>IF('Playoff'!L42="","",'Playoff'!L42)</f>
        <v/>
      </c>
      <c r="M1742" s="196" t="n"/>
      <c r="N1742" s="196" t="n"/>
      <c r="O1742" s="196" t="n"/>
      <c r="P1742" s="196" t="n"/>
      <c r="Q1742" s="196" t="n"/>
      <c r="R1742" s="196" t="n"/>
    </row>
    <row r="1743" ht="15" customHeight="1">
      <c r="A1743" s="141" t="n"/>
      <c r="B1743" s="69">
        <f>IF('Playoff'!B43="","",'Playoff'!B43)</f>
        <v/>
      </c>
      <c r="C1743" s="9" t="n"/>
      <c r="D1743" s="9" t="n"/>
      <c r="E1743" s="9" t="n"/>
      <c r="F1743" s="9" t="n"/>
      <c r="G1743" s="9" t="n"/>
      <c r="H1743" s="10" t="n"/>
      <c r="I1743" s="62">
        <f>IF('Playoff'!I43="","",'Playoff'!I43)</f>
        <v/>
      </c>
      <c r="J1743" s="141" t="n"/>
      <c r="K1743" s="141" t="n"/>
      <c r="L1743" s="141" t="n"/>
      <c r="M1743" s="141" t="n"/>
      <c r="N1743" s="141" t="n"/>
      <c r="O1743" s="141" t="n"/>
      <c r="P1743" s="141" t="n"/>
      <c r="Q1743" s="141" t="n"/>
      <c r="R1743" s="141" t="n"/>
    </row>
    <row r="1744" ht="14" customHeight="1">
      <c r="A1744" s="135" t="inlineStr">
        <is>
          <t>Gara N.</t>
        </is>
      </c>
      <c r="B1744" s="135" t="inlineStr">
        <is>
          <t>Squadra A</t>
        </is>
      </c>
      <c r="C1744" s="10" t="n"/>
      <c r="D1744" s="135" t="inlineStr">
        <is>
          <t>Squadra B</t>
        </is>
      </c>
      <c r="E1744" s="10" t="n"/>
      <c r="F1744" s="135" t="inlineStr">
        <is>
          <t>Giorno</t>
        </is>
      </c>
      <c r="G1744" s="135" t="inlineStr">
        <is>
          <t>Data</t>
        </is>
      </c>
      <c r="H1744" s="135" t="inlineStr">
        <is>
          <t>Ora</t>
        </is>
      </c>
      <c r="I1744" s="10" t="n"/>
      <c r="J1744" s="135" t="inlineStr">
        <is>
          <t>Risultato</t>
        </is>
      </c>
      <c r="K1744" s="9" t="n"/>
      <c r="L1744" s="10" t="n"/>
      <c r="M1744" s="218" t="inlineStr">
        <is>
          <t>1o Arbitro</t>
        </is>
      </c>
      <c r="N1744" s="218" t="inlineStr">
        <is>
          <t>2o Arbitro</t>
        </is>
      </c>
      <c r="O1744" s="218" t="inlineStr">
        <is>
          <t>3o Arbitro/Tirocinante</t>
        </is>
      </c>
      <c r="P1744" s="218" t="inlineStr">
        <is>
          <t>Referto</t>
        </is>
      </c>
      <c r="Q1744" s="218" t="inlineStr">
        <is>
          <t>Cronometro</t>
        </is>
      </c>
      <c r="R1744" s="218" t="inlineStr">
        <is>
          <t>Foglio Tiri</t>
        </is>
      </c>
    </row>
    <row r="1745" ht="22" customHeight="1">
      <c r="A1745" s="137">
        <f>IF('Playoff'!A45="","",'Playoff'!A45)</f>
        <v/>
      </c>
      <c r="B1745" s="61">
        <f>IF('Playoff'!B45="","",'Playoff'!B45)</f>
        <v/>
      </c>
      <c r="C1745" s="62">
        <f>IF('Playoff'!C45="","",'Playoff'!C45)</f>
        <v/>
      </c>
      <c r="D1745" s="61">
        <f>IF('Playoff'!D45="","",'Playoff'!D45)</f>
        <v/>
      </c>
      <c r="E1745" s="62">
        <f>IF('Playoff'!E45="","",'Playoff'!E45)</f>
        <v/>
      </c>
      <c r="F1745" s="63">
        <f>IF('Playoff'!F45="","",'Playoff'!F45)</f>
        <v/>
      </c>
      <c r="G1745" s="9" t="n"/>
      <c r="H1745" s="9" t="n"/>
      <c r="I1745" s="10" t="n"/>
      <c r="J1745" s="195">
        <f>IF('Playoff'!J45="","",'Playoff'!J45)</f>
        <v/>
      </c>
      <c r="K1745" s="64" t="inlineStr">
        <is>
          <t>-</t>
        </is>
      </c>
      <c r="L1745" s="195">
        <f>IF('Playoff'!L45="","",'Playoff'!L45)</f>
        <v/>
      </c>
      <c r="M1745" s="196" t="n"/>
      <c r="N1745" s="196" t="n"/>
      <c r="O1745" s="196" t="n"/>
      <c r="P1745" s="196" t="n"/>
      <c r="Q1745" s="196" t="n"/>
      <c r="R1745" s="196" t="n"/>
    </row>
    <row r="1746" ht="15" customHeight="1">
      <c r="A1746" s="141" t="n"/>
      <c r="B1746" s="69">
        <f>IF('Playoff'!B46="","",'Playoff'!B46)</f>
        <v/>
      </c>
      <c r="C1746" s="9" t="n"/>
      <c r="D1746" s="9" t="n"/>
      <c r="E1746" s="9" t="n"/>
      <c r="F1746" s="9" t="n"/>
      <c r="G1746" s="9" t="n"/>
      <c r="H1746" s="10" t="n"/>
      <c r="I1746" s="62">
        <f>IF('Playoff'!I46="","",'Playoff'!I46)</f>
        <v/>
      </c>
      <c r="J1746" s="141" t="n"/>
      <c r="K1746" s="141" t="n"/>
      <c r="L1746" s="141" t="n"/>
      <c r="M1746" s="141" t="n"/>
      <c r="N1746" s="141" t="n"/>
      <c r="O1746" s="141" t="n"/>
      <c r="P1746" s="141" t="n"/>
      <c r="Q1746" s="141" t="n"/>
      <c r="R1746" s="141" t="n"/>
    </row>
    <row r="1748" ht="20" customHeight="1">
      <c r="A1748" s="216">
        <f>IF('Playoff'!A48="","",'Playoff'!A48)</f>
        <v/>
      </c>
      <c r="B1748" s="133">
        <f>IF('Playoff'!B48="","",'Playoff'!B48)</f>
        <v/>
      </c>
      <c r="C1748" s="9" t="n"/>
      <c r="D1748" s="9" t="n"/>
      <c r="E1748" s="9" t="n"/>
      <c r="F1748" s="9" t="n"/>
      <c r="G1748" s="9" t="n"/>
      <c r="H1748" s="9" t="n"/>
      <c r="I1748" s="9" t="n"/>
      <c r="J1748" s="9" t="n"/>
      <c r="K1748" s="9" t="n"/>
      <c r="L1748" s="10" t="n"/>
      <c r="M1748" s="217" t="inlineStr">
        <is>
          <t>ARBITRI</t>
        </is>
      </c>
      <c r="N1748" s="9" t="n"/>
      <c r="O1748" s="10" t="n"/>
      <c r="P1748" s="217" t="inlineStr">
        <is>
          <t>UFFICIALI DI CAMPO</t>
        </is>
      </c>
      <c r="Q1748" s="9" t="n"/>
      <c r="R1748" s="10" t="n"/>
    </row>
    <row r="1749" ht="14" customHeight="1">
      <c r="A1749" s="135" t="inlineStr">
        <is>
          <t>Gara N.</t>
        </is>
      </c>
      <c r="B1749" s="135" t="inlineStr">
        <is>
          <t>Squadra A</t>
        </is>
      </c>
      <c r="C1749" s="10" t="n"/>
      <c r="D1749" s="135" t="inlineStr">
        <is>
          <t>Squadra B</t>
        </is>
      </c>
      <c r="E1749" s="10" t="n"/>
      <c r="F1749" s="135" t="inlineStr">
        <is>
          <t>Giorno</t>
        </is>
      </c>
      <c r="G1749" s="135" t="inlineStr">
        <is>
          <t>Data</t>
        </is>
      </c>
      <c r="H1749" s="135" t="inlineStr">
        <is>
          <t>Ora</t>
        </is>
      </c>
      <c r="I1749" s="10" t="n"/>
      <c r="J1749" s="135" t="inlineStr">
        <is>
          <t>Risultato</t>
        </is>
      </c>
      <c r="K1749" s="9" t="n"/>
      <c r="L1749" s="10" t="n"/>
      <c r="M1749" s="218" t="inlineStr">
        <is>
          <t>1o Arbitro</t>
        </is>
      </c>
      <c r="N1749" s="218" t="inlineStr">
        <is>
          <t>2o Arbitro</t>
        </is>
      </c>
      <c r="O1749" s="218" t="inlineStr">
        <is>
          <t>3o Arbitro/Tirocinante</t>
        </is>
      </c>
      <c r="P1749" s="218" t="inlineStr">
        <is>
          <t>Referto</t>
        </is>
      </c>
      <c r="Q1749" s="218" t="inlineStr">
        <is>
          <t>Cronometro</t>
        </is>
      </c>
      <c r="R1749" s="218" t="inlineStr">
        <is>
          <t>Foglio Tiri</t>
        </is>
      </c>
    </row>
    <row r="1750" ht="22" customHeight="1">
      <c r="A1750" s="137">
        <f>IF('Playoff'!A50="","",'Playoff'!A50)</f>
        <v/>
      </c>
      <c r="B1750" s="61">
        <f>IF('Playoff'!B50="","",'Playoff'!B50)</f>
        <v/>
      </c>
      <c r="C1750" s="62">
        <f>IF('Playoff'!C50="","",'Playoff'!C50)</f>
        <v/>
      </c>
      <c r="D1750" s="61">
        <f>IF('Playoff'!D50="","",'Playoff'!D50)</f>
        <v/>
      </c>
      <c r="E1750" s="62">
        <f>IF('Playoff'!E50="","",'Playoff'!E50)</f>
        <v/>
      </c>
      <c r="F1750" s="63">
        <f>IF('Playoff'!F50="","",'Playoff'!F50)</f>
        <v/>
      </c>
      <c r="G1750" s="9" t="n"/>
      <c r="H1750" s="9" t="n"/>
      <c r="I1750" s="10" t="n"/>
      <c r="J1750" s="195">
        <f>IF('Playoff'!J50="","",'Playoff'!J50)</f>
        <v/>
      </c>
      <c r="K1750" s="64" t="inlineStr">
        <is>
          <t>-</t>
        </is>
      </c>
      <c r="L1750" s="195">
        <f>IF('Playoff'!L50="","",'Playoff'!L50)</f>
        <v/>
      </c>
      <c r="M1750" s="196" t="n"/>
      <c r="N1750" s="196" t="n"/>
      <c r="O1750" s="196" t="n"/>
      <c r="P1750" s="196" t="n"/>
      <c r="Q1750" s="196" t="n"/>
      <c r="R1750" s="196" t="n"/>
    </row>
    <row r="1751" ht="15" customHeight="1">
      <c r="A1751" s="141" t="n"/>
      <c r="B1751" s="69">
        <f>IF('Playoff'!B51="","",'Playoff'!B51)</f>
        <v/>
      </c>
      <c r="C1751" s="9" t="n"/>
      <c r="D1751" s="9" t="n"/>
      <c r="E1751" s="9" t="n"/>
      <c r="F1751" s="9" t="n"/>
      <c r="G1751" s="9" t="n"/>
      <c r="H1751" s="10" t="n"/>
      <c r="I1751" s="62">
        <f>IF('Playoff'!I51="","",'Playoff'!I51)</f>
        <v/>
      </c>
      <c r="J1751" s="141" t="n"/>
      <c r="K1751" s="141" t="n"/>
      <c r="L1751" s="141" t="n"/>
      <c r="M1751" s="141" t="n"/>
      <c r="N1751" s="141" t="n"/>
      <c r="O1751" s="141" t="n"/>
      <c r="P1751" s="141" t="n"/>
      <c r="Q1751" s="141" t="n"/>
      <c r="R1751" s="141" t="n"/>
    </row>
    <row r="1752" ht="14" customHeight="1">
      <c r="A1752" s="135" t="inlineStr">
        <is>
          <t>Gara N.</t>
        </is>
      </c>
      <c r="B1752" s="135" t="inlineStr">
        <is>
          <t>Squadra A</t>
        </is>
      </c>
      <c r="C1752" s="10" t="n"/>
      <c r="D1752" s="135" t="inlineStr">
        <is>
          <t>Squadra B</t>
        </is>
      </c>
      <c r="E1752" s="10" t="n"/>
      <c r="F1752" s="135" t="inlineStr">
        <is>
          <t>Giorno</t>
        </is>
      </c>
      <c r="G1752" s="135" t="inlineStr">
        <is>
          <t>Data</t>
        </is>
      </c>
      <c r="H1752" s="135" t="inlineStr">
        <is>
          <t>Ora</t>
        </is>
      </c>
      <c r="I1752" s="10" t="n"/>
      <c r="J1752" s="135" t="inlineStr">
        <is>
          <t>Risultato</t>
        </is>
      </c>
      <c r="K1752" s="9" t="n"/>
      <c r="L1752" s="10" t="n"/>
      <c r="M1752" s="218" t="inlineStr">
        <is>
          <t>1o Arbitro</t>
        </is>
      </c>
      <c r="N1752" s="218" t="inlineStr">
        <is>
          <t>2o Arbitro</t>
        </is>
      </c>
      <c r="O1752" s="218" t="inlineStr">
        <is>
          <t>3o Arbitro/Tirocinante</t>
        </is>
      </c>
      <c r="P1752" s="218" t="inlineStr">
        <is>
          <t>Referto</t>
        </is>
      </c>
      <c r="Q1752" s="218" t="inlineStr">
        <is>
          <t>Cronometro</t>
        </is>
      </c>
      <c r="R1752" s="218" t="inlineStr">
        <is>
          <t>Foglio Tiri</t>
        </is>
      </c>
    </row>
    <row r="1753" ht="22" customHeight="1">
      <c r="A1753" s="137">
        <f>IF('Playoff'!A53="","",'Playoff'!A53)</f>
        <v/>
      </c>
      <c r="B1753" s="61">
        <f>IF('Playoff'!B53="","",'Playoff'!B53)</f>
        <v/>
      </c>
      <c r="C1753" s="62">
        <f>IF('Playoff'!C53="","",'Playoff'!C53)</f>
        <v/>
      </c>
      <c r="D1753" s="61">
        <f>IF('Playoff'!D53="","",'Playoff'!D53)</f>
        <v/>
      </c>
      <c r="E1753" s="62">
        <f>IF('Playoff'!E53="","",'Playoff'!E53)</f>
        <v/>
      </c>
      <c r="F1753" s="63">
        <f>IF('Playoff'!F53="","",'Playoff'!F53)</f>
        <v/>
      </c>
      <c r="G1753" s="9" t="n"/>
      <c r="H1753" s="9" t="n"/>
      <c r="I1753" s="10" t="n"/>
      <c r="J1753" s="195">
        <f>IF('Playoff'!J53="","",'Playoff'!J53)</f>
        <v/>
      </c>
      <c r="K1753" s="64" t="inlineStr">
        <is>
          <t>-</t>
        </is>
      </c>
      <c r="L1753" s="195">
        <f>IF('Playoff'!L53="","",'Playoff'!L53)</f>
        <v/>
      </c>
      <c r="M1753" s="196" t="n"/>
      <c r="N1753" s="196" t="n"/>
      <c r="O1753" s="196" t="n"/>
      <c r="P1753" s="196" t="n"/>
      <c r="Q1753" s="196" t="n"/>
      <c r="R1753" s="196" t="n"/>
    </row>
    <row r="1754" ht="15" customHeight="1">
      <c r="A1754" s="141" t="n"/>
      <c r="B1754" s="69">
        <f>IF('Playoff'!B54="","",'Playoff'!B54)</f>
        <v/>
      </c>
      <c r="C1754" s="9" t="n"/>
      <c r="D1754" s="9" t="n"/>
      <c r="E1754" s="9" t="n"/>
      <c r="F1754" s="9" t="n"/>
      <c r="G1754" s="9" t="n"/>
      <c r="H1754" s="10" t="n"/>
      <c r="I1754" s="62">
        <f>IF('Playoff'!I54="","",'Playoff'!I54)</f>
        <v/>
      </c>
      <c r="J1754" s="141" t="n"/>
      <c r="K1754" s="141" t="n"/>
      <c r="L1754" s="141" t="n"/>
      <c r="M1754" s="141" t="n"/>
      <c r="N1754" s="141" t="n"/>
      <c r="O1754" s="141" t="n"/>
      <c r="P1754" s="141" t="n"/>
      <c r="Q1754" s="141" t="n"/>
      <c r="R1754" s="141" t="n"/>
    </row>
    <row r="1756" ht="20" customHeight="1">
      <c r="A1756" s="216">
        <f>IF('Playoff'!A56="","",'Playoff'!A56)</f>
        <v/>
      </c>
      <c r="B1756" s="133">
        <f>IF('Playoff'!B56="","",'Playoff'!B56)</f>
        <v/>
      </c>
      <c r="C1756" s="9" t="n"/>
      <c r="D1756" s="9" t="n"/>
      <c r="E1756" s="9" t="n"/>
      <c r="F1756" s="9" t="n"/>
      <c r="G1756" s="9" t="n"/>
      <c r="H1756" s="9" t="n"/>
      <c r="I1756" s="9" t="n"/>
      <c r="J1756" s="9" t="n"/>
      <c r="K1756" s="9" t="n"/>
      <c r="L1756" s="10" t="n"/>
      <c r="M1756" s="217" t="inlineStr">
        <is>
          <t>ARBITRI</t>
        </is>
      </c>
      <c r="N1756" s="9" t="n"/>
      <c r="O1756" s="10" t="n"/>
      <c r="P1756" s="217" t="inlineStr">
        <is>
          <t>UFFICIALI DI CAMPO</t>
        </is>
      </c>
      <c r="Q1756" s="9" t="n"/>
      <c r="R1756" s="10" t="n"/>
    </row>
    <row r="1757" ht="14" customHeight="1">
      <c r="A1757" s="135" t="inlineStr">
        <is>
          <t>Gara N.</t>
        </is>
      </c>
      <c r="B1757" s="135" t="inlineStr">
        <is>
          <t>Squadra A</t>
        </is>
      </c>
      <c r="C1757" s="10" t="n"/>
      <c r="D1757" s="135" t="inlineStr">
        <is>
          <t>Squadra B</t>
        </is>
      </c>
      <c r="E1757" s="10" t="n"/>
      <c r="F1757" s="135" t="inlineStr">
        <is>
          <t>Giorno</t>
        </is>
      </c>
      <c r="G1757" s="135" t="inlineStr">
        <is>
          <t>Data</t>
        </is>
      </c>
      <c r="H1757" s="135" t="inlineStr">
        <is>
          <t>Ora</t>
        </is>
      </c>
      <c r="I1757" s="10" t="n"/>
      <c r="J1757" s="135" t="inlineStr">
        <is>
          <t>Risultato</t>
        </is>
      </c>
      <c r="K1757" s="9" t="n"/>
      <c r="L1757" s="10" t="n"/>
      <c r="M1757" s="218" t="inlineStr">
        <is>
          <t>1o Arbitro</t>
        </is>
      </c>
      <c r="N1757" s="218" t="inlineStr">
        <is>
          <t>2o Arbitro</t>
        </is>
      </c>
      <c r="O1757" s="218" t="inlineStr">
        <is>
          <t>3o Arbitro/Tirocinante</t>
        </is>
      </c>
      <c r="P1757" s="218" t="inlineStr">
        <is>
          <t>Referto</t>
        </is>
      </c>
      <c r="Q1757" s="218" t="inlineStr">
        <is>
          <t>Cronometro</t>
        </is>
      </c>
      <c r="R1757" s="218" t="inlineStr">
        <is>
          <t>Foglio Tiri</t>
        </is>
      </c>
    </row>
    <row r="1758" ht="22" customHeight="1">
      <c r="A1758" s="137">
        <f>IF('Playoff'!A58="","",'Playoff'!A58)</f>
        <v/>
      </c>
      <c r="B1758" s="61">
        <f>IF('Playoff'!B58="","",'Playoff'!B58)</f>
        <v/>
      </c>
      <c r="C1758" s="62">
        <f>IF('Playoff'!C58="","",'Playoff'!C58)</f>
        <v/>
      </c>
      <c r="D1758" s="61">
        <f>IF('Playoff'!D58="","",'Playoff'!D58)</f>
        <v/>
      </c>
      <c r="E1758" s="62">
        <f>IF('Playoff'!E58="","",'Playoff'!E58)</f>
        <v/>
      </c>
      <c r="F1758" s="63">
        <f>IF('Playoff'!F58="","",'Playoff'!F58)</f>
        <v/>
      </c>
      <c r="G1758" s="9" t="n"/>
      <c r="H1758" s="9" t="n"/>
      <c r="I1758" s="10" t="n"/>
      <c r="J1758" s="195">
        <f>IF('Playoff'!J58="","",'Playoff'!J58)</f>
        <v/>
      </c>
      <c r="K1758" s="64" t="inlineStr">
        <is>
          <t>-</t>
        </is>
      </c>
      <c r="L1758" s="195">
        <f>IF('Playoff'!L58="","",'Playoff'!L58)</f>
        <v/>
      </c>
      <c r="M1758" s="196" t="n"/>
      <c r="N1758" s="196" t="n"/>
      <c r="O1758" s="196" t="n"/>
      <c r="P1758" s="196" t="n"/>
      <c r="Q1758" s="196" t="n"/>
      <c r="R1758" s="196" t="n"/>
    </row>
    <row r="1759" ht="15" customHeight="1">
      <c r="A1759" s="141" t="n"/>
      <c r="B1759" s="69">
        <f>IF('Playoff'!B59="","",'Playoff'!B59)</f>
        <v/>
      </c>
      <c r="C1759" s="9" t="n"/>
      <c r="D1759" s="9" t="n"/>
      <c r="E1759" s="9" t="n"/>
      <c r="F1759" s="9" t="n"/>
      <c r="G1759" s="9" t="n"/>
      <c r="H1759" s="10" t="n"/>
      <c r="I1759" s="62">
        <f>IF('Playoff'!I59="","",'Playoff'!I59)</f>
        <v/>
      </c>
      <c r="J1759" s="141" t="n"/>
      <c r="K1759" s="141" t="n"/>
      <c r="L1759" s="141" t="n"/>
      <c r="M1759" s="141" t="n"/>
      <c r="N1759" s="141" t="n"/>
      <c r="O1759" s="141" t="n"/>
      <c r="P1759" s="141" t="n"/>
      <c r="Q1759" s="141" t="n"/>
      <c r="R1759" s="141" t="n"/>
    </row>
    <row r="1760" ht="14" customHeight="1">
      <c r="A1760" s="135" t="inlineStr">
        <is>
          <t>Gara N.</t>
        </is>
      </c>
      <c r="B1760" s="135" t="inlineStr">
        <is>
          <t>Squadra A</t>
        </is>
      </c>
      <c r="C1760" s="10" t="n"/>
      <c r="D1760" s="135" t="inlineStr">
        <is>
          <t>Squadra B</t>
        </is>
      </c>
      <c r="E1760" s="10" t="n"/>
      <c r="F1760" s="135" t="inlineStr">
        <is>
          <t>Giorno</t>
        </is>
      </c>
      <c r="G1760" s="135" t="inlineStr">
        <is>
          <t>Data</t>
        </is>
      </c>
      <c r="H1760" s="135" t="inlineStr">
        <is>
          <t>Ora</t>
        </is>
      </c>
      <c r="I1760" s="10" t="n"/>
      <c r="J1760" s="135" t="inlineStr">
        <is>
          <t>Risultato</t>
        </is>
      </c>
      <c r="K1760" s="9" t="n"/>
      <c r="L1760" s="10" t="n"/>
      <c r="M1760" s="218" t="inlineStr">
        <is>
          <t>1o Arbitro</t>
        </is>
      </c>
      <c r="N1760" s="218" t="inlineStr">
        <is>
          <t>2o Arbitro</t>
        </is>
      </c>
      <c r="O1760" s="218" t="inlineStr">
        <is>
          <t>3o Arbitro/Tirocinante</t>
        </is>
      </c>
      <c r="P1760" s="218" t="inlineStr">
        <is>
          <t>Referto</t>
        </is>
      </c>
      <c r="Q1760" s="218" t="inlineStr">
        <is>
          <t>Cronometro</t>
        </is>
      </c>
      <c r="R1760" s="218" t="inlineStr">
        <is>
          <t>Foglio Tiri</t>
        </is>
      </c>
    </row>
    <row r="1761" ht="22" customHeight="1">
      <c r="A1761" s="137">
        <f>IF('Playoff'!A61="","",'Playoff'!A61)</f>
        <v/>
      </c>
      <c r="B1761" s="61">
        <f>IF('Playoff'!B61="","",'Playoff'!B61)</f>
        <v/>
      </c>
      <c r="C1761" s="62">
        <f>IF('Playoff'!C61="","",'Playoff'!C61)</f>
        <v/>
      </c>
      <c r="D1761" s="61">
        <f>IF('Playoff'!D61="","",'Playoff'!D61)</f>
        <v/>
      </c>
      <c r="E1761" s="62">
        <f>IF('Playoff'!E61="","",'Playoff'!E61)</f>
        <v/>
      </c>
      <c r="F1761" s="63">
        <f>IF('Playoff'!F61="","",'Playoff'!F61)</f>
        <v/>
      </c>
      <c r="G1761" s="9" t="n"/>
      <c r="H1761" s="9" t="n"/>
      <c r="I1761" s="10" t="n"/>
      <c r="J1761" s="195">
        <f>IF('Playoff'!J61="","",'Playoff'!J61)</f>
        <v/>
      </c>
      <c r="K1761" s="64" t="inlineStr">
        <is>
          <t>-</t>
        </is>
      </c>
      <c r="L1761" s="195">
        <f>IF('Playoff'!L61="","",'Playoff'!L61)</f>
        <v/>
      </c>
      <c r="M1761" s="196" t="n"/>
      <c r="N1761" s="196" t="n"/>
      <c r="O1761" s="196" t="n"/>
      <c r="P1761" s="196" t="n"/>
      <c r="Q1761" s="196" t="n"/>
      <c r="R1761" s="196" t="n"/>
    </row>
    <row r="1762" ht="15" customHeight="1">
      <c r="A1762" s="141" t="n"/>
      <c r="B1762" s="69">
        <f>IF('Playoff'!B62="","",'Playoff'!B62)</f>
        <v/>
      </c>
      <c r="C1762" s="9" t="n"/>
      <c r="D1762" s="9" t="n"/>
      <c r="E1762" s="9" t="n"/>
      <c r="F1762" s="9" t="n"/>
      <c r="G1762" s="9" t="n"/>
      <c r="H1762" s="10" t="n"/>
      <c r="I1762" s="62">
        <f>IF('Playoff'!I62="","",'Playoff'!I62)</f>
        <v/>
      </c>
      <c r="J1762" s="141" t="n"/>
      <c r="K1762" s="141" t="n"/>
      <c r="L1762" s="141" t="n"/>
      <c r="M1762" s="141" t="n"/>
      <c r="N1762" s="141" t="n"/>
      <c r="O1762" s="141" t="n"/>
      <c r="P1762" s="141" t="n"/>
      <c r="Q1762" s="141" t="n"/>
      <c r="R1762" s="141" t="n"/>
    </row>
    <row r="1767">
      <c r="A1767" s="51" t="inlineStr">
        <is>
          <t>Designazioni da compilare. Elenchi a discesa dai fogli 'Arbitri' e 'UdC'.</t>
        </is>
      </c>
    </row>
    <row r="1768">
      <c r="A1768" s="51" t="inlineStr">
        <is>
          <t>Formattazione condizionale attiva su tutte le 466 gare predisposte: evidenzia in rosa la stessa persona designata due volte nella stessa gara.</t>
        </is>
      </c>
    </row>
  </sheetData>
  <mergeCells count="7742">
    <mergeCell ref="P923:P924"/>
    <mergeCell ref="K1158:K1159"/>
    <mergeCell ref="J151:L151"/>
    <mergeCell ref="R84:R85"/>
    <mergeCell ref="F622:I622"/>
    <mergeCell ref="B745:H745"/>
    <mergeCell ref="D1678:E1678"/>
    <mergeCell ref="H230:I230"/>
    <mergeCell ref="K1464:K1465"/>
    <mergeCell ref="F1410:I1410"/>
    <mergeCell ref="M461:M462"/>
    <mergeCell ref="R384:R385"/>
    <mergeCell ref="D281:E281"/>
    <mergeCell ref="Q710:Q711"/>
    <mergeCell ref="J750:J751"/>
    <mergeCell ref="D1494:E1494"/>
    <mergeCell ref="B739:L739"/>
    <mergeCell ref="F1710:I1710"/>
    <mergeCell ref="Q1498:Q1499"/>
    <mergeCell ref="N1648:N1649"/>
    <mergeCell ref="B734:H734"/>
    <mergeCell ref="J298:L298"/>
    <mergeCell ref="B205:C205"/>
    <mergeCell ref="K543:K544"/>
    <mergeCell ref="J52:L52"/>
    <mergeCell ref="B1034:H1034"/>
    <mergeCell ref="M608:M609"/>
    <mergeCell ref="J352:L352"/>
    <mergeCell ref="B887:H887"/>
    <mergeCell ref="H888:I888"/>
    <mergeCell ref="J784:J785"/>
    <mergeCell ref="A427:A428"/>
    <mergeCell ref="P1062:R1062"/>
    <mergeCell ref="B1555:L1555"/>
    <mergeCell ref="H1041:I1041"/>
    <mergeCell ref="F1608:I1608"/>
    <mergeCell ref="O1212:O1213"/>
    <mergeCell ref="J63:L63"/>
    <mergeCell ref="B1666:H1666"/>
    <mergeCell ref="B1660:H1660"/>
    <mergeCell ref="Q373:Q374"/>
    <mergeCell ref="A574:A575"/>
    <mergeCell ref="P1750:P1751"/>
    <mergeCell ref="J984:L984"/>
    <mergeCell ref="P535:R535"/>
    <mergeCell ref="B1414:H1414"/>
    <mergeCell ref="J1500:L1500"/>
    <mergeCell ref="A1200:A1201"/>
    <mergeCell ref="P999:P1000"/>
    <mergeCell ref="H480:I480"/>
    <mergeCell ref="M1294:M1295"/>
    <mergeCell ref="R1053:R1054"/>
    <mergeCell ref="J1284:L1284"/>
    <mergeCell ref="M1288:M1289"/>
    <mergeCell ref="O291:O292"/>
    <mergeCell ref="J1583:J1584"/>
    <mergeCell ref="P1745:P1746"/>
    <mergeCell ref="M705:O705"/>
    <mergeCell ref="M1594:M1595"/>
    <mergeCell ref="O597:O598"/>
    <mergeCell ref="J832:J833"/>
    <mergeCell ref="J579:L579"/>
    <mergeCell ref="H1568:I1568"/>
    <mergeCell ref="B1561:H1561"/>
    <mergeCell ref="D378:E378"/>
    <mergeCell ref="B1049:C1049"/>
    <mergeCell ref="D536:E536"/>
    <mergeCell ref="A928:A929"/>
    <mergeCell ref="H627:I627"/>
    <mergeCell ref="B1032:C1032"/>
    <mergeCell ref="K1370:K1371"/>
    <mergeCell ref="K189:K190"/>
    <mergeCell ref="N532:N533"/>
    <mergeCell ref="J879:L879"/>
    <mergeCell ref="R781:R782"/>
    <mergeCell ref="L767:L768"/>
    <mergeCell ref="Q815:Q816"/>
    <mergeCell ref="B460:C460"/>
    <mergeCell ref="H1715:I1715"/>
    <mergeCell ref="M1430:M1431"/>
    <mergeCell ref="J1611:J1612"/>
    <mergeCell ref="A1254:A1255"/>
    <mergeCell ref="B760:C760"/>
    <mergeCell ref="H1596:I1596"/>
    <mergeCell ref="M1736:M1737"/>
    <mergeCell ref="R1107:R1108"/>
    <mergeCell ref="L914:L915"/>
    <mergeCell ref="F192:I192"/>
    <mergeCell ref="B244:H244"/>
    <mergeCell ref="Q1042:Q1043"/>
    <mergeCell ref="B1429:C1429"/>
    <mergeCell ref="F492:I492"/>
    <mergeCell ref="J1653:L1653"/>
    <mergeCell ref="B550:H550"/>
    <mergeCell ref="B544:H544"/>
    <mergeCell ref="Q1342:Q1343"/>
    <mergeCell ref="R1161:R1162"/>
    <mergeCell ref="P135:P136"/>
    <mergeCell ref="D732:E732"/>
    <mergeCell ref="B456:H456"/>
    <mergeCell ref="R1461:R1462"/>
    <mergeCell ref="R1135:R1136"/>
    <mergeCell ref="K1175:K1176"/>
    <mergeCell ref="H1744:I1744"/>
    <mergeCell ref="H1738:I1738"/>
    <mergeCell ref="J1501:J1502"/>
    <mergeCell ref="O1424:O1425"/>
    <mergeCell ref="J1659:J1660"/>
    <mergeCell ref="L662:L663"/>
    <mergeCell ref="Q421:Q422"/>
    <mergeCell ref="B450:L450"/>
    <mergeCell ref="L1294:L1295"/>
    <mergeCell ref="Q1053:Q1054"/>
    <mergeCell ref="Q727:Q728"/>
    <mergeCell ref="B1440:C1440"/>
    <mergeCell ref="L962:L963"/>
    <mergeCell ref="D443:E443"/>
    <mergeCell ref="J1681:L1681"/>
    <mergeCell ref="L1594:L1595"/>
    <mergeCell ref="F1308:I1308"/>
    <mergeCell ref="K254:K255"/>
    <mergeCell ref="N597:N598"/>
    <mergeCell ref="Q1484:Q1485"/>
    <mergeCell ref="K903:K904"/>
    <mergeCell ref="O1152:O1153"/>
    <mergeCell ref="K554:K555"/>
    <mergeCell ref="N897:N898"/>
    <mergeCell ref="B598:H598"/>
    <mergeCell ref="Q1396:Q1397"/>
    <mergeCell ref="R1603:R1604"/>
    <mergeCell ref="Q781:Q782"/>
    <mergeCell ref="J495:J496"/>
    <mergeCell ref="P815:P816"/>
    <mergeCell ref="Q1212:Q1213"/>
    <mergeCell ref="K614:K615"/>
    <mergeCell ref="R118:R119"/>
    <mergeCell ref="B589:H589"/>
    <mergeCell ref="A1651:A1652"/>
    <mergeCell ref="F1319:I1319"/>
    <mergeCell ref="L1736:L1737"/>
    <mergeCell ref="K914:K915"/>
    <mergeCell ref="H927:I927"/>
    <mergeCell ref="D1559:E1559"/>
    <mergeCell ref="N1039:N1040"/>
    <mergeCell ref="M217:M218"/>
    <mergeCell ref="N1713:N1714"/>
    <mergeCell ref="P716:P717"/>
    <mergeCell ref="Q923:Q924"/>
    <mergeCell ref="B184:H184"/>
    <mergeCell ref="R265:R266"/>
    <mergeCell ref="P127:R127"/>
    <mergeCell ref="F1047:I1047"/>
    <mergeCell ref="O135:O136"/>
    <mergeCell ref="H497:I497"/>
    <mergeCell ref="H655:I655"/>
    <mergeCell ref="F1161:I1161"/>
    <mergeCell ref="J418:J419"/>
    <mergeCell ref="A1662:A1663"/>
    <mergeCell ref="M722:O722"/>
    <mergeCell ref="F1461:I1461"/>
    <mergeCell ref="F1042:I1042"/>
    <mergeCell ref="N1424:N1425"/>
    <mergeCell ref="K1056:K1057"/>
    <mergeCell ref="B324:C324"/>
    <mergeCell ref="J565:L565"/>
    <mergeCell ref="B643:H643"/>
    <mergeCell ref="L478:L479"/>
    <mergeCell ref="R231:R232"/>
    <mergeCell ref="P727:P728"/>
    <mergeCell ref="M359:M360"/>
    <mergeCell ref="M1033:M1034"/>
    <mergeCell ref="O36:O37"/>
    <mergeCell ref="O30:O31"/>
    <mergeCell ref="P1484:P1485"/>
    <mergeCell ref="K1268:K1269"/>
    <mergeCell ref="D548:E548"/>
    <mergeCell ref="R645:R646"/>
    <mergeCell ref="B471:C471"/>
    <mergeCell ref="H797:I797"/>
    <mergeCell ref="H1313:I1313"/>
    <mergeCell ref="J560:J561"/>
    <mergeCell ref="L625:L626"/>
    <mergeCell ref="K1441:K1442"/>
    <mergeCell ref="J434:L434"/>
    <mergeCell ref="R945:R946"/>
    <mergeCell ref="P1232:R1232"/>
    <mergeCell ref="H1097:I1097"/>
    <mergeCell ref="B352:C352"/>
    <mergeCell ref="F30:I30"/>
    <mergeCell ref="J188:L188"/>
    <mergeCell ref="B1300:L1300"/>
    <mergeCell ref="N1566:N1567"/>
    <mergeCell ref="J1250:L1250"/>
    <mergeCell ref="A19:A20"/>
    <mergeCell ref="P1212:P1213"/>
    <mergeCell ref="J1617:J1618"/>
    <mergeCell ref="B1606:L1606"/>
    <mergeCell ref="J488:L488"/>
    <mergeCell ref="M1501:M1502"/>
    <mergeCell ref="P1543:P1544"/>
    <mergeCell ref="K1742:K1743"/>
    <mergeCell ref="K1736:K1737"/>
    <mergeCell ref="H667:I667"/>
    <mergeCell ref="P960:R960"/>
    <mergeCell ref="N81:N82"/>
    <mergeCell ref="J588:J589"/>
    <mergeCell ref="O962:O963"/>
    <mergeCell ref="H1324:I1324"/>
    <mergeCell ref="L217:L218"/>
    <mergeCell ref="M1713:M1714"/>
    <mergeCell ref="O716:O717"/>
    <mergeCell ref="H1624:I1624"/>
    <mergeCell ref="Q265:Q266"/>
    <mergeCell ref="B1157:C1157"/>
    <mergeCell ref="B1151:C1151"/>
    <mergeCell ref="J1392:L1392"/>
    <mergeCell ref="L648:L649"/>
    <mergeCell ref="Q19:Q20"/>
    <mergeCell ref="K1637:K1638"/>
    <mergeCell ref="J630:L630"/>
    <mergeCell ref="B1457:C1457"/>
    <mergeCell ref="K98:K99"/>
    <mergeCell ref="D460:E460"/>
    <mergeCell ref="D454:E454"/>
    <mergeCell ref="R1200:R1201"/>
    <mergeCell ref="J1056:J1057"/>
    <mergeCell ref="R1314:R1315"/>
    <mergeCell ref="L733:L734"/>
    <mergeCell ref="H1466:I1466"/>
    <mergeCell ref="J1718:L1718"/>
    <mergeCell ref="J1103:L1103"/>
    <mergeCell ref="L359:L360"/>
    <mergeCell ref="L1033:L1034"/>
    <mergeCell ref="F231:I231"/>
    <mergeCell ref="N36:N37"/>
    <mergeCell ref="H1347:I1347"/>
    <mergeCell ref="F311:I311"/>
    <mergeCell ref="D182:E182"/>
    <mergeCell ref="F863:I863"/>
    <mergeCell ref="K325:K326"/>
    <mergeCell ref="O1158:O1159"/>
    <mergeCell ref="B300:H300"/>
    <mergeCell ref="H1678:I1678"/>
    <mergeCell ref="B59:L59"/>
    <mergeCell ref="D488:E488"/>
    <mergeCell ref="F611:I611"/>
    <mergeCell ref="K625:K626"/>
    <mergeCell ref="B1599:C1599"/>
    <mergeCell ref="Q951:Q952"/>
    <mergeCell ref="J1446:L1446"/>
    <mergeCell ref="R1342:R1343"/>
    <mergeCell ref="N750:N751"/>
    <mergeCell ref="H1494:I1494"/>
    <mergeCell ref="J1257:J1258"/>
    <mergeCell ref="O1631:O1632"/>
    <mergeCell ref="Q634:Q635"/>
    <mergeCell ref="L418:L419"/>
    <mergeCell ref="O869:O870"/>
    <mergeCell ref="F758:I758"/>
    <mergeCell ref="O1543:O1544"/>
    <mergeCell ref="L1175:L1176"/>
    <mergeCell ref="Q546:Q547"/>
    <mergeCell ref="H366:I366"/>
    <mergeCell ref="B1321:C1321"/>
    <mergeCell ref="P144:R144"/>
    <mergeCell ref="J1157:L1157"/>
    <mergeCell ref="L1475:L1476"/>
    <mergeCell ref="D956:E956"/>
    <mergeCell ref="N478:N479"/>
    <mergeCell ref="F753:I753"/>
    <mergeCell ref="B875:L875"/>
    <mergeCell ref="K767:K768"/>
    <mergeCell ref="N1110:N1111"/>
    <mergeCell ref="J1457:L1457"/>
    <mergeCell ref="B354:H354"/>
    <mergeCell ref="P271:P272"/>
    <mergeCell ref="A1679:A1680"/>
    <mergeCell ref="D868:E868"/>
    <mergeCell ref="P265:P266"/>
    <mergeCell ref="M70:M71"/>
    <mergeCell ref="J1757:L1757"/>
    <mergeCell ref="K648:K649"/>
    <mergeCell ref="P571:P572"/>
    <mergeCell ref="J1637:J1638"/>
    <mergeCell ref="H236:I236"/>
    <mergeCell ref="K979:K980"/>
    <mergeCell ref="J98:J99"/>
    <mergeCell ref="O1685:O1686"/>
    <mergeCell ref="N863:N864"/>
    <mergeCell ref="A1407:A1408"/>
    <mergeCell ref="B229:L229"/>
    <mergeCell ref="B69:C69"/>
    <mergeCell ref="F1438:I1438"/>
    <mergeCell ref="Q1620:Q1621"/>
    <mergeCell ref="K359:K360"/>
    <mergeCell ref="A1427:A1428"/>
    <mergeCell ref="P824:R824"/>
    <mergeCell ref="B1317:L1317"/>
    <mergeCell ref="P1229:P1230"/>
    <mergeCell ref="D1310:E1310"/>
    <mergeCell ref="R1407:R1408"/>
    <mergeCell ref="H536:I536"/>
    <mergeCell ref="J299:J300"/>
    <mergeCell ref="N1005:N1006"/>
    <mergeCell ref="Q1348:Q1349"/>
    <mergeCell ref="L1240:L1241"/>
    <mergeCell ref="P552:R552"/>
    <mergeCell ref="K418:K419"/>
    <mergeCell ref="N1305:N1306"/>
    <mergeCell ref="A90:A91"/>
    <mergeCell ref="Q1648:Q1649"/>
    <mergeCell ref="F1580:I1580"/>
    <mergeCell ref="P940:P941"/>
    <mergeCell ref="A390:A391"/>
    <mergeCell ref="H247:I247"/>
    <mergeCell ref="K1481:K1482"/>
    <mergeCell ref="K1475:K1476"/>
    <mergeCell ref="M478:M479"/>
    <mergeCell ref="R401:R402"/>
    <mergeCell ref="D298:E298"/>
    <mergeCell ref="A302:A303"/>
    <mergeCell ref="J767:J768"/>
    <mergeCell ref="J641:L641"/>
    <mergeCell ref="H1063:I1063"/>
    <mergeCell ref="B756:L756"/>
    <mergeCell ref="P1152:P1153"/>
    <mergeCell ref="H301:I301"/>
    <mergeCell ref="B565:C565"/>
    <mergeCell ref="J1073:J1074"/>
    <mergeCell ref="L70:L71"/>
    <mergeCell ref="F1614:I1614"/>
    <mergeCell ref="J69:L69"/>
    <mergeCell ref="B896:C896"/>
    <mergeCell ref="H1058:I1058"/>
    <mergeCell ref="B1051:H1051"/>
    <mergeCell ref="A291:A292"/>
    <mergeCell ref="H1216:I1216"/>
    <mergeCell ref="J701:L701"/>
    <mergeCell ref="R1212:R1213"/>
    <mergeCell ref="J369:L369"/>
    <mergeCell ref="D199:E199"/>
    <mergeCell ref="J1001:L1001"/>
    <mergeCell ref="P988:P989"/>
    <mergeCell ref="J795:J796"/>
    <mergeCell ref="A444:A445"/>
    <mergeCell ref="H1205:I1205"/>
    <mergeCell ref="P1294:P1295"/>
    <mergeCell ref="L129:L130"/>
    <mergeCell ref="L104:L105"/>
    <mergeCell ref="O472:O473"/>
    <mergeCell ref="A744:A745"/>
    <mergeCell ref="R923:R924"/>
    <mergeCell ref="P705:R705"/>
    <mergeCell ref="F1625:I1625"/>
    <mergeCell ref="L886:L887"/>
    <mergeCell ref="O1229:O1230"/>
    <mergeCell ref="B1038:C1038"/>
    <mergeCell ref="B1436:L1436"/>
    <mergeCell ref="J1121:J1122"/>
    <mergeCell ref="L124:L125"/>
    <mergeCell ref="K1387:K1388"/>
    <mergeCell ref="D667:E667"/>
    <mergeCell ref="A155:A156"/>
    <mergeCell ref="Q532:Q533"/>
    <mergeCell ref="B1431:H1431"/>
    <mergeCell ref="B1338:C1338"/>
    <mergeCell ref="Q690:Q691"/>
    <mergeCell ref="N821:N822"/>
    <mergeCell ref="J1143:L1143"/>
    <mergeCell ref="J749:L749"/>
    <mergeCell ref="M1311:M1312"/>
    <mergeCell ref="A455:A456"/>
    <mergeCell ref="A971:A972"/>
    <mergeCell ref="R651:R652"/>
    <mergeCell ref="D222:E222"/>
    <mergeCell ref="M1611:M1612"/>
    <mergeCell ref="O614:O615"/>
    <mergeCell ref="A1271:A1272"/>
    <mergeCell ref="O608:O609"/>
    <mergeCell ref="H1585:I1585"/>
    <mergeCell ref="Q285:Q286"/>
    <mergeCell ref="R1739:R1740"/>
    <mergeCell ref="B630:C630"/>
    <mergeCell ref="J896:L896"/>
    <mergeCell ref="L1203:L1204"/>
    <mergeCell ref="F367:I367"/>
    <mergeCell ref="L784:L785"/>
    <mergeCell ref="F498:I498"/>
    <mergeCell ref="L1084:L1085"/>
    <mergeCell ref="N87:N88"/>
    <mergeCell ref="B1718:C1718"/>
    <mergeCell ref="O968:O969"/>
    <mergeCell ref="R1467:R1468"/>
    <mergeCell ref="K376:K377"/>
    <mergeCell ref="H1613:I1613"/>
    <mergeCell ref="A1413:A1414"/>
    <mergeCell ref="R1118:R1119"/>
    <mergeCell ref="F209:I209"/>
    <mergeCell ref="R1424:R1425"/>
    <mergeCell ref="Q1059:Q1060"/>
    <mergeCell ref="D1321:E1321"/>
    <mergeCell ref="M1659:M1660"/>
    <mergeCell ref="N234:N235"/>
    <mergeCell ref="D318:E318"/>
    <mergeCell ref="A710:A711"/>
    <mergeCell ref="B1446:C1446"/>
    <mergeCell ref="L951:L952"/>
    <mergeCell ref="O1294:O1295"/>
    <mergeCell ref="J1670:L1670"/>
    <mergeCell ref="K129:K130"/>
    <mergeCell ref="K104:K105"/>
    <mergeCell ref="A1498:A1499"/>
    <mergeCell ref="D749:E749"/>
    <mergeCell ref="A1141:A1142"/>
    <mergeCell ref="L1251:L1252"/>
    <mergeCell ref="A1124:A1125"/>
    <mergeCell ref="K404:K405"/>
    <mergeCell ref="N903:N904"/>
    <mergeCell ref="R1478:R1479"/>
    <mergeCell ref="J1724:L1724"/>
    <mergeCell ref="D1049:E1049"/>
    <mergeCell ref="M189:M190"/>
    <mergeCell ref="J1518:J1519"/>
    <mergeCell ref="O1441:O1442"/>
    <mergeCell ref="F894:I894"/>
    <mergeCell ref="B467:L467"/>
    <mergeCell ref="K1492:K1493"/>
    <mergeCell ref="M495:M496"/>
    <mergeCell ref="L1311:L1312"/>
    <mergeCell ref="P280:R280"/>
    <mergeCell ref="L1611:L1612"/>
    <mergeCell ref="F1325:I1325"/>
    <mergeCell ref="N614:N615"/>
    <mergeCell ref="Q1501:Q1502"/>
    <mergeCell ref="B1757:C1757"/>
    <mergeCell ref="D760:E760"/>
    <mergeCell ref="O1736:O1737"/>
    <mergeCell ref="N914:N915"/>
    <mergeCell ref="J80:L80"/>
    <mergeCell ref="K152:K153"/>
    <mergeCell ref="K1203:K1204"/>
    <mergeCell ref="P217:P218"/>
    <mergeCell ref="Q1713:Q1714"/>
    <mergeCell ref="M523:M524"/>
    <mergeCell ref="Q1098:Q1099"/>
    <mergeCell ref="F1036:I1036"/>
    <mergeCell ref="P1005:P1006"/>
    <mergeCell ref="L1506:L1507"/>
    <mergeCell ref="B54:H54"/>
    <mergeCell ref="B1658:C1658"/>
    <mergeCell ref="A1668:A1669"/>
    <mergeCell ref="F1336:I1336"/>
    <mergeCell ref="K931:K932"/>
    <mergeCell ref="M1175:M1176"/>
    <mergeCell ref="D1576:E1576"/>
    <mergeCell ref="Q1424:Q1425"/>
    <mergeCell ref="M234:M235"/>
    <mergeCell ref="P733:P734"/>
    <mergeCell ref="B1453:L1453"/>
    <mergeCell ref="R362:R363"/>
    <mergeCell ref="P1033:P1034"/>
    <mergeCell ref="J766:L766"/>
    <mergeCell ref="M1322:M1323"/>
    <mergeCell ref="O325:O326"/>
    <mergeCell ref="M903:M904"/>
    <mergeCell ref="O319:O320"/>
    <mergeCell ref="H814:I814"/>
    <mergeCell ref="Q1152:Q1153"/>
    <mergeCell ref="O625:O626"/>
    <mergeCell ref="N1441:N1442"/>
    <mergeCell ref="O206:O207"/>
    <mergeCell ref="B1170:H1170"/>
    <mergeCell ref="A410:A411"/>
    <mergeCell ref="P1087:P1088"/>
    <mergeCell ref="L495:L496"/>
    <mergeCell ref="P1538:R1538"/>
    <mergeCell ref="B641:C641"/>
    <mergeCell ref="L795:L796"/>
    <mergeCell ref="B1584:H1584"/>
    <mergeCell ref="P1501:P1502"/>
    <mergeCell ref="J920:J921"/>
    <mergeCell ref="M282:M283"/>
    <mergeCell ref="M914:M915"/>
    <mergeCell ref="M588:M589"/>
    <mergeCell ref="L223:L224"/>
    <mergeCell ref="H956:I956"/>
    <mergeCell ref="H1630:I1630"/>
    <mergeCell ref="B369:C369"/>
    <mergeCell ref="J877:J878"/>
    <mergeCell ref="R716:R717"/>
    <mergeCell ref="L523:L524"/>
    <mergeCell ref="A421:A422"/>
    <mergeCell ref="B1312:H1312"/>
    <mergeCell ref="O1005:O1006"/>
    <mergeCell ref="P1130:R1130"/>
    <mergeCell ref="O1305:O1306"/>
    <mergeCell ref="L937:L938"/>
    <mergeCell ref="N1637:N1638"/>
    <mergeCell ref="J1262:L1262"/>
    <mergeCell ref="K115:K116"/>
    <mergeCell ref="H1341:I1341"/>
    <mergeCell ref="R1495:R1496"/>
    <mergeCell ref="L234:L235"/>
    <mergeCell ref="A880:A881"/>
    <mergeCell ref="R1489:R1490"/>
    <mergeCell ref="O733:O734"/>
    <mergeCell ref="K141:K142"/>
    <mergeCell ref="H1641:I1641"/>
    <mergeCell ref="F1728:I1728"/>
    <mergeCell ref="O359:O360"/>
    <mergeCell ref="F248:I248"/>
    <mergeCell ref="O1033:O1034"/>
    <mergeCell ref="Q36:Q37"/>
    <mergeCell ref="A563:A564"/>
    <mergeCell ref="L1322:L1323"/>
    <mergeCell ref="N325:N326"/>
    <mergeCell ref="K1654:K1655"/>
    <mergeCell ref="J647:L647"/>
    <mergeCell ref="B1474:C1474"/>
    <mergeCell ref="B1629:H1629"/>
    <mergeCell ref="A869:A870"/>
    <mergeCell ref="D471:E471"/>
    <mergeCell ref="D1120:E1120"/>
    <mergeCell ref="R1217:R1218"/>
    <mergeCell ref="F243:I243"/>
    <mergeCell ref="N625:N626"/>
    <mergeCell ref="J947:L947"/>
    <mergeCell ref="R455:R456"/>
    <mergeCell ref="R1637:R1638"/>
    <mergeCell ref="L1050:L1051"/>
    <mergeCell ref="Q809:Q810"/>
    <mergeCell ref="N53:N54"/>
    <mergeCell ref="F328:I328"/>
    <mergeCell ref="D1446:E1446"/>
    <mergeCell ref="R1543:R1544"/>
    <mergeCell ref="O1175:O1176"/>
    <mergeCell ref="N353:N354"/>
    <mergeCell ref="F628:I628"/>
    <mergeCell ref="A897:A898"/>
    <mergeCell ref="J1174:L1174"/>
    <mergeCell ref="K642:K643"/>
    <mergeCell ref="O1475:O1476"/>
    <mergeCell ref="D1287:E1287"/>
    <mergeCell ref="F928:I928"/>
    <mergeCell ref="J1274:J1275"/>
    <mergeCell ref="D1157:E1157"/>
    <mergeCell ref="A1549:A1550"/>
    <mergeCell ref="J1574:J1575"/>
    <mergeCell ref="K937:K938"/>
    <mergeCell ref="F13:I13"/>
    <mergeCell ref="Q863:Q864"/>
    <mergeCell ref="F770:I770"/>
    <mergeCell ref="N1152:N1153"/>
    <mergeCell ref="N1127:N1128"/>
    <mergeCell ref="J1474:L1474"/>
    <mergeCell ref="A1277:A1278"/>
    <mergeCell ref="B518:L518"/>
    <mergeCell ref="F1070:I1070"/>
    <mergeCell ref="J1228:L1228"/>
    <mergeCell ref="P430:P431"/>
    <mergeCell ref="N1033:N1034"/>
    <mergeCell ref="P36:P37"/>
    <mergeCell ref="R1124:R1125"/>
    <mergeCell ref="N707:N708"/>
    <mergeCell ref="A1577:A1578"/>
    <mergeCell ref="R101:R102"/>
    <mergeCell ref="M325:M326"/>
    <mergeCell ref="K838:K839"/>
    <mergeCell ref="H253:I253"/>
    <mergeCell ref="K996:K997"/>
    <mergeCell ref="M631:M632"/>
    <mergeCell ref="M625:M626"/>
    <mergeCell ref="M299:M300"/>
    <mergeCell ref="D1174:E1174"/>
    <mergeCell ref="P183:P184"/>
    <mergeCell ref="B80:C80"/>
    <mergeCell ref="F781:I781"/>
    <mergeCell ref="L1257:L1258"/>
    <mergeCell ref="Q1637:Q1638"/>
    <mergeCell ref="N418:N419"/>
    <mergeCell ref="H579:I579"/>
    <mergeCell ref="B386:C386"/>
    <mergeCell ref="F1761:I1761"/>
    <mergeCell ref="B1655:H1655"/>
    <mergeCell ref="N1175:N1176"/>
    <mergeCell ref="M353:M354"/>
    <mergeCell ref="R243:R244"/>
    <mergeCell ref="N1475:N1476"/>
    <mergeCell ref="J316:J317"/>
    <mergeCell ref="P478:P479"/>
    <mergeCell ref="M659:M660"/>
    <mergeCell ref="H633:I633"/>
    <mergeCell ref="A591:A592"/>
    <mergeCell ref="P569:R569"/>
    <mergeCell ref="H933:I933"/>
    <mergeCell ref="J311:J312"/>
    <mergeCell ref="B1040:H1040"/>
    <mergeCell ref="O744:O745"/>
    <mergeCell ref="O719:O720"/>
    <mergeCell ref="F1745:I1745"/>
    <mergeCell ref="H1233:I1233"/>
    <mergeCell ref="J358:L358"/>
    <mergeCell ref="B1340:H1340"/>
    <mergeCell ref="P1257:P1258"/>
    <mergeCell ref="B766:C766"/>
    <mergeCell ref="B921:H921"/>
    <mergeCell ref="J658:L658"/>
    <mergeCell ref="N469:N470"/>
    <mergeCell ref="B1066:C1066"/>
    <mergeCell ref="D69:E69"/>
    <mergeCell ref="A461:A462"/>
    <mergeCell ref="H318:I318"/>
    <mergeCell ref="O455:O456"/>
    <mergeCell ref="O430:O431"/>
    <mergeCell ref="M707:M708"/>
    <mergeCell ref="J86:L86"/>
    <mergeCell ref="H1075:I1075"/>
    <mergeCell ref="J838:J839"/>
    <mergeCell ref="M1758:M1759"/>
    <mergeCell ref="J996:J997"/>
    <mergeCell ref="R1229:R1230"/>
    <mergeCell ref="B539:C539"/>
    <mergeCell ref="N64:N65"/>
    <mergeCell ref="Q407:Q408"/>
    <mergeCell ref="B145:C145"/>
    <mergeCell ref="K1393:K1394"/>
    <mergeCell ref="A214:A215"/>
    <mergeCell ref="L299:L300"/>
    <mergeCell ref="N1387:N1388"/>
    <mergeCell ref="B451:C451"/>
    <mergeCell ref="B1720:H1720"/>
    <mergeCell ref="Q821:Q822"/>
    <mergeCell ref="J985:J986"/>
    <mergeCell ref="M1328:M1329"/>
    <mergeCell ref="P1311:P1312"/>
    <mergeCell ref="B1208:C1208"/>
    <mergeCell ref="P1305:P1306"/>
    <mergeCell ref="O489:O490"/>
    <mergeCell ref="R940:R941"/>
    <mergeCell ref="H1760:I1760"/>
    <mergeCell ref="J1138:J1139"/>
    <mergeCell ref="O1546:O1547"/>
    <mergeCell ref="B1448:H1448"/>
    <mergeCell ref="Q549:Q550"/>
    <mergeCell ref="F481:I481"/>
    <mergeCell ref="J1438:J1439"/>
    <mergeCell ref="B919:C919"/>
    <mergeCell ref="O784:O785"/>
    <mergeCell ref="A988:A989"/>
    <mergeCell ref="D565:E565"/>
    <mergeCell ref="L1073:L1074"/>
    <mergeCell ref="N744:N745"/>
    <mergeCell ref="M1076:M1077"/>
    <mergeCell ref="J1066:L1066"/>
    <mergeCell ref="D896:E896"/>
    <mergeCell ref="A1288:A1289"/>
    <mergeCell ref="F84:I84"/>
    <mergeCell ref="N1050:N1051"/>
    <mergeCell ref="M1376:M1377"/>
    <mergeCell ref="O931:O932"/>
    <mergeCell ref="J1671:J1672"/>
    <mergeCell ref="J1665:J1666"/>
    <mergeCell ref="F384:I384"/>
    <mergeCell ref="D624:E624"/>
    <mergeCell ref="N129:N130"/>
    <mergeCell ref="Q472:Q473"/>
    <mergeCell ref="L1731:L1732"/>
    <mergeCell ref="K393:K394"/>
    <mergeCell ref="N886:N887"/>
    <mergeCell ref="J1730:L1730"/>
    <mergeCell ref="D1038:E1038"/>
    <mergeCell ref="A1430:A1431"/>
    <mergeCell ref="K693:K694"/>
    <mergeCell ref="F226:I226"/>
    <mergeCell ref="J27:J28"/>
    <mergeCell ref="P189:P190"/>
    <mergeCell ref="M370:M371"/>
    <mergeCell ref="O1458:O1459"/>
    <mergeCell ref="F1467:I1467"/>
    <mergeCell ref="D1338:E1338"/>
    <mergeCell ref="A727:A728"/>
    <mergeCell ref="F526:I526"/>
    <mergeCell ref="O1311:O1312"/>
    <mergeCell ref="N489:N490"/>
    <mergeCell ref="F826:I826"/>
    <mergeCell ref="O1611:O1612"/>
    <mergeCell ref="Q614:Q615"/>
    <mergeCell ref="D1398:E1398"/>
    <mergeCell ref="N920:N921"/>
    <mergeCell ref="Q1676:Q1677"/>
    <mergeCell ref="B637:L637"/>
    <mergeCell ref="J1741:L1741"/>
    <mergeCell ref="B632:H632"/>
    <mergeCell ref="P549:P550"/>
    <mergeCell ref="Q914:Q915"/>
    <mergeCell ref="K1509:K1510"/>
    <mergeCell ref="O1206:O1207"/>
    <mergeCell ref="O1758:O1759"/>
    <mergeCell ref="P297:R297"/>
    <mergeCell ref="Q1387:Q1388"/>
    <mergeCell ref="N631:N632"/>
    <mergeCell ref="O1506:O1507"/>
    <mergeCell ref="H786:I786"/>
    <mergeCell ref="F906:I906"/>
    <mergeCell ref="D1293:E1293"/>
    <mergeCell ref="N931:N932"/>
    <mergeCell ref="F1206:I1206"/>
    <mergeCell ref="D1593:E1593"/>
    <mergeCell ref="J729:L729"/>
    <mergeCell ref="P234:P235"/>
    <mergeCell ref="H389:I389"/>
    <mergeCell ref="B1079:L1079"/>
    <mergeCell ref="K1731:K1732"/>
    <mergeCell ref="K1274:K1275"/>
    <mergeCell ref="H689:I689"/>
    <mergeCell ref="J67:J68"/>
    <mergeCell ref="J61:J62"/>
    <mergeCell ref="J577:J578"/>
    <mergeCell ref="P903:P904"/>
    <mergeCell ref="B216:C216"/>
    <mergeCell ref="B371:H371"/>
    <mergeCell ref="N1458:N1459"/>
    <mergeCell ref="Q1441:Q1442"/>
    <mergeCell ref="Q260:Q261"/>
    <mergeCell ref="B522:C522"/>
    <mergeCell ref="F1407:I1407"/>
    <mergeCell ref="M1492:M1493"/>
    <mergeCell ref="O495:O496"/>
    <mergeCell ref="B1465:H1465"/>
    <mergeCell ref="B1459:H1459"/>
    <mergeCell ref="R379:R380"/>
    <mergeCell ref="P1050:P1051"/>
    <mergeCell ref="H531:I531"/>
    <mergeCell ref="B1759:H1759"/>
    <mergeCell ref="D582:E582"/>
    <mergeCell ref="M920:M921"/>
    <mergeCell ref="P1676:P1677"/>
    <mergeCell ref="K1416:K1417"/>
    <mergeCell ref="H831:I831"/>
    <mergeCell ref="H437:I437"/>
    <mergeCell ref="J468:L468"/>
    <mergeCell ref="O642:O643"/>
    <mergeCell ref="R591:R592"/>
    <mergeCell ref="O223:O224"/>
    <mergeCell ref="J1509:J1510"/>
    <mergeCell ref="B664:C664"/>
    <mergeCell ref="N1758:N1759"/>
    <mergeCell ref="B658:C658"/>
    <mergeCell ref="O523:O524"/>
    <mergeCell ref="B425:H425"/>
    <mergeCell ref="H1500:I1500"/>
    <mergeCell ref="A1750:A1751"/>
    <mergeCell ref="L812:L813"/>
    <mergeCell ref="K1144:K1145"/>
    <mergeCell ref="F90:I90"/>
    <mergeCell ref="J811:L811"/>
    <mergeCell ref="J794:L794"/>
    <mergeCell ref="N115:N116"/>
    <mergeCell ref="K1444:K1445"/>
    <mergeCell ref="F1603:I1603"/>
    <mergeCell ref="J894:J895"/>
    <mergeCell ref="J1410:J1411"/>
    <mergeCell ref="O234:O235"/>
    <mergeCell ref="R733:R734"/>
    <mergeCell ref="F237:I237"/>
    <mergeCell ref="H879:I879"/>
    <mergeCell ref="J1710:J1711"/>
    <mergeCell ref="N200:N201"/>
    <mergeCell ref="J522:L522"/>
    <mergeCell ref="H1511:I1511"/>
    <mergeCell ref="R1033:R1034"/>
    <mergeCell ref="D477:E477"/>
    <mergeCell ref="F537:I537"/>
    <mergeCell ref="O1322:O1323"/>
    <mergeCell ref="F118:I118"/>
    <mergeCell ref="Q325:Q326"/>
    <mergeCell ref="J1279:L1279"/>
    <mergeCell ref="K132:K133"/>
    <mergeCell ref="B348:L348"/>
    <mergeCell ref="B1344:C1344"/>
    <mergeCell ref="Q625:Q626"/>
    <mergeCell ref="P260:P261"/>
    <mergeCell ref="P1441:P1442"/>
    <mergeCell ref="D1409:E1409"/>
    <mergeCell ref="R1506:R1507"/>
    <mergeCell ref="H1658:I1658"/>
    <mergeCell ref="D647:E647"/>
    <mergeCell ref="D1709:E1709"/>
    <mergeCell ref="O1050:O1051"/>
    <mergeCell ref="Q53:Q54"/>
    <mergeCell ref="K458:K459"/>
    <mergeCell ref="L1339:L1340"/>
    <mergeCell ref="K1671:K1672"/>
    <mergeCell ref="B1094:H1094"/>
    <mergeCell ref="B1491:C1491"/>
    <mergeCell ref="F617:I617"/>
    <mergeCell ref="Q353:Q354"/>
    <mergeCell ref="B382:L382"/>
    <mergeCell ref="N642:N643"/>
    <mergeCell ref="B1239:C1239"/>
    <mergeCell ref="J1480:L1480"/>
    <mergeCell ref="N223:N224"/>
    <mergeCell ref="D794:E794"/>
    <mergeCell ref="F917:I917"/>
    <mergeCell ref="A792:A793"/>
    <mergeCell ref="M1731:M1732"/>
    <mergeCell ref="K186:K187"/>
    <mergeCell ref="N523:N524"/>
    <mergeCell ref="F1217:I1217"/>
    <mergeCell ref="J1144:J1145"/>
    <mergeCell ref="K486:K487"/>
    <mergeCell ref="M115:M116"/>
    <mergeCell ref="F645:I645"/>
    <mergeCell ref="L447:L448"/>
    <mergeCell ref="J1444:J1445"/>
    <mergeCell ref="B88:H88"/>
    <mergeCell ref="B82:H82"/>
    <mergeCell ref="F951:I951"/>
    <mergeCell ref="F945:I945"/>
    <mergeCell ref="Q1127:Q1128"/>
    <mergeCell ref="H395:I395"/>
    <mergeCell ref="Q733:Q734"/>
    <mergeCell ref="B388:H388"/>
    <mergeCell ref="P305:P306"/>
    <mergeCell ref="A1566:A1567"/>
    <mergeCell ref="B1062:L1062"/>
    <mergeCell ref="P325:P326"/>
    <mergeCell ref="M1654:M1655"/>
    <mergeCell ref="J132:J133"/>
    <mergeCell ref="D1474:E1474"/>
    <mergeCell ref="N996:N997"/>
    <mergeCell ref="O1719:O1720"/>
    <mergeCell ref="H542:I542"/>
    <mergeCell ref="Q880:Q881"/>
    <mergeCell ref="H123:I123"/>
    <mergeCell ref="F787:I787"/>
    <mergeCell ref="B1741:C1741"/>
    <mergeCell ref="R277:R278"/>
    <mergeCell ref="L1263:L1264"/>
    <mergeCell ref="P42:R42"/>
    <mergeCell ref="H423:I423"/>
    <mergeCell ref="B535:L535"/>
    <mergeCell ref="M348:O348"/>
    <mergeCell ref="F1087:I1087"/>
    <mergeCell ref="B375:C375"/>
    <mergeCell ref="B530:H530"/>
    <mergeCell ref="B136:H136"/>
    <mergeCell ref="J33:J34"/>
    <mergeCell ref="B256:C256"/>
    <mergeCell ref="B436:H436"/>
    <mergeCell ref="P353:P354"/>
    <mergeCell ref="M642:M643"/>
    <mergeCell ref="H134:I134"/>
    <mergeCell ref="J186:J187"/>
    <mergeCell ref="L1274:L1275"/>
    <mergeCell ref="H922:I922"/>
    <mergeCell ref="R444:R445"/>
    <mergeCell ref="H590:I590"/>
    <mergeCell ref="H565:I565"/>
    <mergeCell ref="F1620:I1620"/>
    <mergeCell ref="P858:R858"/>
    <mergeCell ref="J486:J487"/>
    <mergeCell ref="J233:L233"/>
    <mergeCell ref="L1574:L1575"/>
    <mergeCell ref="H1222:I1222"/>
    <mergeCell ref="R744:R745"/>
    <mergeCell ref="K1515:K1516"/>
    <mergeCell ref="B267:C267"/>
    <mergeCell ref="B1055:C1055"/>
    <mergeCell ref="B1210:H1210"/>
    <mergeCell ref="H950:I950"/>
    <mergeCell ref="D358:E358"/>
    <mergeCell ref="A750:A751"/>
    <mergeCell ref="R430:R431"/>
    <mergeCell ref="O761:O762"/>
    <mergeCell ref="H1250:I1250"/>
    <mergeCell ref="K1382:K1383"/>
    <mergeCell ref="N1725:N1726"/>
    <mergeCell ref="Q64:Q65"/>
    <mergeCell ref="B938:H938"/>
    <mergeCell ref="F1668:I1668"/>
    <mergeCell ref="B93:L93"/>
    <mergeCell ref="K1682:K1683"/>
    <mergeCell ref="B1083:C1083"/>
    <mergeCell ref="D86:E86"/>
    <mergeCell ref="A478:A479"/>
    <mergeCell ref="B1238:H1238"/>
    <mergeCell ref="K1563:K1564"/>
    <mergeCell ref="R489:R490"/>
    <mergeCell ref="D386:E386"/>
    <mergeCell ref="H1092:I1092"/>
    <mergeCell ref="K197:K198"/>
    <mergeCell ref="R1246:R1247"/>
    <mergeCell ref="O27:O28"/>
    <mergeCell ref="H1392:I1392"/>
    <mergeCell ref="J1155:J1156"/>
    <mergeCell ref="F356:I356"/>
    <mergeCell ref="L158:L159"/>
    <mergeCell ref="L316:L317"/>
    <mergeCell ref="O659:O660"/>
    <mergeCell ref="R1546:R1547"/>
    <mergeCell ref="Q724:Q725"/>
    <mergeCell ref="F662:I662"/>
    <mergeCell ref="Q444:Q445"/>
    <mergeCell ref="N251:N252"/>
    <mergeCell ref="K557:K558"/>
    <mergeCell ref="Q719:Q720"/>
    <mergeCell ref="D528:E528"/>
    <mergeCell ref="H1619:I1619"/>
    <mergeCell ref="R1257:R1258"/>
    <mergeCell ref="Q591:Q592"/>
    <mergeCell ref="J930:L930"/>
    <mergeCell ref="Q866:Q867"/>
    <mergeCell ref="A1005:A1006"/>
    <mergeCell ref="M1756:O1756"/>
    <mergeCell ref="F804:I804"/>
    <mergeCell ref="B1752:C1752"/>
    <mergeCell ref="D913:E913"/>
    <mergeCell ref="Q778:Q779"/>
    <mergeCell ref="A1305:A1306"/>
    <mergeCell ref="B127:L127"/>
    <mergeCell ref="N393:N394"/>
    <mergeCell ref="N1067:N1068"/>
    <mergeCell ref="P1761:P1762"/>
    <mergeCell ref="P64:P65"/>
    <mergeCell ref="M1393:M1394"/>
    <mergeCell ref="F401:I401"/>
    <mergeCell ref="B1480:C1480"/>
    <mergeCell ref="L985:L986"/>
    <mergeCell ref="O1328:O1329"/>
    <mergeCell ref="R1311:R1312"/>
    <mergeCell ref="B207:H207"/>
    <mergeCell ref="Q489:Q490"/>
    <mergeCell ref="J197:J198"/>
    <mergeCell ref="J1616:L1616"/>
    <mergeCell ref="Q1246:Q1247"/>
    <mergeCell ref="K1226:K1227"/>
    <mergeCell ref="K316:K317"/>
    <mergeCell ref="N1209:N1210"/>
    <mergeCell ref="Q1546:Q1547"/>
    <mergeCell ref="L1345:L1346"/>
    <mergeCell ref="A1659:A1660"/>
    <mergeCell ref="H661:I661"/>
    <mergeCell ref="K1379:K1380"/>
    <mergeCell ref="F291:I291"/>
    <mergeCell ref="K305:K306"/>
    <mergeCell ref="B654:L654"/>
    <mergeCell ref="D1582:E1582"/>
    <mergeCell ref="B649:H649"/>
    <mergeCell ref="P566:P567"/>
    <mergeCell ref="Q1447:Q1448"/>
    <mergeCell ref="L1671:L1672"/>
    <mergeCell ref="B960:L960"/>
    <mergeCell ref="K974:K975"/>
    <mergeCell ref="B949:H949"/>
    <mergeCell ref="A189:A190"/>
    <mergeCell ref="P866:P867"/>
    <mergeCell ref="H46:I46"/>
    <mergeCell ref="K1280:K1281"/>
    <mergeCell ref="M277:M278"/>
    <mergeCell ref="R200:R201"/>
    <mergeCell ref="D97:E97"/>
    <mergeCell ref="P778:P779"/>
    <mergeCell ref="B861:H861"/>
    <mergeCell ref="N1731:N1732"/>
    <mergeCell ref="M393:M394"/>
    <mergeCell ref="M577:M578"/>
    <mergeCell ref="H1109:I1109"/>
    <mergeCell ref="B1545:C1545"/>
    <mergeCell ref="F1223:I1223"/>
    <mergeCell ref="F1739:I1739"/>
    <mergeCell ref="D1610:E1610"/>
    <mergeCell ref="L27:L28"/>
    <mergeCell ref="O370:O371"/>
    <mergeCell ref="B660:H660"/>
    <mergeCell ref="Q1458:Q1459"/>
    <mergeCell ref="Q435:Q436"/>
    <mergeCell ref="B1487:L1487"/>
    <mergeCell ref="K1291:K1292"/>
    <mergeCell ref="H706:I706"/>
    <mergeCell ref="B1329:H1329"/>
    <mergeCell ref="J594:J595"/>
    <mergeCell ref="B1003:H1003"/>
    <mergeCell ref="B1635:H1635"/>
    <mergeCell ref="M1209:M1210"/>
    <mergeCell ref="H726:I726"/>
    <mergeCell ref="H701:I701"/>
    <mergeCell ref="R223:R224"/>
    <mergeCell ref="F1424:I1424"/>
    <mergeCell ref="M1509:M1510"/>
    <mergeCell ref="R880:R881"/>
    <mergeCell ref="B1476:H1476"/>
    <mergeCell ref="A716:A717"/>
    <mergeCell ref="O812:O813"/>
    <mergeCell ref="B714:H714"/>
    <mergeCell ref="D599:E599"/>
    <mergeCell ref="R696:R697"/>
    <mergeCell ref="K1433:K1434"/>
    <mergeCell ref="J1100:L1100"/>
    <mergeCell ref="M1104:M1105"/>
    <mergeCell ref="P1447:P1448"/>
    <mergeCell ref="H596:I596"/>
    <mergeCell ref="J911:J912"/>
    <mergeCell ref="M1410:M1411"/>
    <mergeCell ref="L529:L530"/>
    <mergeCell ref="M1404:M1405"/>
    <mergeCell ref="A70:A71"/>
    <mergeCell ref="H1517:I1517"/>
    <mergeCell ref="J1280:J1281"/>
    <mergeCell ref="B1657:L1657"/>
    <mergeCell ref="L829:L830"/>
    <mergeCell ref="Q200:Q201"/>
    <mergeCell ref="B429:C429"/>
    <mergeCell ref="F107:I107"/>
    <mergeCell ref="D1675:E1675"/>
    <mergeCell ref="D494:E494"/>
    <mergeCell ref="J1580:J1581"/>
    <mergeCell ref="L583:L584"/>
    <mergeCell ref="Q957:Q958"/>
    <mergeCell ref="D610:E610"/>
    <mergeCell ref="N132:N133"/>
    <mergeCell ref="M1464:M1465"/>
    <mergeCell ref="B729:C729"/>
    <mergeCell ref="F407:I407"/>
    <mergeCell ref="A282:A283"/>
    <mergeCell ref="P1458:P1459"/>
    <mergeCell ref="P1132:P1133"/>
    <mergeCell ref="H1228:I1228"/>
    <mergeCell ref="L1056:L1057"/>
    <mergeCell ref="J659:J660"/>
    <mergeCell ref="L724:L725"/>
    <mergeCell ref="R1050:R1051"/>
    <mergeCell ref="J1291:J1292"/>
    <mergeCell ref="F135:I135"/>
    <mergeCell ref="B1508:C1508"/>
    <mergeCell ref="J1722:J1723"/>
    <mergeCell ref="F435:I435"/>
    <mergeCell ref="Q223:Q224"/>
    <mergeCell ref="M1149:M1150"/>
    <mergeCell ref="H43:I43"/>
    <mergeCell ref="D664:E664"/>
    <mergeCell ref="P577:P578"/>
    <mergeCell ref="R1277:R1278"/>
    <mergeCell ref="B552:L552"/>
    <mergeCell ref="N812:N813"/>
    <mergeCell ref="M1144:M1145"/>
    <mergeCell ref="D964:E964"/>
    <mergeCell ref="R1577:R1578"/>
    <mergeCell ref="J1433:J1434"/>
    <mergeCell ref="B1650:C1650"/>
    <mergeCell ref="Q1002:Q1003"/>
    <mergeCell ref="B1256:C1256"/>
    <mergeCell ref="D259:E259"/>
    <mergeCell ref="A651:A652"/>
    <mergeCell ref="L1410:L1411"/>
    <mergeCell ref="N413:N414"/>
    <mergeCell ref="B1562:C1562"/>
    <mergeCell ref="Q1302:Q1303"/>
    <mergeCell ref="B1556:C1556"/>
    <mergeCell ref="D559:E559"/>
    <mergeCell ref="K835:K836"/>
    <mergeCell ref="L1710:L1711"/>
    <mergeCell ref="B258:H258"/>
    <mergeCell ref="N713:N714"/>
    <mergeCell ref="O1594:O1595"/>
    <mergeCell ref="Q597:Q598"/>
    <mergeCell ref="D859:E859"/>
    <mergeCell ref="M132:M133"/>
    <mergeCell ref="R1719:R1720"/>
    <mergeCell ref="Q897:Q898"/>
    <mergeCell ref="F962:I962"/>
    <mergeCell ref="J1508:L1508"/>
    <mergeCell ref="H412:I412"/>
    <mergeCell ref="L1552:L1553"/>
    <mergeCell ref="K730:K731"/>
    <mergeCell ref="A1583:A1584"/>
    <mergeCell ref="H712:I712"/>
    <mergeCell ref="Q1050:Q1051"/>
    <mergeCell ref="M1671:M1672"/>
    <mergeCell ref="K1030:K1031"/>
    <mergeCell ref="M33:M34"/>
    <mergeCell ref="B1074:H1074"/>
    <mergeCell ref="N1645:N1646"/>
    <mergeCell ref="H140:I140"/>
    <mergeCell ref="B545:C545"/>
    <mergeCell ref="L1149:L1150"/>
    <mergeCell ref="R294:R295"/>
    <mergeCell ref="H440:I440"/>
    <mergeCell ref="F1489:I1489"/>
    <mergeCell ref="O1731:O1732"/>
    <mergeCell ref="M186:M187"/>
    <mergeCell ref="B1368:L1368"/>
    <mergeCell ref="B785:H785"/>
    <mergeCell ref="Q1577:Q1578"/>
    <mergeCell ref="D1386:E1386"/>
    <mergeCell ref="B453:H453"/>
    <mergeCell ref="R1458:R1459"/>
    <mergeCell ref="J103:L103"/>
    <mergeCell ref="B1085:H1085"/>
    <mergeCell ref="N1540:N1541"/>
    <mergeCell ref="D1730:E1730"/>
    <mergeCell ref="K1410:K1411"/>
    <mergeCell ref="M413:M414"/>
    <mergeCell ref="J403:L403"/>
    <mergeCell ref="M965:M966"/>
    <mergeCell ref="M713:M714"/>
    <mergeCell ref="F1631:I1631"/>
    <mergeCell ref="R761:R762"/>
    <mergeCell ref="B813:H813"/>
    <mergeCell ref="A53:A54"/>
    <mergeCell ref="F1543:I1543"/>
    <mergeCell ref="Q1725:Q1726"/>
    <mergeCell ref="K1557:K1558"/>
    <mergeCell ref="Q1719:Q1720"/>
    <mergeCell ref="M560:M561"/>
    <mergeCell ref="B800:C800"/>
    <mergeCell ref="B1748:L1748"/>
    <mergeCell ref="A353:A354"/>
    <mergeCell ref="B1227:H1227"/>
    <mergeCell ref="D1741:E1741"/>
    <mergeCell ref="N1263:N1264"/>
    <mergeCell ref="M860:M861"/>
    <mergeCell ref="K1552:K1553"/>
    <mergeCell ref="H967:I967"/>
    <mergeCell ref="J730:J731"/>
    <mergeCell ref="M1617:M1618"/>
    <mergeCell ref="R1121:R1122"/>
    <mergeCell ref="P1402:R1402"/>
    <mergeCell ref="H1267:I1267"/>
    <mergeCell ref="J1030:J1031"/>
    <mergeCell ref="L33:L34"/>
    <mergeCell ref="R1421:R1422"/>
    <mergeCell ref="B179:C179"/>
    <mergeCell ref="Q81:Q82"/>
    <mergeCell ref="F1685:I1685"/>
    <mergeCell ref="Q713:Q714"/>
    <mergeCell ref="O316:O317"/>
    <mergeCell ref="B1100:C1100"/>
    <mergeCell ref="D103:E103"/>
    <mergeCell ref="A495:A496"/>
    <mergeCell ref="O948:O949"/>
    <mergeCell ref="L1254:L1255"/>
    <mergeCell ref="N257:N258"/>
    <mergeCell ref="P1345:P1346"/>
    <mergeCell ref="M583:M584"/>
    <mergeCell ref="D403:E403"/>
    <mergeCell ref="A795:A796"/>
    <mergeCell ref="J1072:L1072"/>
    <mergeCell ref="J872:J873"/>
    <mergeCell ref="M883:M884"/>
    <mergeCell ref="J1178:J1179"/>
    <mergeCell ref="M1540:M1541"/>
    <mergeCell ref="J1172:J1173"/>
    <mergeCell ref="M1515:M1516"/>
    <mergeCell ref="B1482:H1482"/>
    <mergeCell ref="B995:C995"/>
    <mergeCell ref="J1219:L1219"/>
    <mergeCell ref="L475:L476"/>
    <mergeCell ref="J800:L800"/>
    <mergeCell ref="D630:E630"/>
    <mergeCell ref="B1301:C1301"/>
    <mergeCell ref="H1463:I1463"/>
    <mergeCell ref="P1756:R1756"/>
    <mergeCell ref="F979:I979"/>
    <mergeCell ref="Q761:Q762"/>
    <mergeCell ref="D930:E930"/>
    <mergeCell ref="A418:A419"/>
    <mergeCell ref="B790:L790"/>
    <mergeCell ref="P1725:P1726"/>
    <mergeCell ref="B1296:C1296"/>
    <mergeCell ref="A1175:A1176"/>
    <mergeCell ref="F974:I974"/>
    <mergeCell ref="M1682:M1683"/>
    <mergeCell ref="L860:L861"/>
    <mergeCell ref="K736:K737"/>
    <mergeCell ref="H151:I151"/>
    <mergeCell ref="P240:P241"/>
    <mergeCell ref="O1634:O1635"/>
    <mergeCell ref="A1322:A1323"/>
    <mergeCell ref="K33:K34"/>
    <mergeCell ref="D1072:E1072"/>
    <mergeCell ref="B139:H139"/>
    <mergeCell ref="L1161:L1162"/>
    <mergeCell ref="P387:P388"/>
    <mergeCell ref="M1716:M1717"/>
    <mergeCell ref="D984:E984"/>
    <mergeCell ref="M1710:M1711"/>
    <mergeCell ref="R1081:R1082"/>
    <mergeCell ref="J114:L114"/>
    <mergeCell ref="L1002:L1003"/>
    <mergeCell ref="O1345:O1346"/>
    <mergeCell ref="D1284:E1284"/>
    <mergeCell ref="J56:J57"/>
    <mergeCell ref="J214:J215"/>
    <mergeCell ref="L1302:L1303"/>
    <mergeCell ref="J1633:L1633"/>
    <mergeCell ref="L883:L884"/>
    <mergeCell ref="B524:H524"/>
    <mergeCell ref="F580:I580"/>
    <mergeCell ref="F1229:I1229"/>
    <mergeCell ref="D1757:E1757"/>
    <mergeCell ref="A64:A65"/>
    <mergeCell ref="K475:K476"/>
    <mergeCell ref="N974:N975"/>
    <mergeCell ref="M152:M153"/>
    <mergeCell ref="R44:R45"/>
    <mergeCell ref="D1752:E1752"/>
    <mergeCell ref="L1662:L1663"/>
    <mergeCell ref="M452:M453"/>
    <mergeCell ref="F940:I940"/>
    <mergeCell ref="H978:I978"/>
    <mergeCell ref="P1067:P1068"/>
    <mergeCell ref="F608:I608"/>
    <mergeCell ref="D1599:E1599"/>
    <mergeCell ref="B666:H666"/>
    <mergeCell ref="Q1464:Q1465"/>
    <mergeCell ref="R370:R371"/>
    <mergeCell ref="B966:H966"/>
    <mergeCell ref="A206:A207"/>
    <mergeCell ref="R1583:R1584"/>
    <mergeCell ref="D1480:E1480"/>
    <mergeCell ref="P1056:P1057"/>
    <mergeCell ref="J290:L290"/>
    <mergeCell ref="N1634:N1635"/>
    <mergeCell ref="J469:J470"/>
    <mergeCell ref="D114:E114"/>
    <mergeCell ref="N1291:N1292"/>
    <mergeCell ref="R98:R99"/>
    <mergeCell ref="J889:J890"/>
    <mergeCell ref="J883:J884"/>
    <mergeCell ref="M1226:M1227"/>
    <mergeCell ref="O387:O388"/>
    <mergeCell ref="L1716:L1717"/>
    <mergeCell ref="B1504:L1504"/>
    <mergeCell ref="J770:J771"/>
    <mergeCell ref="J301:L301"/>
    <mergeCell ref="J817:L817"/>
    <mergeCell ref="A129:A130"/>
    <mergeCell ref="N1319:N1320"/>
    <mergeCell ref="K1608:K1609"/>
    <mergeCell ref="B1652:H1652"/>
    <mergeCell ref="A886:A887"/>
    <mergeCell ref="M1285:M1286"/>
    <mergeCell ref="P1736:P1737"/>
    <mergeCell ref="J970:L970"/>
    <mergeCell ref="F1441:I1441"/>
    <mergeCell ref="H885:I885"/>
    <mergeCell ref="J781:J782"/>
    <mergeCell ref="M1280:M1281"/>
    <mergeCell ref="J1569:J1570"/>
    <mergeCell ref="B718:C718"/>
    <mergeCell ref="B1031:H1031"/>
    <mergeCell ref="A271:A272"/>
    <mergeCell ref="P1464:P1465"/>
    <mergeCell ref="M639:M640"/>
    <mergeCell ref="A920:A921"/>
    <mergeCell ref="H613:I613"/>
    <mergeCell ref="M1753:M1754"/>
    <mergeCell ref="P98:P99"/>
    <mergeCell ref="M1427:M1428"/>
    <mergeCell ref="A571:A572"/>
    <mergeCell ref="M1421:M1422"/>
    <mergeCell ref="R767:R768"/>
    <mergeCell ref="H919:I919"/>
    <mergeCell ref="O1056:O1057"/>
    <mergeCell ref="F10:I10"/>
    <mergeCell ref="J556:L556"/>
    <mergeCell ref="B446:C446"/>
    <mergeCell ref="J923:J924"/>
    <mergeCell ref="F124:I124"/>
    <mergeCell ref="J1597:J1598"/>
    <mergeCell ref="L600:L601"/>
    <mergeCell ref="L594:L595"/>
    <mergeCell ref="A631:A632"/>
    <mergeCell ref="B746:C746"/>
    <mergeCell ref="Q98:Q99"/>
    <mergeCell ref="F424:I424"/>
    <mergeCell ref="M1722:M1723"/>
    <mergeCell ref="J1644:L1644"/>
    <mergeCell ref="L900:L901"/>
    <mergeCell ref="B1558:H1558"/>
    <mergeCell ref="A931:A932"/>
    <mergeCell ref="B1046:C1046"/>
    <mergeCell ref="K192:K193"/>
    <mergeCell ref="O1084:O1085"/>
    <mergeCell ref="Q87:Q88"/>
    <mergeCell ref="M1319:M1320"/>
    <mergeCell ref="J698:L698"/>
    <mergeCell ref="H1712:I1712"/>
    <mergeCell ref="A526:A527"/>
    <mergeCell ref="J1608:J1609"/>
    <mergeCell ref="J1739:J1740"/>
    <mergeCell ref="L1285:L1286"/>
    <mergeCell ref="D434:E434"/>
    <mergeCell ref="A826:A827"/>
    <mergeCell ref="L911:L912"/>
    <mergeCell ref="O1410:O1411"/>
    <mergeCell ref="N529:N530"/>
    <mergeCell ref="A940:A941"/>
    <mergeCell ref="K220:K221"/>
    <mergeCell ref="R1294:R1295"/>
    <mergeCell ref="N829:N830"/>
    <mergeCell ref="J1667:L1667"/>
    <mergeCell ref="R1600:R1601"/>
    <mergeCell ref="D1497:E1497"/>
    <mergeCell ref="R1594:R1595"/>
    <mergeCell ref="O1226:O1227"/>
    <mergeCell ref="B547:H547"/>
    <mergeCell ref="K1308:K1309"/>
    <mergeCell ref="P132:P133"/>
    <mergeCell ref="J1750:J1751"/>
    <mergeCell ref="M1419:O1419"/>
    <mergeCell ref="O98:O99"/>
    <mergeCell ref="L1427:L1428"/>
    <mergeCell ref="Q767:Q768"/>
    <mergeCell ref="H1741:I1741"/>
    <mergeCell ref="B1573:C1573"/>
    <mergeCell ref="J481:J482"/>
    <mergeCell ref="L1053:L1054"/>
    <mergeCell ref="A1642:A1643"/>
    <mergeCell ref="J1378:L1378"/>
    <mergeCell ref="B275:H275"/>
    <mergeCell ref="N730:N731"/>
    <mergeCell ref="N724:N725"/>
    <mergeCell ref="A1731:A1732"/>
    <mergeCell ref="F1005:I1005"/>
    <mergeCell ref="K600:K601"/>
    <mergeCell ref="P359:P360"/>
    <mergeCell ref="P1671:P1672"/>
    <mergeCell ref="D1508:E1508"/>
    <mergeCell ref="B575:H575"/>
    <mergeCell ref="M665:M666"/>
    <mergeCell ref="N1030:N1031"/>
    <mergeCell ref="K1319:K1320"/>
    <mergeCell ref="K900:K901"/>
    <mergeCell ref="F821:I821"/>
    <mergeCell ref="O1149:O1150"/>
    <mergeCell ref="H429:I429"/>
    <mergeCell ref="J192:J193"/>
    <mergeCell ref="D936:E936"/>
    <mergeCell ref="F1152:I1152"/>
    <mergeCell ref="B1663:H1663"/>
    <mergeCell ref="R583:R584"/>
    <mergeCell ref="N1084:N1085"/>
    <mergeCell ref="H729:I729"/>
    <mergeCell ref="J492:J493"/>
    <mergeCell ref="D1236:E1236"/>
    <mergeCell ref="Q1240:Q1241"/>
    <mergeCell ref="K1047:K1048"/>
    <mergeCell ref="M50:M51"/>
    <mergeCell ref="Q1540:Q1541"/>
    <mergeCell ref="D1650:E1650"/>
    <mergeCell ref="A1654:A1655"/>
    <mergeCell ref="K1042:K1043"/>
    <mergeCell ref="J639:J640"/>
    <mergeCell ref="J220:J221"/>
    <mergeCell ref="D1562:E1562"/>
    <mergeCell ref="H630:I630"/>
    <mergeCell ref="P892:R892"/>
    <mergeCell ref="K1342:K1343"/>
    <mergeCell ref="J520:J521"/>
    <mergeCell ref="J267:L267"/>
    <mergeCell ref="Q1600:Q1601"/>
    <mergeCell ref="B157:C157"/>
    <mergeCell ref="O22:O23"/>
    <mergeCell ref="N1226:N1227"/>
    <mergeCell ref="J1308:J1309"/>
    <mergeCell ref="O138:O139"/>
    <mergeCell ref="O648:O649"/>
    <mergeCell ref="B1102:H1102"/>
    <mergeCell ref="Q203:Q204"/>
    <mergeCell ref="N1557:N1558"/>
    <mergeCell ref="B457:C457"/>
    <mergeCell ref="A10:A11"/>
    <mergeCell ref="K1427:K1428"/>
    <mergeCell ref="J420:L420"/>
    <mergeCell ref="A642:A643"/>
    <mergeCell ref="B757:C757"/>
    <mergeCell ref="M730:M731"/>
    <mergeCell ref="J362:J363"/>
    <mergeCell ref="P1617:P1618"/>
    <mergeCell ref="O795:O796"/>
    <mergeCell ref="B185:C185"/>
    <mergeCell ref="M1030:M1031"/>
    <mergeCell ref="O33:O34"/>
    <mergeCell ref="Q1742:Q1743"/>
    <mergeCell ref="B817:C817"/>
    <mergeCell ref="J1319:J1320"/>
    <mergeCell ref="A370:A371"/>
    <mergeCell ref="B468:C468"/>
    <mergeCell ref="J321:L321"/>
    <mergeCell ref="H1310:I1310"/>
    <mergeCell ref="B1303:H1303"/>
    <mergeCell ref="P1220:P1221"/>
    <mergeCell ref="B1117:C1117"/>
    <mergeCell ref="D120:E120"/>
    <mergeCell ref="R217:R218"/>
    <mergeCell ref="K1569:K1570"/>
    <mergeCell ref="J621:L621"/>
    <mergeCell ref="P1240:P1241"/>
    <mergeCell ref="M872:M873"/>
    <mergeCell ref="B1298:H1298"/>
    <mergeCell ref="J1047:J1048"/>
    <mergeCell ref="L50:L51"/>
    <mergeCell ref="H1457:I1457"/>
    <mergeCell ref="M1172:M1173"/>
    <mergeCell ref="P1515:P1516"/>
    <mergeCell ref="L350:L351"/>
    <mergeCell ref="H1757:I1757"/>
    <mergeCell ref="F180:I180"/>
    <mergeCell ref="O965:O966"/>
    <mergeCell ref="B1284:C1284"/>
    <mergeCell ref="B1259:C1259"/>
    <mergeCell ref="N268:N269"/>
    <mergeCell ref="J1089:L1089"/>
    <mergeCell ref="P1662:P1663"/>
    <mergeCell ref="B1171:C1171"/>
    <mergeCell ref="P1268:P1269"/>
    <mergeCell ref="B286:H286"/>
    <mergeCell ref="M1557:M1558"/>
    <mergeCell ref="O560:O561"/>
    <mergeCell ref="R571:R572"/>
    <mergeCell ref="B1585:C1585"/>
    <mergeCell ref="F532:I532"/>
    <mergeCell ref="J1489:J1490"/>
    <mergeCell ref="O860:O861"/>
    <mergeCell ref="R1203:R1204"/>
    <mergeCell ref="B1644:C1644"/>
    <mergeCell ref="L1166:L1167"/>
    <mergeCell ref="L1124:L1125"/>
    <mergeCell ref="H1480:I1480"/>
    <mergeCell ref="O1617:O1618"/>
    <mergeCell ref="J1123:L1123"/>
    <mergeCell ref="J1117:L1117"/>
    <mergeCell ref="D947:E947"/>
    <mergeCell ref="B14:H14"/>
    <mergeCell ref="L1036:L1037"/>
    <mergeCell ref="P1742:P1743"/>
    <mergeCell ref="N1101:N1102"/>
    <mergeCell ref="P104:P105"/>
    <mergeCell ref="B1313:C1313"/>
    <mergeCell ref="O588:O589"/>
    <mergeCell ref="B1613:C1613"/>
    <mergeCell ref="K753:K754"/>
    <mergeCell ref="A1665:A1666"/>
    <mergeCell ref="P257:P258"/>
    <mergeCell ref="R1345:R1346"/>
    <mergeCell ref="N180:N181"/>
    <mergeCell ref="O1651:O1652"/>
    <mergeCell ref="Q648:Q649"/>
    <mergeCell ref="F455:I455"/>
    <mergeCell ref="F430:I430"/>
    <mergeCell ref="P557:P558"/>
    <mergeCell ref="D1089:E1089"/>
    <mergeCell ref="Q954:Q955"/>
    <mergeCell ref="A1093:A1094"/>
    <mergeCell ref="L1178:L1179"/>
    <mergeCell ref="K350:K351"/>
    <mergeCell ref="N1243:N1244"/>
    <mergeCell ref="B1324:C1324"/>
    <mergeCell ref="K481:K482"/>
    <mergeCell ref="J1171:L1171"/>
    <mergeCell ref="F1518:I1518"/>
    <mergeCell ref="A1393:A1394"/>
    <mergeCell ref="K656:K657"/>
    <mergeCell ref="R33:R34"/>
    <mergeCell ref="B55:C55"/>
    <mergeCell ref="P152:P153"/>
    <mergeCell ref="J1471:L1471"/>
    <mergeCell ref="D1301:E1301"/>
    <mergeCell ref="J73:J74"/>
    <mergeCell ref="O1662:O1663"/>
    <mergeCell ref="P452:P453"/>
    <mergeCell ref="F597:I597"/>
    <mergeCell ref="F1246:I1246"/>
    <mergeCell ref="F897:I897"/>
    <mergeCell ref="J285:J286"/>
    <mergeCell ref="F1546:I1546"/>
    <mergeCell ref="K492:K493"/>
    <mergeCell ref="Q1753:Q1754"/>
    <mergeCell ref="N991:N992"/>
    <mergeCell ref="B79:H79"/>
    <mergeCell ref="K798:K799"/>
    <mergeCell ref="B836:H836"/>
    <mergeCell ref="K1472:K1473"/>
    <mergeCell ref="Q1634:Q1635"/>
    <mergeCell ref="M469:M470"/>
    <mergeCell ref="J101:J102"/>
    <mergeCell ref="J758:J759"/>
    <mergeCell ref="O104:O105"/>
    <mergeCell ref="H233:I233"/>
    <mergeCell ref="F1257:I1257"/>
    <mergeCell ref="K1467:K1468"/>
    <mergeCell ref="P1226:P1227"/>
    <mergeCell ref="O404:O405"/>
    <mergeCell ref="R387:R388"/>
    <mergeCell ref="B213:C213"/>
    <mergeCell ref="J60:L60"/>
    <mergeCell ref="J753:J754"/>
    <mergeCell ref="Q1345:Q1346"/>
    <mergeCell ref="J692:L692"/>
    <mergeCell ref="N1651:N1652"/>
    <mergeCell ref="B737:H737"/>
    <mergeCell ref="J1059:J1060"/>
    <mergeCell ref="M212:O212"/>
    <mergeCell ref="B208:C208"/>
    <mergeCell ref="J55:L55"/>
    <mergeCell ref="P1373:P1374"/>
    <mergeCell ref="B366:C366"/>
    <mergeCell ref="B882:C882"/>
    <mergeCell ref="P979:P980"/>
    <mergeCell ref="P954:P955"/>
    <mergeCell ref="B1037:H1037"/>
    <mergeCell ref="K1178:K1179"/>
    <mergeCell ref="M1243:M1244"/>
    <mergeCell ref="P1285:P1286"/>
    <mergeCell ref="J787:J788"/>
    <mergeCell ref="F1311:I1311"/>
    <mergeCell ref="M1455:M1456"/>
    <mergeCell ref="B593:C593"/>
    <mergeCell ref="J1087:J1088"/>
    <mergeCell ref="L90:L91"/>
    <mergeCell ref="B748:H748"/>
    <mergeCell ref="J828:L828"/>
    <mergeCell ref="M1569:M1570"/>
    <mergeCell ref="F1611:I1611"/>
    <mergeCell ref="K1625:K1626"/>
    <mergeCell ref="B893:C893"/>
    <mergeCell ref="J1134:L1134"/>
    <mergeCell ref="A288:A289"/>
    <mergeCell ref="M622:M623"/>
    <mergeCell ref="J740:L740"/>
    <mergeCell ref="O274:O275"/>
    <mergeCell ref="P1753:P1754"/>
    <mergeCell ref="A1209:A1210"/>
    <mergeCell ref="H902:I902"/>
    <mergeCell ref="O605:O606"/>
    <mergeCell ref="B321:C321"/>
    <mergeCell ref="H1551:I1551"/>
    <mergeCell ref="J798:J799"/>
    <mergeCell ref="R1056:R1057"/>
    <mergeCell ref="P1470:R1470"/>
    <mergeCell ref="B621:C621"/>
    <mergeCell ref="J1098:J1099"/>
    <mergeCell ref="F299:I299"/>
    <mergeCell ref="P268:P269"/>
    <mergeCell ref="B735:C735"/>
    <mergeCell ref="O600:O601"/>
    <mergeCell ref="M1597:M1598"/>
    <mergeCell ref="B1564:H1564"/>
    <mergeCell ref="Q665:Q666"/>
    <mergeCell ref="P1481:P1482"/>
    <mergeCell ref="L889:L890"/>
    <mergeCell ref="K67:K68"/>
    <mergeCell ref="B1035:C1035"/>
    <mergeCell ref="Q387:Q388"/>
    <mergeCell ref="J882:L882"/>
    <mergeCell ref="B1684:C1684"/>
    <mergeCell ref="R784:R785"/>
    <mergeCell ref="N192:N193"/>
    <mergeCell ref="K367:K368"/>
    <mergeCell ref="H936:I936"/>
    <mergeCell ref="H930:I930"/>
    <mergeCell ref="J693:J694"/>
    <mergeCell ref="O1073:O1074"/>
    <mergeCell ref="B463:C463"/>
    <mergeCell ref="R1084:R1085"/>
    <mergeCell ref="H1718:I1718"/>
    <mergeCell ref="F200:I200"/>
    <mergeCell ref="M285:M286"/>
    <mergeCell ref="O1373:O1374"/>
    <mergeCell ref="L617:L618"/>
    <mergeCell ref="Q376:Q377"/>
    <mergeCell ref="J1614:J1615"/>
    <mergeCell ref="O954:O955"/>
    <mergeCell ref="B763:C763"/>
    <mergeCell ref="F957:I957"/>
    <mergeCell ref="B1420:C1420"/>
    <mergeCell ref="O1285:O1286"/>
    <mergeCell ref="L917:L918"/>
    <mergeCell ref="B1395:C1395"/>
    <mergeCell ref="B1575:H1575"/>
    <mergeCell ref="B705:L705"/>
    <mergeCell ref="B1063:C1063"/>
    <mergeCell ref="K209:K210"/>
    <mergeCell ref="D740:E740"/>
    <mergeCell ref="J893:L893"/>
    <mergeCell ref="L1217:L1218"/>
    <mergeCell ref="Q588:Q589"/>
    <mergeCell ref="D698:E698"/>
    <mergeCell ref="A1115:A1116"/>
    <mergeCell ref="J1542:L1542"/>
    <mergeCell ref="J1199:L1199"/>
    <mergeCell ref="K90:K91"/>
    <mergeCell ref="B858:L858"/>
    <mergeCell ref="Q404:Q405"/>
    <mergeCell ref="J1625:J1626"/>
    <mergeCell ref="K390:K391"/>
    <mergeCell ref="R1464:R1465"/>
    <mergeCell ref="B1290:C1290"/>
    <mergeCell ref="H1616:I1616"/>
    <mergeCell ref="F968:I968"/>
    <mergeCell ref="D451:E451"/>
    <mergeCell ref="J356:J357"/>
    <mergeCell ref="O1427:O1428"/>
    <mergeCell ref="N605:N606"/>
    <mergeCell ref="J927:L927"/>
    <mergeCell ref="Q1056:Q1057"/>
    <mergeCell ref="K537:K538"/>
    <mergeCell ref="D1514:E1514"/>
    <mergeCell ref="R1611:R1612"/>
    <mergeCell ref="N600:N601"/>
    <mergeCell ref="B1749:C1749"/>
    <mergeCell ref="D752:E752"/>
    <mergeCell ref="P665:P666"/>
    <mergeCell ref="B1385:L1385"/>
    <mergeCell ref="K889:K890"/>
    <mergeCell ref="Q1203:Q1204"/>
    <mergeCell ref="Q784:Q785"/>
    <mergeCell ref="M192:M193"/>
    <mergeCell ref="B1590:C1590"/>
    <mergeCell ref="J498:J499"/>
    <mergeCell ref="L1586:L1587"/>
    <mergeCell ref="F234:I234"/>
    <mergeCell ref="N747:N748"/>
    <mergeCell ref="Q1090:Q1091"/>
    <mergeCell ref="Q1084:Q1085"/>
    <mergeCell ref="B1113:L1113"/>
    <mergeCell ref="N1373:N1374"/>
    <mergeCell ref="K617:K618"/>
    <mergeCell ref="P376:P377"/>
    <mergeCell ref="N1047:N1048"/>
    <mergeCell ref="F1322:I1322"/>
    <mergeCell ref="K917:K918"/>
    <mergeCell ref="J209:J210"/>
    <mergeCell ref="K1217:K1218"/>
    <mergeCell ref="M220:M221"/>
    <mergeCell ref="B187:H187"/>
    <mergeCell ref="H1262:I1262"/>
    <mergeCell ref="M520:M521"/>
    <mergeCell ref="F1050:I1050"/>
    <mergeCell ref="B493:H493"/>
    <mergeCell ref="B307:C307"/>
    <mergeCell ref="B487:H487"/>
    <mergeCell ref="P404:P405"/>
    <mergeCell ref="J809:J810"/>
    <mergeCell ref="M1308:M1309"/>
    <mergeCell ref="J137:L137"/>
    <mergeCell ref="M693:M694"/>
    <mergeCell ref="A1671:A1672"/>
    <mergeCell ref="N1427:N1428"/>
    <mergeCell ref="M605:M606"/>
    <mergeCell ref="J237:J238"/>
    <mergeCell ref="P1492:P1493"/>
    <mergeCell ref="H973:I973"/>
    <mergeCell ref="R495:R496"/>
    <mergeCell ref="H641:I641"/>
    <mergeCell ref="P730:P731"/>
    <mergeCell ref="J537:J538"/>
    <mergeCell ref="R795:R796"/>
    <mergeCell ref="H553:I553"/>
    <mergeCell ref="J1325:J1326"/>
    <mergeCell ref="L328:L329"/>
    <mergeCell ref="O665:O666"/>
    <mergeCell ref="B1119:H1119"/>
    <mergeCell ref="B474:C474"/>
    <mergeCell ref="O322:O323"/>
    <mergeCell ref="B1106:C1106"/>
    <mergeCell ref="L628:L629"/>
    <mergeCell ref="J953:L953"/>
    <mergeCell ref="A659:A660"/>
    <mergeCell ref="B774:C774"/>
    <mergeCell ref="K1586:K1587"/>
    <mergeCell ref="N1569:N1570"/>
    <mergeCell ref="B1406:C1406"/>
    <mergeCell ref="L928:L929"/>
    <mergeCell ref="D409:E409"/>
    <mergeCell ref="M747:M748"/>
    <mergeCell ref="B1173:H1173"/>
    <mergeCell ref="P758:P759"/>
    <mergeCell ref="B1473:H1473"/>
    <mergeCell ref="M1047:M1048"/>
    <mergeCell ref="O50:O51"/>
    <mergeCell ref="H539:I539"/>
    <mergeCell ref="K101:K102"/>
    <mergeCell ref="F1719:I1719"/>
    <mergeCell ref="R1175:R1176"/>
    <mergeCell ref="O350:O351"/>
    <mergeCell ref="H1327:I1327"/>
    <mergeCell ref="B1134:C1134"/>
    <mergeCell ref="D137:E137"/>
    <mergeCell ref="L639:L640"/>
    <mergeCell ref="L226:L227"/>
    <mergeCell ref="R1481:R1482"/>
    <mergeCell ref="L220:L221"/>
    <mergeCell ref="R1475:R1476"/>
    <mergeCell ref="K1645:K1646"/>
    <mergeCell ref="B372:C372"/>
    <mergeCell ref="J638:L638"/>
    <mergeCell ref="H1627:I1627"/>
    <mergeCell ref="K1728:K1729"/>
    <mergeCell ref="B1315:H1315"/>
    <mergeCell ref="K248:K249"/>
    <mergeCell ref="A549:A550"/>
    <mergeCell ref="L67:L68"/>
    <mergeCell ref="J1064:J1065"/>
    <mergeCell ref="L1308:L1309"/>
    <mergeCell ref="N311:N312"/>
    <mergeCell ref="H1055:I1055"/>
    <mergeCell ref="B1460:C1460"/>
    <mergeCell ref="D463:E463"/>
    <mergeCell ref="P1557:P1558"/>
    <mergeCell ref="R560:R561"/>
    <mergeCell ref="B1615:H1615"/>
    <mergeCell ref="L367:L368"/>
    <mergeCell ref="K243:K244"/>
    <mergeCell ref="O1498:O1499"/>
    <mergeCell ref="R860:R861"/>
    <mergeCell ref="O1166:O1167"/>
    <mergeCell ref="O1124:O1125"/>
    <mergeCell ref="L1455:L1456"/>
    <mergeCell ref="N458:N459"/>
    <mergeCell ref="Q801:Q802"/>
    <mergeCell ref="A1328:A1329"/>
    <mergeCell ref="Q795:Q796"/>
    <mergeCell ref="N39:N40"/>
    <mergeCell ref="B824:L824"/>
    <mergeCell ref="A577:A578"/>
    <mergeCell ref="K328:K329"/>
    <mergeCell ref="J1412:L1412"/>
    <mergeCell ref="J1406:L1406"/>
    <mergeCell ref="M1416:M1417"/>
    <mergeCell ref="B303:H303"/>
    <mergeCell ref="N758:N759"/>
    <mergeCell ref="B1488:C1488"/>
    <mergeCell ref="D491:E491"/>
    <mergeCell ref="K628:K629"/>
    <mergeCell ref="J1318:L1318"/>
    <mergeCell ref="O877:O878"/>
    <mergeCell ref="R1220:R1221"/>
    <mergeCell ref="K928:K929"/>
    <mergeCell ref="P274:P275"/>
    <mergeCell ref="R1651:R1652"/>
    <mergeCell ref="L1047:L1048"/>
    <mergeCell ref="F761:I761"/>
    <mergeCell ref="N50:N51"/>
    <mergeCell ref="Q937:Q938"/>
    <mergeCell ref="B1199:C1199"/>
    <mergeCell ref="B18:C18"/>
    <mergeCell ref="K356:K357"/>
    <mergeCell ref="P115:P116"/>
    <mergeCell ref="M1444:M1445"/>
    <mergeCell ref="N350:N351"/>
    <mergeCell ref="A1382:A1383"/>
    <mergeCell ref="K639:K640"/>
    <mergeCell ref="H1724:I1724"/>
    <mergeCell ref="J1460:L1460"/>
    <mergeCell ref="A1682:A1683"/>
    <mergeCell ref="D1259:E1259"/>
    <mergeCell ref="A1676:A1677"/>
    <mergeCell ref="N1438:N1439"/>
    <mergeCell ref="N1413:N1414"/>
    <mergeCell ref="J248:J249"/>
    <mergeCell ref="D1590:E1590"/>
    <mergeCell ref="B657:H657"/>
    <mergeCell ref="Q1297:Q1298"/>
    <mergeCell ref="H239:I239"/>
    <mergeCell ref="Q1628:Q1629"/>
    <mergeCell ref="M617:M618"/>
    <mergeCell ref="M1487:O1487"/>
    <mergeCell ref="J243:J244"/>
    <mergeCell ref="A1410:A1411"/>
    <mergeCell ref="N492:N493"/>
    <mergeCell ref="N1008:N1009"/>
    <mergeCell ref="B72:C72"/>
    <mergeCell ref="N1166:N1167"/>
    <mergeCell ref="N1124:N1125"/>
    <mergeCell ref="D1318:E1318"/>
    <mergeCell ref="A1710:A1711"/>
    <mergeCell ref="K1455:K1456"/>
    <mergeCell ref="K1430:K1431"/>
    <mergeCell ref="M458:M459"/>
    <mergeCell ref="P469:P470"/>
    <mergeCell ref="K1761:K1762"/>
    <mergeCell ref="R1742:R1743"/>
    <mergeCell ref="M758:M759"/>
    <mergeCell ref="R104:R105"/>
    <mergeCell ref="H250:I250"/>
    <mergeCell ref="J302:J303"/>
    <mergeCell ref="R404:R405"/>
    <mergeCell ref="J18:L18"/>
    <mergeCell ref="H1171:I1171"/>
    <mergeCell ref="B83:C83"/>
    <mergeCell ref="P180:P181"/>
    <mergeCell ref="M486:M487"/>
    <mergeCell ref="O121:O122"/>
    <mergeCell ref="B383:C383"/>
    <mergeCell ref="H766:I766"/>
    <mergeCell ref="J13:J14"/>
    <mergeCell ref="B1326:H1326"/>
    <mergeCell ref="P1243:P1244"/>
    <mergeCell ref="M481:M482"/>
    <mergeCell ref="L78:L79"/>
    <mergeCell ref="O421:O422"/>
    <mergeCell ref="R920:R921"/>
    <mergeCell ref="H1066:I1066"/>
    <mergeCell ref="M787:M788"/>
    <mergeCell ref="D1687:E1687"/>
    <mergeCell ref="B754:H754"/>
    <mergeCell ref="J1076:J1077"/>
    <mergeCell ref="B111:C111"/>
    <mergeCell ref="L73:L74"/>
    <mergeCell ref="B225:C225"/>
    <mergeCell ref="F1600:I1600"/>
    <mergeCell ref="B1054:H1054"/>
    <mergeCell ref="A294:A295"/>
    <mergeCell ref="N1625:N1626"/>
    <mergeCell ref="B1686:H1686"/>
    <mergeCell ref="R631:R632"/>
    <mergeCell ref="B525:C525"/>
    <mergeCell ref="F719:I719"/>
    <mergeCell ref="D202:E202"/>
    <mergeCell ref="A594:A595"/>
    <mergeCell ref="H777:I777"/>
    <mergeCell ref="R274:R275"/>
    <mergeCell ref="J1004:L1004"/>
    <mergeCell ref="M1560:M1561"/>
    <mergeCell ref="R931:R932"/>
    <mergeCell ref="O563:O564"/>
    <mergeCell ref="O894:O895"/>
    <mergeCell ref="M1472:M1473"/>
    <mergeCell ref="O469:O470"/>
    <mergeCell ref="A648:A649"/>
    <mergeCell ref="J83:L83"/>
    <mergeCell ref="B910:C910"/>
    <mergeCell ref="O775:O776"/>
    <mergeCell ref="B1065:H1065"/>
    <mergeCell ref="A305:A306"/>
    <mergeCell ref="H55:I55"/>
    <mergeCell ref="R659:R660"/>
    <mergeCell ref="L1064:L1065"/>
    <mergeCell ref="N67:N68"/>
    <mergeCell ref="N61:N62"/>
    <mergeCell ref="K1390:K1391"/>
    <mergeCell ref="B1434:H1434"/>
    <mergeCell ref="D213:E213"/>
    <mergeCell ref="R1073:R1074"/>
    <mergeCell ref="A974:A975"/>
    <mergeCell ref="Q251:Q252"/>
    <mergeCell ref="F158:I158"/>
    <mergeCell ref="B638:C638"/>
    <mergeCell ref="A33:A34"/>
    <mergeCell ref="F316:I316"/>
    <mergeCell ref="M1614:M1615"/>
    <mergeCell ref="R1373:R1374"/>
    <mergeCell ref="O617:O618"/>
    <mergeCell ref="O611:O612"/>
    <mergeCell ref="L792:L793"/>
    <mergeCell ref="R954:R955"/>
    <mergeCell ref="J1745:J1746"/>
    <mergeCell ref="B1581:H1581"/>
    <mergeCell ref="O1243:O1244"/>
    <mergeCell ref="R1285:R1286"/>
    <mergeCell ref="O917:O918"/>
    <mergeCell ref="N95:N96"/>
    <mergeCell ref="M1198:O1198"/>
    <mergeCell ref="A1121:A1122"/>
    <mergeCell ref="F370:I370"/>
    <mergeCell ref="N209:N210"/>
    <mergeCell ref="K384:K385"/>
    <mergeCell ref="J710:J711"/>
    <mergeCell ref="D1029:E1029"/>
    <mergeCell ref="A1421:A1422"/>
    <mergeCell ref="R1101:R1102"/>
    <mergeCell ref="K1141:K1142"/>
    <mergeCell ref="R1758:R1759"/>
    <mergeCell ref="K379:K380"/>
    <mergeCell ref="M1625:M1626"/>
    <mergeCell ref="Q693:Q694"/>
    <mergeCell ref="B1596:C1596"/>
    <mergeCell ref="R1753:R1754"/>
    <mergeCell ref="M356:M357"/>
    <mergeCell ref="N563:N564"/>
    <mergeCell ref="Q605:Q606"/>
    <mergeCell ref="A1132:A1133"/>
    <mergeCell ref="R1328:R1329"/>
    <mergeCell ref="A713:A714"/>
    <mergeCell ref="N894:N895"/>
    <mergeCell ref="K526:K527"/>
    <mergeCell ref="P540:P541"/>
    <mergeCell ref="F812:I812"/>
    <mergeCell ref="N775:N776"/>
    <mergeCell ref="B1307:C1307"/>
    <mergeCell ref="J1727:L1727"/>
    <mergeCell ref="M67:M68"/>
    <mergeCell ref="F985:I985"/>
    <mergeCell ref="A860:A861"/>
    <mergeCell ref="J373:J374"/>
    <mergeCell ref="L1461:L1462"/>
    <mergeCell ref="N464:N465"/>
    <mergeCell ref="D1684:E1684"/>
    <mergeCell ref="M367:M368"/>
    <mergeCell ref="M498:M499"/>
    <mergeCell ref="Q1073:Q1074"/>
    <mergeCell ref="N764:N765"/>
    <mergeCell ref="M1606:O1606"/>
    <mergeCell ref="L1614:L1615"/>
    <mergeCell ref="Q1373:Q1374"/>
    <mergeCell ref="N617:N618"/>
    <mergeCell ref="B1402:L1402"/>
    <mergeCell ref="K906:K907"/>
    <mergeCell ref="N917:N918"/>
    <mergeCell ref="M95:M96"/>
    <mergeCell ref="M209:M210"/>
    <mergeCell ref="J715:L715"/>
    <mergeCell ref="L1603:L1604"/>
    <mergeCell ref="H375:I375"/>
    <mergeCell ref="Q1101:Q1102"/>
    <mergeCell ref="B1130:L1130"/>
    <mergeCell ref="J815:J816"/>
    <mergeCell ref="B476:H476"/>
    <mergeCell ref="J53:J54"/>
    <mergeCell ref="N1144:N1145"/>
    <mergeCell ref="P1308:P1309"/>
    <mergeCell ref="F1339:I1339"/>
    <mergeCell ref="B596:C596"/>
    <mergeCell ref="L118:L119"/>
    <mergeCell ref="P693:P694"/>
    <mergeCell ref="B202:C202"/>
    <mergeCell ref="B776:H776"/>
    <mergeCell ref="D1290:E1290"/>
    <mergeCell ref="J112:J113"/>
    <mergeCell ref="B1425:H1425"/>
    <mergeCell ref="J226:J227"/>
    <mergeCell ref="J100:L100"/>
    <mergeCell ref="N1444:N1445"/>
    <mergeCell ref="J94:L94"/>
    <mergeCell ref="P605:P606"/>
    <mergeCell ref="M237:M238"/>
    <mergeCell ref="M894:M895"/>
    <mergeCell ref="J526:J527"/>
    <mergeCell ref="M537:M538"/>
    <mergeCell ref="B349:C349"/>
    <mergeCell ref="D1437:E1437"/>
    <mergeCell ref="J826:J827"/>
    <mergeCell ref="M1325:M1326"/>
    <mergeCell ref="J154:L154"/>
    <mergeCell ref="R665:R666"/>
    <mergeCell ref="B1136:H1136"/>
    <mergeCell ref="N1591:N1592"/>
    <mergeCell ref="H817:I817"/>
    <mergeCell ref="A44:A45"/>
    <mergeCell ref="K1461:K1462"/>
    <mergeCell ref="M464:M465"/>
    <mergeCell ref="J454:L454"/>
    <mergeCell ref="B499:H499"/>
    <mergeCell ref="B1592:H1592"/>
    <mergeCell ref="J1242:L1242"/>
    <mergeCell ref="L498:L499"/>
    <mergeCell ref="N1586:N1587"/>
    <mergeCell ref="M764:M765"/>
    <mergeCell ref="B650:C650"/>
    <mergeCell ref="P747:P748"/>
    <mergeCell ref="B805:H805"/>
    <mergeCell ref="H1290:I1290"/>
    <mergeCell ref="R812:R813"/>
    <mergeCell ref="B1462:H1462"/>
    <mergeCell ref="P1047:P1048"/>
    <mergeCell ref="H1202:I1202"/>
    <mergeCell ref="J1484:J1485"/>
    <mergeCell ref="O988:O989"/>
    <mergeCell ref="B1278:H1278"/>
    <mergeCell ref="L209:L210"/>
    <mergeCell ref="J880:J881"/>
    <mergeCell ref="N274:N275"/>
    <mergeCell ref="K1603:K1604"/>
    <mergeCell ref="J596:L596"/>
    <mergeCell ref="L945:L946"/>
    <mergeCell ref="D426:E426"/>
    <mergeCell ref="F223:I223"/>
    <mergeCell ref="M790:O790"/>
    <mergeCell ref="B314:L314"/>
    <mergeCell ref="B1490:H1490"/>
    <mergeCell ref="A730:A731"/>
    <mergeCell ref="M1064:M1065"/>
    <mergeCell ref="O67:O68"/>
    <mergeCell ref="D307:E307"/>
    <mergeCell ref="A724:A725"/>
    <mergeCell ref="M1580:M1581"/>
    <mergeCell ref="F523:I523"/>
    <mergeCell ref="K118:K119"/>
    <mergeCell ref="F1736:I1736"/>
    <mergeCell ref="D638:E638"/>
    <mergeCell ref="O367:O368"/>
    <mergeCell ref="R710:R711"/>
    <mergeCell ref="H1344:I1344"/>
    <mergeCell ref="R1498:R1499"/>
    <mergeCell ref="L237:L238"/>
    <mergeCell ref="R1492:R1493"/>
    <mergeCell ref="J655:L655"/>
    <mergeCell ref="H1644:I1644"/>
    <mergeCell ref="B25:L25"/>
    <mergeCell ref="F583:I583"/>
    <mergeCell ref="F1731:I1731"/>
    <mergeCell ref="B1332:H1332"/>
    <mergeCell ref="Q39:Q40"/>
    <mergeCell ref="F883:I883"/>
    <mergeCell ref="L1325:L1326"/>
    <mergeCell ref="N328:N329"/>
    <mergeCell ref="P1416:P1417"/>
    <mergeCell ref="M1591:M1592"/>
    <mergeCell ref="B1632:H1632"/>
    <mergeCell ref="A872:A873"/>
    <mergeCell ref="D474:E474"/>
    <mergeCell ref="A866:A867"/>
    <mergeCell ref="M1623:O1623"/>
    <mergeCell ref="N628:N629"/>
    <mergeCell ref="K260:K261"/>
    <mergeCell ref="D780:E780"/>
    <mergeCell ref="J1582:L1582"/>
    <mergeCell ref="N928:N929"/>
    <mergeCell ref="Q812:Q813"/>
    <mergeCell ref="J1549:J1550"/>
    <mergeCell ref="Q1118:Q1119"/>
    <mergeCell ref="D834:E834"/>
    <mergeCell ref="N356:N357"/>
    <mergeCell ref="A1226:A1227"/>
    <mergeCell ref="B1347:C1347"/>
    <mergeCell ref="J1177:L1177"/>
    <mergeCell ref="K645:K646"/>
    <mergeCell ref="B74:H74"/>
    <mergeCell ref="B68:H68"/>
    <mergeCell ref="D1140:E1140"/>
    <mergeCell ref="A1557:A1558"/>
    <mergeCell ref="D1134:E1134"/>
    <mergeCell ref="J1477:L1477"/>
    <mergeCell ref="K945:K946"/>
    <mergeCell ref="B374:H374"/>
    <mergeCell ref="P291:P292"/>
    <mergeCell ref="M1645:M1646"/>
    <mergeCell ref="M1728:M1729"/>
    <mergeCell ref="M248:M249"/>
    <mergeCell ref="F778:I778"/>
    <mergeCell ref="B215:H215"/>
    <mergeCell ref="J124:J125"/>
    <mergeCell ref="P1379:P1380"/>
    <mergeCell ref="J118:J119"/>
    <mergeCell ref="A1285:A1286"/>
    <mergeCell ref="N367:N368"/>
    <mergeCell ref="Q1260:Q1261"/>
    <mergeCell ref="H528:I528"/>
    <mergeCell ref="B1283:L1283"/>
    <mergeCell ref="B1727:C1727"/>
    <mergeCell ref="H828:I828"/>
    <mergeCell ref="Q1166:Q1167"/>
    <mergeCell ref="B361:C361"/>
    <mergeCell ref="P458:P459"/>
    <mergeCell ref="L965:L966"/>
    <mergeCell ref="H256:I256"/>
    <mergeCell ref="R410:R411"/>
    <mergeCell ref="J260:J261"/>
    <mergeCell ref="B113:H113"/>
    <mergeCell ref="P186:P187"/>
    <mergeCell ref="K1314:K1315"/>
    <mergeCell ref="B901:H901"/>
    <mergeCell ref="P818:P819"/>
    <mergeCell ref="F1090:I1090"/>
    <mergeCell ref="P486:P487"/>
    <mergeCell ref="J219:L219"/>
    <mergeCell ref="B1201:H1201"/>
    <mergeCell ref="P1118:P1119"/>
    <mergeCell ref="R121:R122"/>
    <mergeCell ref="D18:E18"/>
    <mergeCell ref="H267:I267"/>
    <mergeCell ref="J519:L519"/>
    <mergeCell ref="M662:M663"/>
    <mergeCell ref="O78:O79"/>
    <mergeCell ref="R421:R422"/>
    <mergeCell ref="J951:J952"/>
    <mergeCell ref="O710:O711"/>
    <mergeCell ref="J945:J946"/>
    <mergeCell ref="B100:C100"/>
    <mergeCell ref="B255:H255"/>
    <mergeCell ref="M246:O246"/>
    <mergeCell ref="B929:H929"/>
    <mergeCell ref="J1251:J1252"/>
    <mergeCell ref="L254:L255"/>
    <mergeCell ref="L248:L249"/>
    <mergeCell ref="B1043:H1043"/>
    <mergeCell ref="K580:K581"/>
    <mergeCell ref="B400:C400"/>
    <mergeCell ref="D77:E77"/>
    <mergeCell ref="A469:A470"/>
    <mergeCell ref="J205:L205"/>
    <mergeCell ref="B1343:H1343"/>
    <mergeCell ref="A583:A584"/>
    <mergeCell ref="P1260:P1261"/>
    <mergeCell ref="B924:H924"/>
    <mergeCell ref="K1668:K1669"/>
    <mergeCell ref="H1083:I1083"/>
    <mergeCell ref="B1643:H1643"/>
    <mergeCell ref="P1560:P1561"/>
    <mergeCell ref="R563:R564"/>
    <mergeCell ref="D72:E72"/>
    <mergeCell ref="R1237:R1238"/>
    <mergeCell ref="H321:I321"/>
    <mergeCell ref="P1472:P1473"/>
    <mergeCell ref="A180:A181"/>
    <mergeCell ref="M1761:M1762"/>
    <mergeCell ref="L396:L397"/>
    <mergeCell ref="M1062:O1062"/>
    <mergeCell ref="B1058:C1058"/>
    <mergeCell ref="Q410:Q411"/>
    <mergeCell ref="D545:E545"/>
    <mergeCell ref="A937:A938"/>
    <mergeCell ref="B1216:C1216"/>
    <mergeCell ref="R948:R949"/>
    <mergeCell ref="B1609:H1609"/>
    <mergeCell ref="B1723:H1723"/>
    <mergeCell ref="M1331:M1332"/>
    <mergeCell ref="J1321:L1321"/>
    <mergeCell ref="J1620:J1621"/>
    <mergeCell ref="M773:O773"/>
    <mergeCell ref="M1631:M1632"/>
    <mergeCell ref="B769:C769"/>
    <mergeCell ref="O634:O635"/>
    <mergeCell ref="J616:L616"/>
    <mergeCell ref="B927:C927"/>
    <mergeCell ref="O792:O793"/>
    <mergeCell ref="B1082:H1082"/>
    <mergeCell ref="A322:A323"/>
    <mergeCell ref="B1598:H1598"/>
    <mergeCell ref="L923:L924"/>
    <mergeCell ref="D573:E573"/>
    <mergeCell ref="L1081:L1082"/>
    <mergeCell ref="N84:N85"/>
    <mergeCell ref="N78:N79"/>
    <mergeCell ref="H1395:I1395"/>
    <mergeCell ref="J916:L916"/>
    <mergeCell ref="D230:E230"/>
    <mergeCell ref="A622:A623"/>
    <mergeCell ref="J1032:L1032"/>
    <mergeCell ref="N384:N385"/>
    <mergeCell ref="B1751:H1751"/>
    <mergeCell ref="A991:A992"/>
    <mergeCell ref="F659:I659"/>
    <mergeCell ref="L1076:L1077"/>
    <mergeCell ref="P30:P31"/>
    <mergeCell ref="B497:C497"/>
    <mergeCell ref="H1752:I1752"/>
    <mergeCell ref="B1738:C1738"/>
    <mergeCell ref="J1648:J1649"/>
    <mergeCell ref="L651:L652"/>
    <mergeCell ref="F475:I475"/>
    <mergeCell ref="O1260:O1261"/>
    <mergeCell ref="R1144:R1145"/>
    <mergeCell ref="O1450:O1451"/>
    <mergeCell ref="N112:N113"/>
    <mergeCell ref="J1668:J1669"/>
    <mergeCell ref="F387:I387"/>
    <mergeCell ref="O1560:O1561"/>
    <mergeCell ref="Q563:Q564"/>
    <mergeCell ref="Q1237:Q1238"/>
    <mergeCell ref="A1438:A1439"/>
    <mergeCell ref="Q894:Q895"/>
    <mergeCell ref="P529:P530"/>
    <mergeCell ref="A1002:A1003"/>
    <mergeCell ref="P197:P198"/>
    <mergeCell ref="B892:L892"/>
    <mergeCell ref="K396:K397"/>
    <mergeCell ref="P829:P830"/>
    <mergeCell ref="O1161:O1162"/>
    <mergeCell ref="K696:K697"/>
    <mergeCell ref="K1212:K1213"/>
    <mergeCell ref="M373:M374"/>
    <mergeCell ref="O1461:O1462"/>
    <mergeCell ref="J662:J663"/>
    <mergeCell ref="L1331:L1332"/>
    <mergeCell ref="F529:I529"/>
    <mergeCell ref="B1477:C1477"/>
    <mergeCell ref="Q1379:Q1380"/>
    <mergeCell ref="D480:E480"/>
    <mergeCell ref="B640:H640"/>
    <mergeCell ref="J962:J963"/>
    <mergeCell ref="L1631:L1632"/>
    <mergeCell ref="F829:I829"/>
    <mergeCell ref="Q617:Q618"/>
    <mergeCell ref="N792:N793"/>
    <mergeCell ref="L1745:L1746"/>
    <mergeCell ref="K923:K924"/>
    <mergeCell ref="J1744:L1744"/>
    <mergeCell ref="M84:M85"/>
    <mergeCell ref="M1470:O1470"/>
    <mergeCell ref="R1671:R1672"/>
    <mergeCell ref="P95:P96"/>
    <mergeCell ref="B1624:C1624"/>
    <mergeCell ref="M384:M385"/>
    <mergeCell ref="J16:J17"/>
    <mergeCell ref="J532:J533"/>
    <mergeCell ref="B326:H326"/>
    <mergeCell ref="H32:I32"/>
    <mergeCell ref="F1056:I1056"/>
    <mergeCell ref="H664:I664"/>
    <mergeCell ref="R186:R187"/>
    <mergeCell ref="M815:M816"/>
    <mergeCell ref="B1619:C1619"/>
    <mergeCell ref="B1419:L1419"/>
    <mergeCell ref="A1688:A1689"/>
    <mergeCell ref="H964:I964"/>
    <mergeCell ref="M112:M113"/>
    <mergeCell ref="D1596:E1596"/>
    <mergeCell ref="B652:H652"/>
    <mergeCell ref="J732:L732"/>
    <mergeCell ref="P563:P564"/>
    <mergeCell ref="B1714:H1714"/>
    <mergeCell ref="H392:I392"/>
    <mergeCell ref="P894:P895"/>
    <mergeCell ref="P869:P870"/>
    <mergeCell ref="R546:R547"/>
    <mergeCell ref="Q1291:Q1292"/>
    <mergeCell ref="J396:J397"/>
    <mergeCell ref="H692:I692"/>
    <mergeCell ref="R214:R215"/>
    <mergeCell ref="L461:L462"/>
    <mergeCell ref="N1161:N1162"/>
    <mergeCell ref="B613:C613"/>
    <mergeCell ref="Q1591:Q1592"/>
    <mergeCell ref="B380:H380"/>
    <mergeCell ref="J696:J697"/>
    <mergeCell ref="M365:O365"/>
    <mergeCell ref="N1461:N1462"/>
    <mergeCell ref="P464:P465"/>
    <mergeCell ref="F1742:I1742"/>
    <mergeCell ref="B519:C519"/>
    <mergeCell ref="K1750:K1751"/>
    <mergeCell ref="K1424:K1425"/>
    <mergeCell ref="P764:P765"/>
    <mergeCell ref="P1685:P1686"/>
    <mergeCell ref="H834:I834"/>
    <mergeCell ref="J597:J598"/>
    <mergeCell ref="A61:A62"/>
    <mergeCell ref="H1491:I1491"/>
    <mergeCell ref="J471:L471"/>
    <mergeCell ref="H1134:I1134"/>
    <mergeCell ref="J897:J898"/>
    <mergeCell ref="F98:I98"/>
    <mergeCell ref="M1396:M1397"/>
    <mergeCell ref="N1603:N1604"/>
    <mergeCell ref="M781:M782"/>
    <mergeCell ref="P1280:P1281"/>
    <mergeCell ref="B661:C661"/>
    <mergeCell ref="A56:A57"/>
    <mergeCell ref="M807:O807"/>
    <mergeCell ref="L815:L816"/>
    <mergeCell ref="Q186:Q187"/>
    <mergeCell ref="P1580:P1581"/>
    <mergeCell ref="B603:L603"/>
    <mergeCell ref="J797:L797"/>
    <mergeCell ref="D596:E596"/>
    <mergeCell ref="N118:N119"/>
    <mergeCell ref="R693:R694"/>
    <mergeCell ref="O999:O1000"/>
    <mergeCell ref="M1107:M1108"/>
    <mergeCell ref="F240:I240"/>
    <mergeCell ref="J1713:J1714"/>
    <mergeCell ref="P1291:P1292"/>
    <mergeCell ref="M923:M924"/>
    <mergeCell ref="B1349:H1349"/>
    <mergeCell ref="B1507:H1507"/>
    <mergeCell ref="A747:A748"/>
    <mergeCell ref="Q214:Q215"/>
    <mergeCell ref="A741:A742"/>
    <mergeCell ref="Q328:Q329"/>
    <mergeCell ref="J667:L667"/>
    <mergeCell ref="B1494:C1494"/>
    <mergeCell ref="K135:K136"/>
    <mergeCell ref="D497:E497"/>
    <mergeCell ref="P1591:P1592"/>
    <mergeCell ref="D655:E655"/>
    <mergeCell ref="A1047:A1048"/>
    <mergeCell ref="K435:K436"/>
    <mergeCell ref="M1135:M1136"/>
    <mergeCell ref="O1200:O1201"/>
    <mergeCell ref="H1661:I1661"/>
    <mergeCell ref="B42:L42"/>
    <mergeCell ref="J1424:J1425"/>
    <mergeCell ref="H1415:I1415"/>
    <mergeCell ref="N231:N232"/>
    <mergeCell ref="L727:L728"/>
    <mergeCell ref="F900:I900"/>
    <mergeCell ref="J1052:L1052"/>
    <mergeCell ref="A889:A890"/>
    <mergeCell ref="Q356:Q357"/>
    <mergeCell ref="M1640:O1640"/>
    <mergeCell ref="F138:I138"/>
    <mergeCell ref="L1484:L1485"/>
    <mergeCell ref="B1729:H1729"/>
    <mergeCell ref="B1636:C1636"/>
    <mergeCell ref="N645:N646"/>
    <mergeCell ref="Q988:Q989"/>
    <mergeCell ref="B249:H249"/>
    <mergeCell ref="J1152:J1153"/>
    <mergeCell ref="O911:O912"/>
    <mergeCell ref="D797:E797"/>
    <mergeCell ref="F920:I920"/>
    <mergeCell ref="P1314:P1315"/>
    <mergeCell ref="F495:I495"/>
    <mergeCell ref="N945:N946"/>
    <mergeCell ref="H103:I103"/>
    <mergeCell ref="P580:P581"/>
    <mergeCell ref="K815:K816"/>
    <mergeCell ref="F795:I795"/>
    <mergeCell ref="O1580:O1581"/>
    <mergeCell ref="L1212:L1213"/>
    <mergeCell ref="Q67:Q68"/>
    <mergeCell ref="Q583:Q584"/>
    <mergeCell ref="H403:I403"/>
    <mergeCell ref="B91:H91"/>
    <mergeCell ref="A1416:A1417"/>
    <mergeCell ref="Q367:Q368"/>
    <mergeCell ref="Q883:Q884"/>
    <mergeCell ref="J1494:L1494"/>
    <mergeCell ref="B391:H391"/>
    <mergeCell ref="P308:P309"/>
    <mergeCell ref="B385:H385"/>
    <mergeCell ref="K716:K717"/>
    <mergeCell ref="H131:I131"/>
    <mergeCell ref="A1569:A1570"/>
    <mergeCell ref="B536:C536"/>
    <mergeCell ref="M265:M266"/>
    <mergeCell ref="P608:P609"/>
    <mergeCell ref="J141:J142"/>
    <mergeCell ref="P1396:P1397"/>
    <mergeCell ref="J135:J136"/>
    <mergeCell ref="M19:M20"/>
    <mergeCell ref="O1722:O1723"/>
    <mergeCell ref="H545:I545"/>
    <mergeCell ref="D1052:E1052"/>
    <mergeCell ref="J435:J436"/>
    <mergeCell ref="J182:L182"/>
    <mergeCell ref="B1744:C1744"/>
    <mergeCell ref="N1200:N1201"/>
    <mergeCell ref="F965:I965"/>
    <mergeCell ref="B264:C264"/>
    <mergeCell ref="N1314:N1315"/>
    <mergeCell ref="B247:C247"/>
    <mergeCell ref="A1464:A1465"/>
    <mergeCell ref="K727:K728"/>
    <mergeCell ref="B771:H771"/>
    <mergeCell ref="J36:J37"/>
    <mergeCell ref="D1347:E1347"/>
    <mergeCell ref="P356:P357"/>
    <mergeCell ref="R1444:R1445"/>
    <mergeCell ref="K1484:K1485"/>
    <mergeCell ref="F560:I560"/>
    <mergeCell ref="A311:A312"/>
    <mergeCell ref="H573:I573"/>
    <mergeCell ref="R1750:R1751"/>
    <mergeCell ref="B130:H130"/>
    <mergeCell ref="M951:M952"/>
    <mergeCell ref="F860:I860"/>
    <mergeCell ref="M945:M946"/>
    <mergeCell ref="L1277:L1278"/>
    <mergeCell ref="Q1716:Q1717"/>
    <mergeCell ref="Q1710:Q1711"/>
    <mergeCell ref="N1342:N1343"/>
    <mergeCell ref="P246:R246"/>
    <mergeCell ref="B406:C406"/>
    <mergeCell ref="F1617:I1617"/>
    <mergeCell ref="M552:O552"/>
    <mergeCell ref="M634:M635"/>
    <mergeCell ref="H1225:I1225"/>
    <mergeCell ref="B1218:H1218"/>
    <mergeCell ref="A458:A459"/>
    <mergeCell ref="P1135:P1136"/>
    <mergeCell ref="R138:R139"/>
    <mergeCell ref="D35:E35"/>
    <mergeCell ref="K869:K870"/>
    <mergeCell ref="H284:I284"/>
    <mergeCell ref="K1543:K1544"/>
    <mergeCell ref="N189:N190"/>
    <mergeCell ref="K1518:K1519"/>
    <mergeCell ref="J536:L536"/>
    <mergeCell ref="P883:P884"/>
    <mergeCell ref="A758:A759"/>
    <mergeCell ref="R438:R439"/>
    <mergeCell ref="B1213:H1213"/>
    <mergeCell ref="B117:C117"/>
    <mergeCell ref="J1110:J1111"/>
    <mergeCell ref="H953:I953"/>
    <mergeCell ref="M263:O263"/>
    <mergeCell ref="J716:J717"/>
    <mergeCell ref="J1268:J1269"/>
    <mergeCell ref="L271:L272"/>
    <mergeCell ref="L265:L266"/>
    <mergeCell ref="J106:L106"/>
    <mergeCell ref="B417:C417"/>
    <mergeCell ref="B933:C933"/>
    <mergeCell ref="P1030:P1031"/>
    <mergeCell ref="J264:L264"/>
    <mergeCell ref="B1233:C1233"/>
    <mergeCell ref="Q699:Q700"/>
    <mergeCell ref="J863:J864"/>
    <mergeCell ref="A481:A482"/>
    <mergeCell ref="Q999:Q1000"/>
    <mergeCell ref="P1331:P1332"/>
    <mergeCell ref="R486:R487"/>
    <mergeCell ref="M1620:M1621"/>
    <mergeCell ref="P773:R773"/>
    <mergeCell ref="F1662:I1662"/>
    <mergeCell ref="B944:C944"/>
    <mergeCell ref="H1270:I1270"/>
    <mergeCell ref="Q427:Q428"/>
    <mergeCell ref="J1158:J1159"/>
    <mergeCell ref="O1081:O1082"/>
    <mergeCell ref="Q84:Q85"/>
    <mergeCell ref="B797:C797"/>
    <mergeCell ref="A192:A193"/>
    <mergeCell ref="D862:E862"/>
    <mergeCell ref="B1626:H1626"/>
    <mergeCell ref="J1211:L1211"/>
    <mergeCell ref="P1716:P1717"/>
    <mergeCell ref="P19:P20"/>
    <mergeCell ref="M1348:M1349"/>
    <mergeCell ref="D1168:E1168"/>
    <mergeCell ref="B1287:C1287"/>
    <mergeCell ref="A1166:A1167"/>
    <mergeCell ref="H865:I865"/>
    <mergeCell ref="N254:N255"/>
    <mergeCell ref="P319:P320"/>
    <mergeCell ref="M1648:M1649"/>
    <mergeCell ref="Q138:Q139"/>
    <mergeCell ref="O651:O652"/>
    <mergeCell ref="H1165:I1165"/>
    <mergeCell ref="L940:L941"/>
    <mergeCell ref="P231:P232"/>
    <mergeCell ref="R1319:R1320"/>
    <mergeCell ref="Q438:Q439"/>
    <mergeCell ref="B667:C667"/>
    <mergeCell ref="J933:L933"/>
    <mergeCell ref="Q112:Q113"/>
    <mergeCell ref="A639:A640"/>
    <mergeCell ref="J152:J153"/>
    <mergeCell ref="J1565:L1565"/>
    <mergeCell ref="O1739:O1740"/>
    <mergeCell ref="N401:N402"/>
    <mergeCell ref="B998:C998"/>
    <mergeCell ref="J1239:L1239"/>
    <mergeCell ref="J1233:L1233"/>
    <mergeCell ref="K271:K272"/>
    <mergeCell ref="O1036:O1037"/>
    <mergeCell ref="A1308:A1309"/>
    <mergeCell ref="K571:K572"/>
    <mergeCell ref="D1058:E1058"/>
    <mergeCell ref="O1336:O1337"/>
    <mergeCell ref="D1216:E1216"/>
    <mergeCell ref="P373:P374"/>
    <mergeCell ref="O1750:O1751"/>
    <mergeCell ref="L988:L989"/>
    <mergeCell ref="O1331:O1332"/>
    <mergeCell ref="L1620:L1621"/>
    <mergeCell ref="D786:E786"/>
    <mergeCell ref="L1288:L1289"/>
    <mergeCell ref="D769:E769"/>
    <mergeCell ref="K472:K473"/>
    <mergeCell ref="Q792:Q793"/>
    <mergeCell ref="A1319:A1320"/>
    <mergeCell ref="R1515:R1516"/>
    <mergeCell ref="N923:N924"/>
    <mergeCell ref="N1081:N1082"/>
    <mergeCell ref="K1229:K1230"/>
    <mergeCell ref="P84:P85"/>
    <mergeCell ref="J222:L222"/>
    <mergeCell ref="R149:R150"/>
    <mergeCell ref="O1478:O1479"/>
    <mergeCell ref="F931:I931"/>
    <mergeCell ref="P384:P385"/>
    <mergeCell ref="M532:M533"/>
    <mergeCell ref="L1348:L1349"/>
    <mergeCell ref="M690:M691"/>
    <mergeCell ref="R30:R31"/>
    <mergeCell ref="L1648:L1649"/>
    <mergeCell ref="N651:N652"/>
    <mergeCell ref="A1220:A1221"/>
    <mergeCell ref="H970:I970"/>
    <mergeCell ref="K940:K941"/>
    <mergeCell ref="B521:H521"/>
    <mergeCell ref="D1585:E1585"/>
    <mergeCell ref="Q1450:Q1451"/>
    <mergeCell ref="P112:P113"/>
    <mergeCell ref="N1739:N1740"/>
    <mergeCell ref="B827:H827"/>
    <mergeCell ref="M401:M402"/>
    <mergeCell ref="K1152:K1153"/>
    <mergeCell ref="F1073:I1073"/>
    <mergeCell ref="R197:R198"/>
    <mergeCell ref="F1373:I1373"/>
    <mergeCell ref="Q1161:Q1162"/>
    <mergeCell ref="K968:K969"/>
    <mergeCell ref="H981:I981"/>
    <mergeCell ref="B236:C236"/>
    <mergeCell ref="N1467:N1468"/>
    <mergeCell ref="D1613:E1613"/>
    <mergeCell ref="O373:O374"/>
    <mergeCell ref="B663:H663"/>
    <mergeCell ref="Q1461:Q1462"/>
    <mergeCell ref="P770:P771"/>
    <mergeCell ref="N1750:N1751"/>
    <mergeCell ref="B969:H969"/>
    <mergeCell ref="M1059:M1060"/>
    <mergeCell ref="P212:R212"/>
    <mergeCell ref="B963:H963"/>
    <mergeCell ref="R557:R558"/>
    <mergeCell ref="P1070:P1071"/>
    <mergeCell ref="K1294:K1295"/>
    <mergeCell ref="J287:L287"/>
    <mergeCell ref="H709:I709"/>
    <mergeCell ref="J472:J473"/>
    <mergeCell ref="O362:O363"/>
    <mergeCell ref="R863:R864"/>
    <mergeCell ref="J903:J904"/>
    <mergeCell ref="Q149:Q150"/>
    <mergeCell ref="N1478:N1479"/>
    <mergeCell ref="B378:C378"/>
    <mergeCell ref="F1753:I1753"/>
    <mergeCell ref="M688:O688"/>
    <mergeCell ref="L532:L533"/>
    <mergeCell ref="L690:L691"/>
    <mergeCell ref="P781:P782"/>
    <mergeCell ref="M651:M652"/>
    <mergeCell ref="O815:O816"/>
    <mergeCell ref="K1322:K1323"/>
    <mergeCell ref="M319:M320"/>
    <mergeCell ref="R699:R700"/>
    <mergeCell ref="J614:J615"/>
    <mergeCell ref="P1450:P1451"/>
    <mergeCell ref="R999:R1000"/>
    <mergeCell ref="B437:C437"/>
    <mergeCell ref="M1739:M1740"/>
    <mergeCell ref="H1667:I1667"/>
    <mergeCell ref="J914:J915"/>
    <mergeCell ref="N1620:N1621"/>
    <mergeCell ref="M824:O824"/>
    <mergeCell ref="J961:L961"/>
    <mergeCell ref="K10:K11"/>
    <mergeCell ref="M1098:M1099"/>
    <mergeCell ref="B1500:C1500"/>
    <mergeCell ref="P1597:P1598"/>
    <mergeCell ref="N135:N136"/>
    <mergeCell ref="A617:A618"/>
    <mergeCell ref="J956:L956"/>
    <mergeCell ref="H1378:I1378"/>
    <mergeCell ref="N435:N436"/>
    <mergeCell ref="A917:A918"/>
    <mergeCell ref="O770:O771"/>
    <mergeCell ref="M1424:M1425"/>
    <mergeCell ref="L1059:L1060"/>
    <mergeCell ref="B1211:C1211"/>
    <mergeCell ref="O1489:O1490"/>
    <mergeCell ref="O1070:O1071"/>
    <mergeCell ref="Q231:Q232"/>
    <mergeCell ref="N362:N363"/>
    <mergeCell ref="R1685:R1686"/>
    <mergeCell ref="B1511:C1511"/>
    <mergeCell ref="P1608:P1609"/>
    <mergeCell ref="A1064:A1065"/>
    <mergeCell ref="P1640:R1640"/>
    <mergeCell ref="O1484:O1485"/>
    <mergeCell ref="M1152:M1153"/>
    <mergeCell ref="R911:R912"/>
    <mergeCell ref="J1441:J1442"/>
    <mergeCell ref="M87:M88"/>
    <mergeCell ref="B669:H669"/>
    <mergeCell ref="K206:K207"/>
    <mergeCell ref="O781:O782"/>
    <mergeCell ref="R1280:R1281"/>
    <mergeCell ref="L1087:L1088"/>
    <mergeCell ref="J1069:L1069"/>
    <mergeCell ref="R1580:R1581"/>
    <mergeCell ref="A1291:A1292"/>
    <mergeCell ref="H35:I35"/>
    <mergeCell ref="B1539:C1539"/>
    <mergeCell ref="L1501:L1502"/>
    <mergeCell ref="F665:I665"/>
    <mergeCell ref="B1746:H1746"/>
    <mergeCell ref="J1369:L1369"/>
    <mergeCell ref="B1653:C1653"/>
    <mergeCell ref="B266:H266"/>
    <mergeCell ref="A1591:A1592"/>
    <mergeCell ref="D1630:E1630"/>
    <mergeCell ref="H89:I89"/>
    <mergeCell ref="L1713:L1714"/>
    <mergeCell ref="B261:H261"/>
    <mergeCell ref="N716:N717"/>
    <mergeCell ref="O923:O924"/>
    <mergeCell ref="A1586:A1587"/>
    <mergeCell ref="R268:R269"/>
    <mergeCell ref="H420:I420"/>
    <mergeCell ref="M135:M136"/>
    <mergeCell ref="R574:R575"/>
    <mergeCell ref="Q906:Q907"/>
    <mergeCell ref="Q900:Q901"/>
    <mergeCell ref="M435:M436"/>
    <mergeCell ref="J1511:L1511"/>
    <mergeCell ref="D1341:E1341"/>
    <mergeCell ref="B408:H408"/>
    <mergeCell ref="Q1200:Q1201"/>
    <mergeCell ref="F982:I982"/>
    <mergeCell ref="N1495:N1496"/>
    <mergeCell ref="N1489:N1490"/>
    <mergeCell ref="K733:K734"/>
    <mergeCell ref="N1070:N1071"/>
    <mergeCell ref="B553:C553"/>
    <mergeCell ref="D1641:E1641"/>
    <mergeCell ref="B708:H708"/>
    <mergeCell ref="A1645:A1646"/>
    <mergeCell ref="A1728:A1729"/>
    <mergeCell ref="K1033:K1034"/>
    <mergeCell ref="J26:L26"/>
    <mergeCell ref="J325:J326"/>
    <mergeCell ref="M668:M669"/>
    <mergeCell ref="B548:C548"/>
    <mergeCell ref="L1152:L1153"/>
    <mergeCell ref="Q911:Q912"/>
    <mergeCell ref="N155:N156"/>
    <mergeCell ref="N1217:N1218"/>
    <mergeCell ref="P220:P221"/>
    <mergeCell ref="J625:J626"/>
    <mergeCell ref="F1498:I1498"/>
    <mergeCell ref="J206:J207"/>
    <mergeCell ref="N455:N456"/>
    <mergeCell ref="F1124:I1124"/>
    <mergeCell ref="B423:C423"/>
    <mergeCell ref="P520:P521"/>
    <mergeCell ref="N1212:N1213"/>
    <mergeCell ref="M809:M810"/>
    <mergeCell ref="B1088:H1088"/>
    <mergeCell ref="A328:A329"/>
    <mergeCell ref="N1518:N1519"/>
    <mergeCell ref="N1543:N1544"/>
    <mergeCell ref="J353:J354"/>
    <mergeCell ref="F877:I877"/>
    <mergeCell ref="A628:A629"/>
    <mergeCell ref="B1388:H1388"/>
    <mergeCell ref="R308:R309"/>
    <mergeCell ref="B134:C134"/>
    <mergeCell ref="P263:R263"/>
    <mergeCell ref="B1756:L1756"/>
    <mergeCell ref="O271:O272"/>
    <mergeCell ref="B1077:H1077"/>
    <mergeCell ref="B1235:H1235"/>
    <mergeCell ref="D1749:E1749"/>
    <mergeCell ref="D52:E52"/>
    <mergeCell ref="J395:L395"/>
    <mergeCell ref="J553:L553"/>
    <mergeCell ref="B803:C803"/>
    <mergeCell ref="A775:A776"/>
    <mergeCell ref="D352:E352"/>
    <mergeCell ref="A356:A357"/>
    <mergeCell ref="A13:A14"/>
    <mergeCell ref="M863:M864"/>
    <mergeCell ref="P1206:P1207"/>
    <mergeCell ref="D106:E106"/>
    <mergeCell ref="P1200:P1201"/>
    <mergeCell ref="R203:R204"/>
    <mergeCell ref="D264:E264"/>
    <mergeCell ref="H355:I355"/>
    <mergeCell ref="M1495:M1496"/>
    <mergeCell ref="M280:O280"/>
    <mergeCell ref="P1620:P1621"/>
    <mergeCell ref="O798:O799"/>
    <mergeCell ref="L430:L431"/>
    <mergeCell ref="J1033:J1034"/>
    <mergeCell ref="L36:L37"/>
    <mergeCell ref="B188:C188"/>
    <mergeCell ref="A67:A68"/>
    <mergeCell ref="N101:N102"/>
    <mergeCell ref="B1250:C1250"/>
    <mergeCell ref="Q716:Q717"/>
    <mergeCell ref="B488:C488"/>
    <mergeCell ref="A367:A368"/>
    <mergeCell ref="P1348:P1349"/>
    <mergeCell ref="P1342:P1343"/>
    <mergeCell ref="M1637:M1638"/>
    <mergeCell ref="A1455:A1456"/>
    <mergeCell ref="P1648:P1649"/>
    <mergeCell ref="J134:L134"/>
    <mergeCell ref="B961:C961"/>
    <mergeCell ref="O940:O941"/>
    <mergeCell ref="J1175:J1176"/>
    <mergeCell ref="L1115:L1116"/>
    <mergeCell ref="M1518:M1519"/>
    <mergeCell ref="M960:O960"/>
    <mergeCell ref="J1475:J1476"/>
    <mergeCell ref="B956:C956"/>
    <mergeCell ref="O821:O822"/>
    <mergeCell ref="J1222:L1222"/>
    <mergeCell ref="B119:H119"/>
    <mergeCell ref="B1630:C1630"/>
    <mergeCell ref="D633:E633"/>
    <mergeCell ref="L1110:L1111"/>
    <mergeCell ref="N271:N272"/>
    <mergeCell ref="N787:N788"/>
    <mergeCell ref="J1109:L1109"/>
    <mergeCell ref="B419:H419"/>
    <mergeCell ref="M1665:M1666"/>
    <mergeCell ref="R1036:R1037"/>
    <mergeCell ref="D933:E933"/>
    <mergeCell ref="N571:N572"/>
    <mergeCell ref="N1087:N1088"/>
    <mergeCell ref="B1103:C1103"/>
    <mergeCell ref="D1233:E1233"/>
    <mergeCell ref="R1336:R1337"/>
    <mergeCell ref="M1685:M1686"/>
    <mergeCell ref="O1625:O1626"/>
    <mergeCell ref="Q1271:Q1272"/>
    <mergeCell ref="K430:K431"/>
    <mergeCell ref="K1104:K1105"/>
    <mergeCell ref="J97:L97"/>
    <mergeCell ref="B11:H11"/>
    <mergeCell ref="D944:E944"/>
    <mergeCell ref="D1075:E1075"/>
    <mergeCell ref="B799:H799"/>
    <mergeCell ref="N1229:N1230"/>
    <mergeCell ref="K1404:K1405"/>
    <mergeCell ref="M407:M408"/>
    <mergeCell ref="A1379:A1380"/>
    <mergeCell ref="Q656:Q657"/>
    <mergeCell ref="B1099:H1099"/>
    <mergeCell ref="F563:I563"/>
    <mergeCell ref="R1716:R1717"/>
    <mergeCell ref="R19:R20"/>
    <mergeCell ref="O1348:O1349"/>
    <mergeCell ref="L1637:L1638"/>
    <mergeCell ref="R319:R320"/>
    <mergeCell ref="O1648:O1649"/>
    <mergeCell ref="K489:K490"/>
    <mergeCell ref="Q651:Q652"/>
    <mergeCell ref="B527:H527"/>
    <mergeCell ref="N957:N958"/>
    <mergeCell ref="F1651:I1651"/>
    <mergeCell ref="N940:N941"/>
    <mergeCell ref="N1614:N1615"/>
    <mergeCell ref="J239:L239"/>
    <mergeCell ref="B153:H153"/>
    <mergeCell ref="D1760:E1760"/>
    <mergeCell ref="L152:L153"/>
    <mergeCell ref="Q1739:Q1740"/>
    <mergeCell ref="F948:I948"/>
    <mergeCell ref="K1546:K1547"/>
    <mergeCell ref="P401:P402"/>
    <mergeCell ref="M549:M550"/>
    <mergeCell ref="Q1124:Q1125"/>
    <mergeCell ref="R47:R48"/>
    <mergeCell ref="K784:K785"/>
    <mergeCell ref="Q1036:Q1037"/>
    <mergeCell ref="N668:N669"/>
    <mergeCell ref="O10:O11"/>
    <mergeCell ref="J719:J720"/>
    <mergeCell ref="Q1336:Q1337"/>
    <mergeCell ref="N968:N969"/>
    <mergeCell ref="Q1467:Q1468"/>
    <mergeCell ref="F1243:I1243"/>
    <mergeCell ref="H1287:I1287"/>
    <mergeCell ref="K1257:K1258"/>
    <mergeCell ref="A84:A85"/>
    <mergeCell ref="B199:C199"/>
    <mergeCell ref="A78:A79"/>
    <mergeCell ref="P1059:P1060"/>
    <mergeCell ref="M1234:M1235"/>
    <mergeCell ref="M472:M473"/>
    <mergeCell ref="J104:J105"/>
    <mergeCell ref="F1390:I1390"/>
    <mergeCell ref="Q1178:Q1179"/>
    <mergeCell ref="M1229:M1230"/>
    <mergeCell ref="P382:R382"/>
    <mergeCell ref="Q1478:Q1479"/>
    <mergeCell ref="P656:P657"/>
    <mergeCell ref="A112:A113"/>
    <mergeCell ref="O532:O533"/>
    <mergeCell ref="N1348:N1349"/>
    <mergeCell ref="B986:H986"/>
    <mergeCell ref="A226:A227"/>
    <mergeCell ref="O690:O691"/>
    <mergeCell ref="B1496:H1496"/>
    <mergeCell ref="P1413:P1414"/>
    <mergeCell ref="M977:O977"/>
    <mergeCell ref="B1502:H1502"/>
    <mergeCell ref="L821:L822"/>
    <mergeCell ref="F1716:I1716"/>
    <mergeCell ref="K1311:K1312"/>
    <mergeCell ref="N1654:N1655"/>
    <mergeCell ref="J820:L820"/>
    <mergeCell ref="J489:J490"/>
    <mergeCell ref="P1719:P1720"/>
    <mergeCell ref="M957:M958"/>
    <mergeCell ref="M940:M941"/>
    <mergeCell ref="K1611:K1612"/>
    <mergeCell ref="J1246:J1247"/>
    <mergeCell ref="M614:M615"/>
    <mergeCell ref="M1676:M1677"/>
    <mergeCell ref="O285:O286"/>
    <mergeCell ref="P1739:P1740"/>
    <mergeCell ref="J1546:J1547"/>
    <mergeCell ref="O401:O402"/>
    <mergeCell ref="L549:L550"/>
    <mergeCell ref="L707:L708"/>
    <mergeCell ref="O591:O592"/>
    <mergeCell ref="B701:C701"/>
    <mergeCell ref="P798:P799"/>
    <mergeCell ref="J531:L531"/>
    <mergeCell ref="B1638:H1638"/>
    <mergeCell ref="N10:N11"/>
    <mergeCell ref="P1098:P1099"/>
    <mergeCell ref="F285:I285"/>
    <mergeCell ref="R775:R776"/>
    <mergeCell ref="J831:L831"/>
    <mergeCell ref="H1253:I1253"/>
    <mergeCell ref="J631:J632"/>
    <mergeCell ref="M968:M969"/>
    <mergeCell ref="B1550:H1550"/>
    <mergeCell ref="P1467:P1468"/>
    <mergeCell ref="A906:A907"/>
    <mergeCell ref="J931:J932"/>
    <mergeCell ref="J259:L259"/>
    <mergeCell ref="R770:R771"/>
    <mergeCell ref="F274:I274"/>
    <mergeCell ref="H916:I916"/>
    <mergeCell ref="O1059:O1060"/>
    <mergeCell ref="J1688:J1689"/>
    <mergeCell ref="N237:N238"/>
    <mergeCell ref="J559:L559"/>
    <mergeCell ref="B1386:C1386"/>
    <mergeCell ref="R1070:R1071"/>
    <mergeCell ref="D389:E389"/>
    <mergeCell ref="A781:A782"/>
    <mergeCell ref="B1541:H1541"/>
    <mergeCell ref="H1548:I1548"/>
    <mergeCell ref="Q362:Q363"/>
    <mergeCell ref="N537:N538"/>
    <mergeCell ref="J859:L859"/>
    <mergeCell ref="B749:C749"/>
    <mergeCell ref="D689:E689"/>
    <mergeCell ref="B1381:C1381"/>
    <mergeCell ref="L903:L904"/>
    <mergeCell ref="P1478:P1479"/>
    <mergeCell ref="J1647:L1647"/>
    <mergeCell ref="O787:O788"/>
    <mergeCell ref="J1458:J1459"/>
    <mergeCell ref="M1441:M1442"/>
    <mergeCell ref="R1455:R1456"/>
    <mergeCell ref="O1087:O1088"/>
    <mergeCell ref="Q90:Q91"/>
    <mergeCell ref="K495:K496"/>
    <mergeCell ref="J1311:J1312"/>
    <mergeCell ref="R1569:R1570"/>
    <mergeCell ref="L1376:L1377"/>
    <mergeCell ref="N379:N380"/>
    <mergeCell ref="D531:E531"/>
    <mergeCell ref="A923:A924"/>
    <mergeCell ref="B1683:H1683"/>
    <mergeCell ref="Q390:Q391"/>
    <mergeCell ref="M1674:O1674"/>
    <mergeCell ref="L614:L615"/>
    <mergeCell ref="L1676:L1677"/>
    <mergeCell ref="D831:E831"/>
    <mergeCell ref="F954:I954"/>
    <mergeCell ref="D437:E437"/>
    <mergeCell ref="A829:A830"/>
    <mergeCell ref="J1658:L1658"/>
    <mergeCell ref="B555:H555"/>
    <mergeCell ref="N591:N592"/>
    <mergeCell ref="K223:K224"/>
    <mergeCell ref="J1758:J1759"/>
    <mergeCell ref="M10:M11"/>
    <mergeCell ref="K523:K524"/>
    <mergeCell ref="O1098:O1099"/>
    <mergeCell ref="D1500:E1500"/>
    <mergeCell ref="R1597:R1598"/>
    <mergeCell ref="H1749:I1749"/>
    <mergeCell ref="L1387:L1388"/>
    <mergeCell ref="F1101:I1101"/>
    <mergeCell ref="J1512:J1513"/>
    <mergeCell ref="Q889:Q890"/>
    <mergeCell ref="B125:H125"/>
    <mergeCell ref="J1386:L1386"/>
    <mergeCell ref="Q770:Q771"/>
    <mergeCell ref="B1576:C1576"/>
    <mergeCell ref="K234:K235"/>
    <mergeCell ref="D1211:E1211"/>
    <mergeCell ref="B278:H278"/>
    <mergeCell ref="Q1489:Q1490"/>
    <mergeCell ref="A1603:A1604"/>
    <mergeCell ref="P362:P363"/>
    <mergeCell ref="D1511:E1511"/>
    <mergeCell ref="B578:H578"/>
    <mergeCell ref="R1608:R1609"/>
    <mergeCell ref="M569:O569"/>
    <mergeCell ref="Q917:Q918"/>
    <mergeCell ref="J957:J958"/>
    <mergeCell ref="Q1217:Q1218"/>
    <mergeCell ref="L1441:L1442"/>
    <mergeCell ref="B412:C412"/>
    <mergeCell ref="N1506:N1507"/>
    <mergeCell ref="M42:O42"/>
    <mergeCell ref="B725:H725"/>
    <mergeCell ref="D1658:E1658"/>
    <mergeCell ref="B484:L484"/>
    <mergeCell ref="R886:R887"/>
    <mergeCell ref="A1745:A1746"/>
    <mergeCell ref="K1050:K1051"/>
    <mergeCell ref="P809:P810"/>
    <mergeCell ref="B473:H473"/>
    <mergeCell ref="P390:P391"/>
    <mergeCell ref="B9:C9"/>
    <mergeCell ref="J642:J643"/>
    <mergeCell ref="M985:M986"/>
    <mergeCell ref="J223:J224"/>
    <mergeCell ref="R481:R482"/>
    <mergeCell ref="J523:J524"/>
    <mergeCell ref="J270:L270"/>
    <mergeCell ref="O903:O904"/>
    <mergeCell ref="H1259:I1259"/>
    <mergeCell ref="B1252:H1252"/>
    <mergeCell ref="M858:O858"/>
    <mergeCell ref="J570:L570"/>
    <mergeCell ref="Q206:Q207"/>
    <mergeCell ref="B1105:H1105"/>
    <mergeCell ref="B1621:H1621"/>
    <mergeCell ref="B1092:C1092"/>
    <mergeCell ref="B1405:H1405"/>
    <mergeCell ref="A645:A646"/>
    <mergeCell ref="H987:I987"/>
    <mergeCell ref="K39:K40"/>
    <mergeCell ref="J234:J235"/>
    <mergeCell ref="M1127:M1128"/>
    <mergeCell ref="D395:E395"/>
    <mergeCell ref="M733:M734"/>
    <mergeCell ref="R492:R493"/>
    <mergeCell ref="P1489:P1490"/>
    <mergeCell ref="B1392:C1392"/>
    <mergeCell ref="P1495:P1496"/>
    <mergeCell ref="D553:E553"/>
    <mergeCell ref="A945:A946"/>
    <mergeCell ref="R1141:R1142"/>
    <mergeCell ref="B1394:H1394"/>
    <mergeCell ref="B820:C820"/>
    <mergeCell ref="H944:I944"/>
    <mergeCell ref="Q101:Q102"/>
    <mergeCell ref="B975:H975"/>
    <mergeCell ref="J1322:J1323"/>
    <mergeCell ref="L325:L326"/>
    <mergeCell ref="L974:L975"/>
    <mergeCell ref="D542:E542"/>
    <mergeCell ref="P1223:P1224"/>
    <mergeCell ref="B1120:C1120"/>
    <mergeCell ref="R226:R227"/>
    <mergeCell ref="D123:E123"/>
    <mergeCell ref="B1306:H1306"/>
    <mergeCell ref="J950:L950"/>
    <mergeCell ref="H372:I372"/>
    <mergeCell ref="M1512:M1513"/>
    <mergeCell ref="B777:C777"/>
    <mergeCell ref="J624:L624"/>
    <mergeCell ref="R526:R527"/>
    <mergeCell ref="D423:E423"/>
    <mergeCell ref="R520:R521"/>
    <mergeCell ref="K566:K567"/>
    <mergeCell ref="J1256:L1256"/>
    <mergeCell ref="J1050:J1051"/>
    <mergeCell ref="O809:O810"/>
    <mergeCell ref="L53:L54"/>
    <mergeCell ref="H1460:I1460"/>
    <mergeCell ref="O1115:O1116"/>
    <mergeCell ref="B831:C831"/>
    <mergeCell ref="L353:L354"/>
    <mergeCell ref="J1097:L1097"/>
    <mergeCell ref="R1614:R1615"/>
    <mergeCell ref="F183:I183"/>
    <mergeCell ref="F699:I699"/>
    <mergeCell ref="M1266:O1266"/>
    <mergeCell ref="D134:E134"/>
    <mergeCell ref="J978:L978"/>
    <mergeCell ref="B1262:C1262"/>
    <mergeCell ref="J1092:L1092"/>
    <mergeCell ref="N288:N289"/>
    <mergeCell ref="Q787:Q788"/>
    <mergeCell ref="A1314:A1315"/>
    <mergeCell ref="K594:K595"/>
    <mergeCell ref="J1398:L1398"/>
    <mergeCell ref="B289:H289"/>
    <mergeCell ref="R906:R907"/>
    <mergeCell ref="Q146:Q147"/>
    <mergeCell ref="R1642:R1643"/>
    <mergeCell ref="R1625:R1626"/>
    <mergeCell ref="O863:O864"/>
    <mergeCell ref="B973:C973"/>
    <mergeCell ref="B1647:C1647"/>
    <mergeCell ref="D650:E650"/>
    <mergeCell ref="Q928:Q929"/>
    <mergeCell ref="F710:I710"/>
    <mergeCell ref="A1042:A1043"/>
    <mergeCell ref="L1127:L1128"/>
    <mergeCell ref="N804:N805"/>
    <mergeCell ref="J1120:L1120"/>
    <mergeCell ref="D950:E950"/>
    <mergeCell ref="A1342:A1343"/>
    <mergeCell ref="B195:L195"/>
    <mergeCell ref="Q798:Q799"/>
    <mergeCell ref="N430:N431"/>
    <mergeCell ref="H1199:I1199"/>
    <mergeCell ref="K761:K762"/>
    <mergeCell ref="N1104:N1105"/>
    <mergeCell ref="P107:P108"/>
    <mergeCell ref="P101:P102"/>
    <mergeCell ref="D1250:E1250"/>
    <mergeCell ref="J1725:J1726"/>
    <mergeCell ref="F438:I438"/>
    <mergeCell ref="O1223:O1224"/>
    <mergeCell ref="Q226:Q227"/>
    <mergeCell ref="K631:K632"/>
    <mergeCell ref="R1348:R1349"/>
    <mergeCell ref="N183:N184"/>
    <mergeCell ref="Q526:Q527"/>
    <mergeCell ref="A1053:A1054"/>
    <mergeCell ref="K447:K448"/>
    <mergeCell ref="B34:H34"/>
    <mergeCell ref="D961:E961"/>
    <mergeCell ref="A965:A966"/>
    <mergeCell ref="B28:H28"/>
    <mergeCell ref="Q826:Q827"/>
    <mergeCell ref="D1092:E1092"/>
    <mergeCell ref="A1484:A1485"/>
    <mergeCell ref="Q940:Q941"/>
    <mergeCell ref="N1115:N1116"/>
    <mergeCell ref="Q1614:Q1615"/>
    <mergeCell ref="N1246:N1247"/>
    <mergeCell ref="D1724:E1724"/>
    <mergeCell ref="D1392:E1392"/>
    <mergeCell ref="A1396:A1397"/>
    <mergeCell ref="K659:K660"/>
    <mergeCell ref="N1546:N1547"/>
    <mergeCell ref="M724:M725"/>
    <mergeCell ref="N543:N544"/>
    <mergeCell ref="H188:I188"/>
    <mergeCell ref="P787:P788"/>
    <mergeCell ref="P1657:R1657"/>
    <mergeCell ref="Q668:Q669"/>
    <mergeCell ref="H488:I488"/>
    <mergeCell ref="H1004:I1004"/>
    <mergeCell ref="J251:J252"/>
    <mergeCell ref="M719:M720"/>
    <mergeCell ref="Q968:Q969"/>
    <mergeCell ref="A1107:A1108"/>
    <mergeCell ref="J1008:J1009"/>
    <mergeCell ref="P146:P147"/>
    <mergeCell ref="Q1642:Q1643"/>
    <mergeCell ref="Q1625:Q1626"/>
    <mergeCell ref="N1257:N1258"/>
    <mergeCell ref="P934:P935"/>
    <mergeCell ref="P1234:P1235"/>
    <mergeCell ref="R237:R238"/>
    <mergeCell ref="M430:M431"/>
    <mergeCell ref="J736:J737"/>
    <mergeCell ref="O107:O108"/>
    <mergeCell ref="M778:M779"/>
    <mergeCell ref="K1758:K1759"/>
    <mergeCell ref="F1260:I1260"/>
    <mergeCell ref="J1067:J1068"/>
    <mergeCell ref="B542:C542"/>
    <mergeCell ref="L64:L65"/>
    <mergeCell ref="B309:H309"/>
    <mergeCell ref="O407:O408"/>
    <mergeCell ref="A95:A96"/>
    <mergeCell ref="F1560:I1560"/>
    <mergeCell ref="J21:L21"/>
    <mergeCell ref="J695:L695"/>
    <mergeCell ref="P1076:P1077"/>
    <mergeCell ref="B1677:H1677"/>
    <mergeCell ref="A401:A402"/>
    <mergeCell ref="R1745:R1746"/>
    <mergeCell ref="K1328:K1329"/>
    <mergeCell ref="J447:J448"/>
    <mergeCell ref="H743:I743"/>
    <mergeCell ref="N1311:N1312"/>
    <mergeCell ref="M489:M490"/>
    <mergeCell ref="J995:L995"/>
    <mergeCell ref="P1376:P1377"/>
    <mergeCell ref="P957:P958"/>
    <mergeCell ref="B1672:H1672"/>
    <mergeCell ref="A396:A397"/>
    <mergeCell ref="M1246:M1247"/>
    <mergeCell ref="Q1495:Q1496"/>
    <mergeCell ref="H763:I763"/>
    <mergeCell ref="B576:C576"/>
    <mergeCell ref="L98:L99"/>
    <mergeCell ref="R260:R261"/>
    <mergeCell ref="B570:C570"/>
    <mergeCell ref="M1546:M1547"/>
    <mergeCell ref="R917:R918"/>
    <mergeCell ref="O549:O550"/>
    <mergeCell ref="H1069:I1069"/>
    <mergeCell ref="A753:A754"/>
    <mergeCell ref="B876:C876"/>
    <mergeCell ref="J706:L706"/>
    <mergeCell ref="J837:L837"/>
    <mergeCell ref="B751:H751"/>
    <mergeCell ref="Q10:Q11"/>
    <mergeCell ref="H910:I910"/>
    <mergeCell ref="J1137:L1137"/>
    <mergeCell ref="R1064:R1065"/>
    <mergeCell ref="P1642:P1643"/>
    <mergeCell ref="M1257:M1258"/>
    <mergeCell ref="H791:I791"/>
    <mergeCell ref="J1563:J1564"/>
    <mergeCell ref="O934:O935"/>
    <mergeCell ref="L566:L567"/>
    <mergeCell ref="M1447:M1448"/>
    <mergeCell ref="B712:C712"/>
    <mergeCell ref="R1059:R1060"/>
    <mergeCell ref="O1234:O1235"/>
    <mergeCell ref="L866:L867"/>
    <mergeCell ref="Q237:Q238"/>
    <mergeCell ref="H1211:I1211"/>
    <mergeCell ref="B624:C624"/>
    <mergeCell ref="D1712:E1712"/>
    <mergeCell ref="F302:I302"/>
    <mergeCell ref="B1675:C1675"/>
    <mergeCell ref="L778:L779"/>
    <mergeCell ref="Q537:Q538"/>
    <mergeCell ref="J1731:J1732"/>
    <mergeCell ref="A319:A320"/>
    <mergeCell ref="J1148:L1148"/>
    <mergeCell ref="R656:R657"/>
    <mergeCell ref="R787:R788"/>
    <mergeCell ref="J1517:L1517"/>
    <mergeCell ref="K370:K371"/>
    <mergeCell ref="M1458:M1459"/>
    <mergeCell ref="A1739:A1740"/>
    <mergeCell ref="O1076:O1077"/>
    <mergeCell ref="H1565:I1565"/>
    <mergeCell ref="R1087:R1088"/>
    <mergeCell ref="J1328:J1329"/>
    <mergeCell ref="P1368:R1368"/>
    <mergeCell ref="L489:L490"/>
    <mergeCell ref="O1376:O1377"/>
    <mergeCell ref="Q379:Q380"/>
    <mergeCell ref="N554:N555"/>
    <mergeCell ref="D706:E706"/>
    <mergeCell ref="A1098:A1099"/>
    <mergeCell ref="P1674:R1674"/>
    <mergeCell ref="B1398:C1398"/>
    <mergeCell ref="L920:L921"/>
    <mergeCell ref="A818:A819"/>
    <mergeCell ref="O1676:O1677"/>
    <mergeCell ref="A1467:A1468"/>
    <mergeCell ref="H80:I80"/>
    <mergeCell ref="N549:N550"/>
    <mergeCell ref="D726:E726"/>
    <mergeCell ref="D701:E701"/>
    <mergeCell ref="A1118:A1119"/>
    <mergeCell ref="R798:R799"/>
    <mergeCell ref="D1375:E1375"/>
    <mergeCell ref="R1472:R1473"/>
    <mergeCell ref="Q107:Q108"/>
    <mergeCell ref="D1001:E1001"/>
    <mergeCell ref="P10:P11"/>
    <mergeCell ref="R1098:R1099"/>
    <mergeCell ref="K812:K813"/>
    <mergeCell ref="L631:L632"/>
    <mergeCell ref="Q1064:Q1065"/>
    <mergeCell ref="N696:N697"/>
    <mergeCell ref="Q1039:Q1040"/>
    <mergeCell ref="B1293:C1293"/>
    <mergeCell ref="F971:I971"/>
    <mergeCell ref="L931:L932"/>
    <mergeCell ref="L1447:L1448"/>
    <mergeCell ref="B1593:C1593"/>
    <mergeCell ref="B60:C60"/>
    <mergeCell ref="D1148:E1148"/>
    <mergeCell ref="A1152:A1153"/>
    <mergeCell ref="F1271:I1271"/>
    <mergeCell ref="K872:K873"/>
    <mergeCell ref="K866:K867"/>
    <mergeCell ref="B295:H295"/>
    <mergeCell ref="D1517:E1517"/>
    <mergeCell ref="M200:M201"/>
    <mergeCell ref="P543:P544"/>
    <mergeCell ref="J1245:L1245"/>
    <mergeCell ref="J464:J465"/>
    <mergeCell ref="F999:I999"/>
    <mergeCell ref="H607:I607"/>
    <mergeCell ref="L1458:L1459"/>
    <mergeCell ref="O260:O261"/>
    <mergeCell ref="D1228:E1228"/>
    <mergeCell ref="Q1093:Q1094"/>
    <mergeCell ref="A1620:A1621"/>
    <mergeCell ref="B587:C587"/>
    <mergeCell ref="Q1087:Q1088"/>
    <mergeCell ref="N1382:N1383"/>
    <mergeCell ref="N1376:N1377"/>
    <mergeCell ref="P379:P380"/>
    <mergeCell ref="M586:O586"/>
    <mergeCell ref="N1682:N1683"/>
    <mergeCell ref="B582:C582"/>
    <mergeCell ref="K920:K921"/>
    <mergeCell ref="N1676:N1677"/>
    <mergeCell ref="B740:C740"/>
    <mergeCell ref="A135:A136"/>
    <mergeCell ref="Q1234:Q1235"/>
    <mergeCell ref="M223:M224"/>
    <mergeCell ref="J145:L145"/>
    <mergeCell ref="D43:E43"/>
    <mergeCell ref="H808:I808"/>
    <mergeCell ref="L1758:L1759"/>
    <mergeCell ref="L577:L578"/>
    <mergeCell ref="B822:H822"/>
    <mergeCell ref="B310:C310"/>
    <mergeCell ref="D1423:E1423"/>
    <mergeCell ref="P407:P408"/>
    <mergeCell ref="J812:J813"/>
    <mergeCell ref="J140:L140"/>
    <mergeCell ref="B1122:H1122"/>
    <mergeCell ref="A362:A363"/>
    <mergeCell ref="A30:A31"/>
    <mergeCell ref="K1447:K1448"/>
    <mergeCell ref="J440:L440"/>
    <mergeCell ref="M1002:M1003"/>
    <mergeCell ref="F911:I911"/>
    <mergeCell ref="L1328:L1329"/>
    <mergeCell ref="R498:R499"/>
    <mergeCell ref="M1028:O1028"/>
    <mergeCell ref="B21:C21"/>
    <mergeCell ref="H1276:I1276"/>
    <mergeCell ref="L200:L201"/>
    <mergeCell ref="K1594:K1595"/>
    <mergeCell ref="M597:M598"/>
    <mergeCell ref="J587:L587"/>
    <mergeCell ref="B1109:C1109"/>
    <mergeCell ref="O974:O975"/>
    <mergeCell ref="B1264:H1264"/>
    <mergeCell ref="M897:M898"/>
    <mergeCell ref="N260:N261"/>
    <mergeCell ref="J582:L582"/>
    <mergeCell ref="P1512:P1513"/>
    <mergeCell ref="B1409:C1409"/>
    <mergeCell ref="B1595:H1595"/>
    <mergeCell ref="D412:E412"/>
    <mergeCell ref="P1093:P1094"/>
    <mergeCell ref="B1176:H1176"/>
    <mergeCell ref="R1158:R1159"/>
    <mergeCell ref="J913:L913"/>
    <mergeCell ref="H1304:I1304"/>
    <mergeCell ref="B1709:C1709"/>
    <mergeCell ref="D712:E712"/>
    <mergeCell ref="M1050:M1051"/>
    <mergeCell ref="R809:R810"/>
    <mergeCell ref="O53:O54"/>
    <mergeCell ref="B837:C837"/>
    <mergeCell ref="H961:I961"/>
    <mergeCell ref="L991:L992"/>
    <mergeCell ref="Q750:Q751"/>
    <mergeCell ref="O353:O354"/>
    <mergeCell ref="H1330:I1330"/>
    <mergeCell ref="B1137:C1137"/>
    <mergeCell ref="D140:E140"/>
    <mergeCell ref="A532:A533"/>
    <mergeCell ref="O985:O986"/>
    <mergeCell ref="M1283:O1283"/>
    <mergeCell ref="B794:C794"/>
    <mergeCell ref="Q662:Q663"/>
    <mergeCell ref="N294:N295"/>
    <mergeCell ref="A863:A864"/>
    <mergeCell ref="R543:R544"/>
    <mergeCell ref="D440:E440"/>
    <mergeCell ref="R537:R538"/>
    <mergeCell ref="J1273:L1273"/>
    <mergeCell ref="K577:K578"/>
    <mergeCell ref="J1267:L1267"/>
    <mergeCell ref="Q962:Q963"/>
    <mergeCell ref="K883:K884"/>
    <mergeCell ref="M1583:M1584"/>
    <mergeCell ref="O1132:O1133"/>
    <mergeCell ref="L370:L371"/>
    <mergeCell ref="M994:O994"/>
    <mergeCell ref="B1148:C1148"/>
    <mergeCell ref="B1664:C1664"/>
    <mergeCell ref="D825:E825"/>
    <mergeCell ref="A1217:A1218"/>
    <mergeCell ref="O1127:O1128"/>
    <mergeCell ref="N305:N306"/>
    <mergeCell ref="Q804:Q805"/>
    <mergeCell ref="N1093:N1094"/>
    <mergeCell ref="J1415:L1415"/>
    <mergeCell ref="Q1104:Q1105"/>
    <mergeCell ref="D820:E820"/>
    <mergeCell ref="A1212:A1213"/>
    <mergeCell ref="P282:P283"/>
    <mergeCell ref="N1393:N1394"/>
    <mergeCell ref="M1725:M1726"/>
    <mergeCell ref="M1719:M1720"/>
    <mergeCell ref="L897:L898"/>
    <mergeCell ref="A1543:A1544"/>
    <mergeCell ref="R1223:R1224"/>
    <mergeCell ref="P1504:R1504"/>
    <mergeCell ref="F727:I727"/>
    <mergeCell ref="O1512:O1513"/>
    <mergeCell ref="P277:P278"/>
    <mergeCell ref="D967:E967"/>
    <mergeCell ref="K622:K623"/>
    <mergeCell ref="N1121:N1122"/>
    <mergeCell ref="F1396:I1396"/>
    <mergeCell ref="D1267:E1267"/>
    <mergeCell ref="Q1115:Q1116"/>
    <mergeCell ref="N1421:N1422"/>
    <mergeCell ref="P424:P425"/>
    <mergeCell ref="J157:L157"/>
    <mergeCell ref="M294:M295"/>
    <mergeCell ref="L1039:L1040"/>
    <mergeCell ref="A1685:A1686"/>
    <mergeCell ref="H205:I205"/>
    <mergeCell ref="Q543:Q544"/>
    <mergeCell ref="K948:K949"/>
    <mergeCell ref="J257:J258"/>
    <mergeCell ref="O16:O17"/>
    <mergeCell ref="M594:M595"/>
    <mergeCell ref="B561:H561"/>
    <mergeCell ref="N1132:N1133"/>
    <mergeCell ref="A101:A102"/>
    <mergeCell ref="F1081:I1081"/>
    <mergeCell ref="J185:L185"/>
    <mergeCell ref="N1563:N1564"/>
    <mergeCell ref="R112:R113"/>
    <mergeCell ref="A1713:A1714"/>
    <mergeCell ref="P804:P805"/>
    <mergeCell ref="M761:M762"/>
    <mergeCell ref="P1104:P1105"/>
    <mergeCell ref="R107:R108"/>
    <mergeCell ref="B703:H703"/>
    <mergeCell ref="O396:O397"/>
    <mergeCell ref="M178:O178"/>
    <mergeCell ref="Q1659:Q1660"/>
    <mergeCell ref="L1725:L1726"/>
    <mergeCell ref="P1404:P1405"/>
    <mergeCell ref="R407:R408"/>
    <mergeCell ref="A243:A244"/>
    <mergeCell ref="O696:O697"/>
    <mergeCell ref="J196:L196"/>
    <mergeCell ref="B86:C86"/>
    <mergeCell ref="J327:L327"/>
    <mergeCell ref="P1251:P1252"/>
    <mergeCell ref="D151:E151"/>
    <mergeCell ref="J1237:J1238"/>
    <mergeCell ref="L240:L241"/>
    <mergeCell ref="B873:H873"/>
    <mergeCell ref="N1328:N1329"/>
    <mergeCell ref="K1634:K1635"/>
    <mergeCell ref="P489:P490"/>
    <mergeCell ref="O124:O125"/>
    <mergeCell ref="H1032:I1032"/>
    <mergeCell ref="R554:R555"/>
    <mergeCell ref="Q1370:Q1371"/>
    <mergeCell ref="P416:R416"/>
    <mergeCell ref="P1246:P1247"/>
    <mergeCell ref="L81:L82"/>
    <mergeCell ref="O424:O425"/>
    <mergeCell ref="J38:L38"/>
    <mergeCell ref="P1546:P1547"/>
    <mergeCell ref="B865:C865"/>
    <mergeCell ref="L387:L388"/>
    <mergeCell ref="R549:R550"/>
    <mergeCell ref="O724:O725"/>
    <mergeCell ref="B626:H626"/>
    <mergeCell ref="F1750:I1750"/>
    <mergeCell ref="N16:N17"/>
    <mergeCell ref="K1345:K1346"/>
    <mergeCell ref="J1379:J1380"/>
    <mergeCell ref="B1689:H1689"/>
    <mergeCell ref="M1263:M1264"/>
    <mergeCell ref="M1164:O1164"/>
    <mergeCell ref="R146:R147"/>
    <mergeCell ref="D837:E837"/>
    <mergeCell ref="R934:R935"/>
    <mergeCell ref="O566:O567"/>
    <mergeCell ref="L741:L742"/>
    <mergeCell ref="H1086:I1086"/>
    <mergeCell ref="H1080:I1080"/>
    <mergeCell ref="F19:I19"/>
    <mergeCell ref="J723:L723"/>
    <mergeCell ref="R1234:R1235"/>
    <mergeCell ref="O866:O867"/>
    <mergeCell ref="B768:H768"/>
    <mergeCell ref="N44:N45"/>
    <mergeCell ref="F319:I319"/>
    <mergeCell ref="B1589:L1589"/>
    <mergeCell ref="B913:C913"/>
    <mergeCell ref="O778:O779"/>
    <mergeCell ref="B1068:H1068"/>
    <mergeCell ref="A308:A309"/>
    <mergeCell ref="J1154:L1154"/>
    <mergeCell ref="K1725:K1726"/>
    <mergeCell ref="D978:E978"/>
    <mergeCell ref="P1659:P1660"/>
    <mergeCell ref="J718:L718"/>
    <mergeCell ref="R662:R663"/>
    <mergeCell ref="L1067:L1068"/>
    <mergeCell ref="J1454:L1454"/>
    <mergeCell ref="D216:E216"/>
    <mergeCell ref="A608:A609"/>
    <mergeCell ref="R962:R963"/>
    <mergeCell ref="P1249:R1249"/>
    <mergeCell ref="N370:N371"/>
    <mergeCell ref="R1076:R1077"/>
    <mergeCell ref="O1251:O1252"/>
    <mergeCell ref="Q254:Q255"/>
    <mergeCell ref="N1583:N1584"/>
    <mergeCell ref="A36:A37"/>
    <mergeCell ref="J1634:J1635"/>
    <mergeCell ref="J865:L865"/>
    <mergeCell ref="D276:E276"/>
    <mergeCell ref="Q554:Q555"/>
    <mergeCell ref="A668:A669"/>
    <mergeCell ref="B783:C783"/>
    <mergeCell ref="F461:I461"/>
    <mergeCell ref="O1246:O1247"/>
    <mergeCell ref="J1165:L1165"/>
    <mergeCell ref="B62:H62"/>
    <mergeCell ref="A1387:A1388"/>
    <mergeCell ref="D576:E576"/>
    <mergeCell ref="N98:N99"/>
    <mergeCell ref="A968:A969"/>
    <mergeCell ref="F792:I792"/>
    <mergeCell ref="J919:L919"/>
    <mergeCell ref="K387:K388"/>
    <mergeCell ref="D876:E876"/>
    <mergeCell ref="J1345:J1346"/>
    <mergeCell ref="Q282:Q283"/>
    <mergeCell ref="R1761:R1762"/>
    <mergeCell ref="Q396:Q397"/>
    <mergeCell ref="Q696:Q697"/>
    <mergeCell ref="M1203:M1204"/>
    <mergeCell ref="A1:D2"/>
    <mergeCell ref="Q1328:Q1329"/>
    <mergeCell ref="B1582:C1582"/>
    <mergeCell ref="O1447:O1448"/>
    <mergeCell ref="N566:N567"/>
    <mergeCell ref="A1135:A1136"/>
    <mergeCell ref="J1545:L1545"/>
    <mergeCell ref="H1483:I1483"/>
    <mergeCell ref="N872:N873"/>
    <mergeCell ref="J1735:L1735"/>
    <mergeCell ref="N866:N867"/>
    <mergeCell ref="R1631:R1632"/>
    <mergeCell ref="B584:H584"/>
    <mergeCell ref="P200:P201"/>
    <mergeCell ref="L1464:L1465"/>
    <mergeCell ref="B1616:C1616"/>
    <mergeCell ref="A1495:A1496"/>
    <mergeCell ref="B1610:C1610"/>
    <mergeCell ref="F1294:I1294"/>
    <mergeCell ref="B731:H731"/>
    <mergeCell ref="O435:O436"/>
    <mergeCell ref="D1245:E1245"/>
    <mergeCell ref="B312:H312"/>
    <mergeCell ref="N767:N768"/>
    <mergeCell ref="D1403:E1403"/>
    <mergeCell ref="N1399:N1400"/>
    <mergeCell ref="Q1382:Q1383"/>
    <mergeCell ref="Q1376:Q1377"/>
    <mergeCell ref="P560:P561"/>
    <mergeCell ref="P554:P555"/>
    <mergeCell ref="P586:R586"/>
    <mergeCell ref="B1400:H1400"/>
    <mergeCell ref="M98:M99"/>
    <mergeCell ref="H9:I9"/>
    <mergeCell ref="J387:J388"/>
    <mergeCell ref="O146:O147"/>
    <mergeCell ref="K1084:K1085"/>
    <mergeCell ref="B1111:H1111"/>
    <mergeCell ref="P702:P703"/>
    <mergeCell ref="B599:C599"/>
    <mergeCell ref="B779:H779"/>
    <mergeCell ref="P696:P697"/>
    <mergeCell ref="R373:R374"/>
    <mergeCell ref="B1411:H1411"/>
    <mergeCell ref="F1642:I1642"/>
    <mergeCell ref="P1002:P1003"/>
    <mergeCell ref="B899:C899"/>
    <mergeCell ref="O180:O181"/>
    <mergeCell ref="H825:I825"/>
    <mergeCell ref="B839:H839"/>
    <mergeCell ref="N1294:N1295"/>
    <mergeCell ref="O200:O201"/>
    <mergeCell ref="B1139:H1139"/>
    <mergeCell ref="A379:A380"/>
    <mergeCell ref="N1594:N1595"/>
    <mergeCell ref="B494:C494"/>
    <mergeCell ref="H820:I820"/>
    <mergeCell ref="L132:L133"/>
    <mergeCell ref="J463:L463"/>
    <mergeCell ref="J457:L457"/>
    <mergeCell ref="D287:E287"/>
    <mergeCell ref="B1439:H1439"/>
    <mergeCell ref="M767:M768"/>
    <mergeCell ref="J757:L757"/>
    <mergeCell ref="D587:E587"/>
    <mergeCell ref="H1293:I1293"/>
    <mergeCell ref="R815:R816"/>
    <mergeCell ref="P1382:P1383"/>
    <mergeCell ref="F923:I923"/>
    <mergeCell ref="R1447:R1448"/>
    <mergeCell ref="O70:O71"/>
    <mergeCell ref="H1599:I1599"/>
    <mergeCell ref="H1593:I1593"/>
    <mergeCell ref="D15:E15"/>
    <mergeCell ref="A407:A408"/>
    <mergeCell ref="O991:O992"/>
    <mergeCell ref="B1281:H1281"/>
    <mergeCell ref="H1505:I1505"/>
    <mergeCell ref="L1280:L1281"/>
    <mergeCell ref="D315:E315"/>
    <mergeCell ref="P1283:R1283"/>
    <mergeCell ref="K1149:K1150"/>
    <mergeCell ref="R1659:R1660"/>
    <mergeCell ref="D429:E429"/>
    <mergeCell ref="A821:A822"/>
    <mergeCell ref="M1572:O1572"/>
    <mergeCell ref="L1580:L1581"/>
    <mergeCell ref="N583:N584"/>
    <mergeCell ref="P1277:P1278"/>
    <mergeCell ref="J1084:J1085"/>
    <mergeCell ref="L87:L88"/>
    <mergeCell ref="A733:A734"/>
    <mergeCell ref="B1493:H1493"/>
    <mergeCell ref="O702:O703"/>
    <mergeCell ref="A1033:A1034"/>
    <mergeCell ref="O886:O887"/>
    <mergeCell ref="P994:R994"/>
    <mergeCell ref="F217:I217"/>
    <mergeCell ref="O1002:O1003"/>
    <mergeCell ref="M1300:O1300"/>
    <mergeCell ref="O1518:O1519"/>
    <mergeCell ref="B1327:C1327"/>
    <mergeCell ref="A1206:A1207"/>
    <mergeCell ref="H1647:I1647"/>
    <mergeCell ref="O1302:O1303"/>
    <mergeCell ref="B23:H23"/>
    <mergeCell ref="Q305:Q306"/>
    <mergeCell ref="B1627:C1627"/>
    <mergeCell ref="A1506:A1507"/>
    <mergeCell ref="D1114:E1114"/>
    <mergeCell ref="B181:H181"/>
    <mergeCell ref="N611:N612"/>
    <mergeCell ref="Q979:Q980"/>
    <mergeCell ref="F886:I886"/>
    <mergeCell ref="M1600:M1601"/>
    <mergeCell ref="J1590:L1590"/>
    <mergeCell ref="J1226:J1227"/>
    <mergeCell ref="A1501:A1502"/>
    <mergeCell ref="O897:O898"/>
    <mergeCell ref="B1681:C1681"/>
    <mergeCell ref="R1512:R1513"/>
    <mergeCell ref="N322:N323"/>
    <mergeCell ref="A472:A473"/>
    <mergeCell ref="F271:I271"/>
    <mergeCell ref="F265:I265"/>
    <mergeCell ref="N622:N623"/>
    <mergeCell ref="Q1121:Q1122"/>
    <mergeCell ref="R1387:R1388"/>
    <mergeCell ref="M1742:M1743"/>
    <mergeCell ref="B377:H377"/>
    <mergeCell ref="P294:P295"/>
    <mergeCell ref="N217:N218"/>
    <mergeCell ref="O1713:O1714"/>
    <mergeCell ref="P594:P595"/>
    <mergeCell ref="B1735:C1735"/>
    <mergeCell ref="F798:I798"/>
    <mergeCell ref="Q1132:Q1133"/>
    <mergeCell ref="P435:P436"/>
    <mergeCell ref="F1713:I1713"/>
    <mergeCell ref="M311:M312"/>
    <mergeCell ref="R70:R71"/>
    <mergeCell ref="O1399:O1400"/>
    <mergeCell ref="P741:P742"/>
    <mergeCell ref="K965:K966"/>
    <mergeCell ref="J268:J269"/>
    <mergeCell ref="M611:M612"/>
    <mergeCell ref="H128:I128"/>
    <mergeCell ref="L1600:L1601"/>
    <mergeCell ref="J22:J23"/>
    <mergeCell ref="N1149:N1150"/>
    <mergeCell ref="B49:C49"/>
    <mergeCell ref="R282:R283"/>
    <mergeCell ref="L1268:L1269"/>
    <mergeCell ref="J138:J139"/>
    <mergeCell ref="B878:H878"/>
    <mergeCell ref="R396:R397"/>
    <mergeCell ref="O1725:O1726"/>
    <mergeCell ref="L203:L204"/>
    <mergeCell ref="K560:K561"/>
    <mergeCell ref="J202:L202"/>
    <mergeCell ref="B116:H116"/>
    <mergeCell ref="D26:E26"/>
    <mergeCell ref="K860:K861"/>
    <mergeCell ref="N1203:N1204"/>
    <mergeCell ref="J485:L485"/>
    <mergeCell ref="K1617:K1618"/>
    <mergeCell ref="B1204:H1204"/>
    <mergeCell ref="P1121:P1122"/>
    <mergeCell ref="R124:R125"/>
    <mergeCell ref="H276:I276"/>
    <mergeCell ref="H270:I270"/>
    <mergeCell ref="L1742:L1743"/>
    <mergeCell ref="J1101:J1102"/>
    <mergeCell ref="P1421:P1422"/>
    <mergeCell ref="R424:R425"/>
    <mergeCell ref="O1753:O1754"/>
    <mergeCell ref="B250:C250"/>
    <mergeCell ref="H570:I570"/>
    <mergeCell ref="K1220:K1221"/>
    <mergeCell ref="J213:L213"/>
    <mergeCell ref="B103:C103"/>
    <mergeCell ref="R724:R725"/>
    <mergeCell ref="B932:H932"/>
    <mergeCell ref="J1254:J1255"/>
    <mergeCell ref="L257:L258"/>
    <mergeCell ref="Q16:Q17"/>
    <mergeCell ref="B915:H915"/>
    <mergeCell ref="N1345:N1346"/>
    <mergeCell ref="R897:R898"/>
    <mergeCell ref="B403:C403"/>
    <mergeCell ref="J1301:L1301"/>
    <mergeCell ref="D38:E38"/>
    <mergeCell ref="J937:J938"/>
    <mergeCell ref="P433:R433"/>
    <mergeCell ref="M1438:M1439"/>
    <mergeCell ref="P1322:P1323"/>
    <mergeCell ref="O441:O442"/>
    <mergeCell ref="P739:R739"/>
    <mergeCell ref="R566:R567"/>
    <mergeCell ref="O741:O742"/>
    <mergeCell ref="N33:N34"/>
    <mergeCell ref="Q44:Q45"/>
    <mergeCell ref="A183:A184"/>
    <mergeCell ref="F1648:I1648"/>
    <mergeCell ref="K1662:K1663"/>
    <mergeCell ref="B930:C930"/>
    <mergeCell ref="Q832:Q833"/>
    <mergeCell ref="A1246:A1247"/>
    <mergeCell ref="R951:R952"/>
    <mergeCell ref="Q129:Q130"/>
    <mergeCell ref="J860:J861"/>
    <mergeCell ref="F36:I36"/>
    <mergeCell ref="R1251:R1252"/>
    <mergeCell ref="H1245:I1245"/>
    <mergeCell ref="H1403:I1403"/>
    <mergeCell ref="M1634:M1635"/>
    <mergeCell ref="Q124:Q125"/>
    <mergeCell ref="B1601:H1601"/>
    <mergeCell ref="A325:A326"/>
    <mergeCell ref="P1518:P1519"/>
    <mergeCell ref="P1419:R1419"/>
    <mergeCell ref="B1717:H1717"/>
    <mergeCell ref="B1072:C1072"/>
    <mergeCell ref="Q424:Q425"/>
    <mergeCell ref="D233:E233"/>
    <mergeCell ref="A625:A626"/>
    <mergeCell ref="R821:R822"/>
    <mergeCell ref="L1226:L1227"/>
    <mergeCell ref="J1551:L1551"/>
    <mergeCell ref="D865:E865"/>
    <mergeCell ref="N387:N388"/>
    <mergeCell ref="M22:M23"/>
    <mergeCell ref="O1110:O1111"/>
    <mergeCell ref="A1257:A1258"/>
    <mergeCell ref="K257:K258"/>
    <mergeCell ref="P16:P17"/>
    <mergeCell ref="M1345:M1346"/>
    <mergeCell ref="D1165:E1165"/>
    <mergeCell ref="B232:H232"/>
    <mergeCell ref="J1651:J1652"/>
    <mergeCell ref="Q571:Q572"/>
    <mergeCell ref="F478:I478"/>
    <mergeCell ref="B1432:C1432"/>
    <mergeCell ref="L954:L955"/>
    <mergeCell ref="B1612:H1612"/>
    <mergeCell ref="J936:L936"/>
    <mergeCell ref="Q566:Q567"/>
    <mergeCell ref="F690:I690"/>
    <mergeCell ref="J1236:L1236"/>
    <mergeCell ref="R1620:R1621"/>
    <mergeCell ref="P44:P45"/>
    <mergeCell ref="J1662:J1663"/>
    <mergeCell ref="P832:P833"/>
    <mergeCell ref="A1311:A1312"/>
    <mergeCell ref="R1501:R1502"/>
    <mergeCell ref="R135:R136"/>
    <mergeCell ref="O1464:O1465"/>
    <mergeCell ref="H281:I281"/>
    <mergeCell ref="L1753:L1754"/>
    <mergeCell ref="L1728:L1729"/>
    <mergeCell ref="R435:R436"/>
    <mergeCell ref="Q1251:Q1252"/>
    <mergeCell ref="P1583:P1584"/>
    <mergeCell ref="M61:M62"/>
    <mergeCell ref="D1551:E1551"/>
    <mergeCell ref="F1158:I1158"/>
    <mergeCell ref="R1648:R1649"/>
    <mergeCell ref="B601:H601"/>
    <mergeCell ref="N1056:N1057"/>
    <mergeCell ref="Q1557:Q1558"/>
    <mergeCell ref="L268:L269"/>
    <mergeCell ref="H15:I15"/>
    <mergeCell ref="O152:O153"/>
    <mergeCell ref="L1481:L1482"/>
    <mergeCell ref="P450:R450"/>
    <mergeCell ref="M387:M388"/>
    <mergeCell ref="J1716:J1717"/>
    <mergeCell ref="O452:O453"/>
    <mergeCell ref="B329:H329"/>
    <mergeCell ref="F1059:I1059"/>
    <mergeCell ref="K1073:K1074"/>
    <mergeCell ref="N1416:N1417"/>
    <mergeCell ref="B629:H629"/>
    <mergeCell ref="M620:O620"/>
    <mergeCell ref="K1373:K1374"/>
    <mergeCell ref="B1417:H1417"/>
    <mergeCell ref="K954:K955"/>
    <mergeCell ref="P877:P878"/>
    <mergeCell ref="O1203:O1204"/>
    <mergeCell ref="K1285:K1286"/>
    <mergeCell ref="A957:A958"/>
    <mergeCell ref="J1491:L1491"/>
    <mergeCell ref="H783:I783"/>
    <mergeCell ref="R937:R938"/>
    <mergeCell ref="P472:P473"/>
    <mergeCell ref="H695:I695"/>
    <mergeCell ref="F47:I47"/>
    <mergeCell ref="H995:I995"/>
    <mergeCell ref="B1623:L1623"/>
    <mergeCell ref="L770:L771"/>
    <mergeCell ref="Q141:Q142"/>
    <mergeCell ref="Q135:Q136"/>
    <mergeCell ref="N1464:N1465"/>
    <mergeCell ref="J274:J275"/>
    <mergeCell ref="D1616:E1616"/>
    <mergeCell ref="R16:R17"/>
    <mergeCell ref="R532:R533"/>
    <mergeCell ref="K1753:K1754"/>
    <mergeCell ref="R690:R691"/>
    <mergeCell ref="J605:J606"/>
    <mergeCell ref="M1056:M1057"/>
    <mergeCell ref="F1098:I1098"/>
    <mergeCell ref="B1156:H1156"/>
    <mergeCell ref="N1611:N1612"/>
    <mergeCell ref="K268:K269"/>
    <mergeCell ref="J600:J601"/>
    <mergeCell ref="B1143:C1143"/>
    <mergeCell ref="L665:L666"/>
    <mergeCell ref="R991:R992"/>
    <mergeCell ref="D304:E304"/>
    <mergeCell ref="A696:A697"/>
    <mergeCell ref="B1456:H1456"/>
    <mergeCell ref="M784:M785"/>
    <mergeCell ref="D604:E604"/>
    <mergeCell ref="P1572:R1572"/>
    <mergeCell ref="M1090:M1091"/>
    <mergeCell ref="M1084:M1085"/>
    <mergeCell ref="O87:O88"/>
    <mergeCell ref="J1373:J1374"/>
    <mergeCell ref="L376:L377"/>
    <mergeCell ref="R702:R703"/>
    <mergeCell ref="J375:L375"/>
    <mergeCell ref="J1285:J1286"/>
    <mergeCell ref="J1007:L1007"/>
    <mergeCell ref="R1002:R1003"/>
    <mergeCell ref="P1300:R1300"/>
    <mergeCell ref="R1518:R1519"/>
    <mergeCell ref="Q180:Q181"/>
    <mergeCell ref="H1664:I1664"/>
    <mergeCell ref="F112:I112"/>
    <mergeCell ref="M1589:O1589"/>
    <mergeCell ref="J1307:L1307"/>
    <mergeCell ref="K13:K14"/>
    <mergeCell ref="Q1268:Q1269"/>
    <mergeCell ref="P1600:P1601"/>
    <mergeCell ref="B1497:C1497"/>
    <mergeCell ref="P1594:P1595"/>
    <mergeCell ref="L404:L405"/>
    <mergeCell ref="A1050:A1051"/>
    <mergeCell ref="B556:C556"/>
    <mergeCell ref="J1427:J1428"/>
    <mergeCell ref="M73:M74"/>
    <mergeCell ref="H26:I26"/>
    <mergeCell ref="L1492:L1493"/>
    <mergeCell ref="D973:E973"/>
    <mergeCell ref="B40:H40"/>
    <mergeCell ref="Q838:Q839"/>
    <mergeCell ref="B1737:H1737"/>
    <mergeCell ref="Q996:Q997"/>
    <mergeCell ref="F903:I903"/>
    <mergeCell ref="J1449:L1449"/>
    <mergeCell ref="J1055:L1055"/>
    <mergeCell ref="H1103:I1103"/>
    <mergeCell ref="K665:K666"/>
    <mergeCell ref="Q991:Q992"/>
    <mergeCell ref="P588:P589"/>
    <mergeCell ref="B252:H252"/>
    <mergeCell ref="O914:O915"/>
    <mergeCell ref="O1220:O1221"/>
    <mergeCell ref="J1455:J1456"/>
    <mergeCell ref="B936:C936"/>
    <mergeCell ref="J1202:L1202"/>
    <mergeCell ref="R1688:R1689"/>
    <mergeCell ref="F614:I614"/>
    <mergeCell ref="P583:P584"/>
    <mergeCell ref="B246:L246"/>
    <mergeCell ref="L1090:L1091"/>
    <mergeCell ref="B1236:C1236"/>
    <mergeCell ref="Q1138:Q1139"/>
    <mergeCell ref="A656:A657"/>
    <mergeCell ref="H406:I406"/>
    <mergeCell ref="F914:I914"/>
    <mergeCell ref="Q702:Q703"/>
    <mergeCell ref="L1390:L1391"/>
    <mergeCell ref="Q886:Q887"/>
    <mergeCell ref="Q1438:Q1439"/>
    <mergeCell ref="D539:E539"/>
    <mergeCell ref="J1497:L1497"/>
    <mergeCell ref="D1327:E1327"/>
    <mergeCell ref="B394:H394"/>
    <mergeCell ref="A1719:A1720"/>
    <mergeCell ref="R1399:R1400"/>
    <mergeCell ref="D1627:E1627"/>
    <mergeCell ref="B694:H694"/>
    <mergeCell ref="H117:I117"/>
    <mergeCell ref="O1600:O1601"/>
    <mergeCell ref="F809:I809"/>
    <mergeCell ref="Q1665:Q1666"/>
    <mergeCell ref="H417:I417"/>
    <mergeCell ref="D1055:E1055"/>
    <mergeCell ref="A1447:A1448"/>
    <mergeCell ref="F1115:I1115"/>
    <mergeCell ref="L1557:L1558"/>
    <mergeCell ref="O203:O204"/>
    <mergeCell ref="B105:H105"/>
    <mergeCell ref="K710:K711"/>
    <mergeCell ref="B1167:H1167"/>
    <mergeCell ref="P206:P207"/>
    <mergeCell ref="B926:L926"/>
    <mergeCell ref="K1498:K1499"/>
    <mergeCell ref="J491:L491"/>
    <mergeCell ref="B405:H405"/>
    <mergeCell ref="P838:P839"/>
    <mergeCell ref="K1124:K1125"/>
    <mergeCell ref="H145:I145"/>
    <mergeCell ref="B773:L773"/>
    <mergeCell ref="M801:M802"/>
    <mergeCell ref="M795:M796"/>
    <mergeCell ref="J39:J40"/>
    <mergeCell ref="R299:R300"/>
    <mergeCell ref="H451:I451"/>
    <mergeCell ref="O1742:O1743"/>
    <mergeCell ref="A1458:A1459"/>
    <mergeCell ref="H1208:I1208"/>
    <mergeCell ref="J971:J972"/>
    <mergeCell ref="L520:L521"/>
    <mergeCell ref="N1220:N1221"/>
    <mergeCell ref="B120:C120"/>
    <mergeCell ref="Q22:Q23"/>
    <mergeCell ref="Q1688:Q1689"/>
    <mergeCell ref="F1495:I1495"/>
    <mergeCell ref="O158:O159"/>
    <mergeCell ref="K758:K759"/>
    <mergeCell ref="B1221:H1221"/>
    <mergeCell ref="R141:R142"/>
    <mergeCell ref="D1735:E1735"/>
    <mergeCell ref="H803:I803"/>
    <mergeCell ref="J50:J51"/>
    <mergeCell ref="L115:L116"/>
    <mergeCell ref="A761:A762"/>
    <mergeCell ref="R441:R442"/>
    <mergeCell ref="R957:R958"/>
    <mergeCell ref="P722:R722"/>
    <mergeCell ref="J350:J351"/>
    <mergeCell ref="Q1399:Q1400"/>
    <mergeCell ref="R741:R742"/>
    <mergeCell ref="M1481:M1482"/>
    <mergeCell ref="Q707:Q708"/>
    <mergeCell ref="F1637:I1637"/>
    <mergeCell ref="J1160:L1160"/>
    <mergeCell ref="L574:L575"/>
    <mergeCell ref="N1662:N1663"/>
    <mergeCell ref="A447:A448"/>
    <mergeCell ref="R668:R669"/>
    <mergeCell ref="P1339:P1340"/>
    <mergeCell ref="D239:E239"/>
    <mergeCell ref="M1628:M1629"/>
    <mergeCell ref="D355:E355"/>
    <mergeCell ref="R968:R969"/>
    <mergeCell ref="Q418:Q419"/>
    <mergeCell ref="J1166:J1167"/>
    <mergeCell ref="B647:C647"/>
    <mergeCell ref="B802:H802"/>
    <mergeCell ref="J1124:J1125"/>
    <mergeCell ref="A200:A201"/>
    <mergeCell ref="L801:L802"/>
    <mergeCell ref="O1688:O1689"/>
    <mergeCell ref="J120:L120"/>
    <mergeCell ref="B947:C947"/>
    <mergeCell ref="N1742:N1743"/>
    <mergeCell ref="L1101:L1102"/>
    <mergeCell ref="N104:N105"/>
    <mergeCell ref="J426:L426"/>
    <mergeCell ref="P1708:R1708"/>
    <mergeCell ref="D250:E250"/>
    <mergeCell ref="A1263:A1264"/>
    <mergeCell ref="B110:L110"/>
    <mergeCell ref="J1208:L1208"/>
    <mergeCell ref="M1220:M1221"/>
    <mergeCell ref="P22:P23"/>
    <mergeCell ref="R1110:R1111"/>
    <mergeCell ref="P1688:P1689"/>
    <mergeCell ref="D1171:E1171"/>
    <mergeCell ref="Q288:Q289"/>
    <mergeCell ref="R1268:R1269"/>
    <mergeCell ref="H868:I868"/>
    <mergeCell ref="L180:L181"/>
    <mergeCell ref="F353:I353"/>
    <mergeCell ref="M1651:M1652"/>
    <mergeCell ref="B1618:H1618"/>
    <mergeCell ref="P1436:R1436"/>
    <mergeCell ref="B1089:C1089"/>
    <mergeCell ref="Q441:Q442"/>
    <mergeCell ref="R1322:R1323"/>
    <mergeCell ref="D766:E766"/>
    <mergeCell ref="A1158:A1159"/>
    <mergeCell ref="B1721:C1721"/>
    <mergeCell ref="L1243:L1244"/>
    <mergeCell ref="J1568:L1568"/>
    <mergeCell ref="K421:K422"/>
    <mergeCell ref="B465:H465"/>
    <mergeCell ref="Q741:Q742"/>
    <mergeCell ref="D1066:E1066"/>
    <mergeCell ref="B765:H765"/>
    <mergeCell ref="M1453:O1453"/>
    <mergeCell ref="M1662:M1663"/>
    <mergeCell ref="F554:I554"/>
    <mergeCell ref="R10:R11"/>
    <mergeCell ref="L971:L972"/>
    <mergeCell ref="O1339:O1340"/>
    <mergeCell ref="L1628:L1629"/>
    <mergeCell ref="B365:L365"/>
    <mergeCell ref="D777:E777"/>
    <mergeCell ref="Q642:Q643"/>
    <mergeCell ref="A1169:A1170"/>
    <mergeCell ref="L1271:L1272"/>
    <mergeCell ref="F549:I549"/>
    <mergeCell ref="K563:K564"/>
    <mergeCell ref="J1253:L1253"/>
    <mergeCell ref="H157:I157"/>
    <mergeCell ref="A1081:A1082"/>
    <mergeCell ref="N1688:N1689"/>
    <mergeCell ref="K469:K470"/>
    <mergeCell ref="B907:H907"/>
    <mergeCell ref="M104:M105"/>
    <mergeCell ref="J410:J411"/>
    <mergeCell ref="O1481:O1482"/>
    <mergeCell ref="N659:N660"/>
    <mergeCell ref="H304:I304"/>
    <mergeCell ref="M404:M405"/>
    <mergeCell ref="F934:I934"/>
    <mergeCell ref="Q1110:Q1111"/>
    <mergeCell ref="P314:R314"/>
    <mergeCell ref="O328:O329"/>
    <mergeCell ref="Q1416:Q1417"/>
    <mergeCell ref="N1073:N1074"/>
    <mergeCell ref="L1651:L1652"/>
    <mergeCell ref="F1234:I1234"/>
    <mergeCell ref="F1348:I1348"/>
    <mergeCell ref="P719:P720"/>
    <mergeCell ref="D800:E800"/>
    <mergeCell ref="P620:R620"/>
    <mergeCell ref="N954:N955"/>
    <mergeCell ref="M909:O909"/>
    <mergeCell ref="K1243:K1244"/>
    <mergeCell ref="H658:I658"/>
    <mergeCell ref="B830:H830"/>
    <mergeCell ref="N1285:N1286"/>
    <mergeCell ref="J95:J96"/>
    <mergeCell ref="F1076:I1076"/>
    <mergeCell ref="R50:R51"/>
    <mergeCell ref="B491:C491"/>
    <mergeCell ref="D1579:E1579"/>
    <mergeCell ref="M637:O637"/>
    <mergeCell ref="J90:J91"/>
    <mergeCell ref="F1376:I1376"/>
    <mergeCell ref="B819:H819"/>
    <mergeCell ref="N1339:N1340"/>
    <mergeCell ref="H984:I984"/>
    <mergeCell ref="B239:C239"/>
    <mergeCell ref="B791:C791"/>
    <mergeCell ref="D1491:E1491"/>
    <mergeCell ref="F1676:I1676"/>
    <mergeCell ref="P642:P643"/>
    <mergeCell ref="M274:M275"/>
    <mergeCell ref="D94:E94"/>
    <mergeCell ref="A98:A99"/>
    <mergeCell ref="N1753:N1754"/>
    <mergeCell ref="M931:M932"/>
    <mergeCell ref="J563:J564"/>
    <mergeCell ref="P59:R59"/>
    <mergeCell ref="H859:I859"/>
    <mergeCell ref="B972:H972"/>
    <mergeCell ref="J191:L191"/>
    <mergeCell ref="L540:L541"/>
    <mergeCell ref="D21:E21"/>
    <mergeCell ref="P1147:R1147"/>
    <mergeCell ref="F1387:I1387"/>
    <mergeCell ref="J775:J776"/>
    <mergeCell ref="J497:L497"/>
    <mergeCell ref="Q152:Q153"/>
    <mergeCell ref="N1481:N1482"/>
    <mergeCell ref="D1633:E1633"/>
    <mergeCell ref="M1079:O1079"/>
    <mergeCell ref="Q458:Q459"/>
    <mergeCell ref="Q452:Q453"/>
    <mergeCell ref="P784:P785"/>
    <mergeCell ref="H939:I939"/>
    <mergeCell ref="B1499:H1499"/>
    <mergeCell ref="M1073:M1074"/>
    <mergeCell ref="L251:L252"/>
    <mergeCell ref="P875:R875"/>
    <mergeCell ref="P1084:P1085"/>
    <mergeCell ref="H1239:I1239"/>
    <mergeCell ref="M1373:M1374"/>
    <mergeCell ref="J617:J618"/>
    <mergeCell ref="O376:O377"/>
    <mergeCell ref="R877:R878"/>
    <mergeCell ref="H1539:I1539"/>
    <mergeCell ref="B1232:L1232"/>
    <mergeCell ref="J917:J918"/>
    <mergeCell ref="J664:L664"/>
    <mergeCell ref="H1653:I1653"/>
    <mergeCell ref="B1646:H1646"/>
    <mergeCell ref="D621:E621"/>
    <mergeCell ref="Q486:Q487"/>
    <mergeCell ref="P1589:R1589"/>
    <mergeCell ref="F260:I260"/>
    <mergeCell ref="B698:C698"/>
    <mergeCell ref="J964:L964"/>
    <mergeCell ref="J545:L545"/>
    <mergeCell ref="B1372:C1372"/>
    <mergeCell ref="D375:E375"/>
    <mergeCell ref="A767:A768"/>
    <mergeCell ref="R472:R473"/>
    <mergeCell ref="D369:E369"/>
    <mergeCell ref="M1101:M1102"/>
    <mergeCell ref="J1390:J1391"/>
    <mergeCell ref="L393:L394"/>
    <mergeCell ref="H1381:I1381"/>
    <mergeCell ref="L693:L694"/>
    <mergeCell ref="L274:L275"/>
    <mergeCell ref="H1681:I1681"/>
    <mergeCell ref="L605:L606"/>
    <mergeCell ref="O39:O40"/>
    <mergeCell ref="J1624:L1624"/>
    <mergeCell ref="K540:K541"/>
    <mergeCell ref="B1514:C1514"/>
    <mergeCell ref="P1611:P1612"/>
    <mergeCell ref="B1669:H1669"/>
    <mergeCell ref="K214:K215"/>
    <mergeCell ref="J1344:L1344"/>
    <mergeCell ref="N665:N666"/>
    <mergeCell ref="Q1008:Q1009"/>
    <mergeCell ref="D817:E817"/>
    <mergeCell ref="J1619:L1619"/>
    <mergeCell ref="B541:H541"/>
    <mergeCell ref="O1090:O1091"/>
    <mergeCell ref="B357:H357"/>
    <mergeCell ref="Q1155:Q1156"/>
    <mergeCell ref="A1294:A1295"/>
    <mergeCell ref="D871:E871"/>
    <mergeCell ref="F1093:I1093"/>
    <mergeCell ref="L1373:L1374"/>
    <mergeCell ref="N376:N377"/>
    <mergeCell ref="J1372:L1372"/>
    <mergeCell ref="D1202:E1202"/>
    <mergeCell ref="D1177:E1177"/>
    <mergeCell ref="A1594:A1595"/>
    <mergeCell ref="R1274:R1275"/>
    <mergeCell ref="L1679:L1680"/>
    <mergeCell ref="K988:K989"/>
    <mergeCell ref="R1574:R1575"/>
    <mergeCell ref="L1107:L1108"/>
    <mergeCell ref="F815:I815"/>
    <mergeCell ref="F1447:I1447"/>
    <mergeCell ref="L1407:L1408"/>
    <mergeCell ref="N404:N405"/>
    <mergeCell ref="Q903:Q904"/>
    <mergeCell ref="J208:L208"/>
    <mergeCell ref="J1514:L1514"/>
    <mergeCell ref="N710:N711"/>
    <mergeCell ref="D1344:E1344"/>
    <mergeCell ref="B411:H411"/>
    <mergeCell ref="Q1209:Q1210"/>
    <mergeCell ref="A1736:A1737"/>
    <mergeCell ref="K605:K606"/>
    <mergeCell ref="N1498:N1499"/>
    <mergeCell ref="N1492:N1493"/>
    <mergeCell ref="P495:P496"/>
    <mergeCell ref="D1644:E1644"/>
    <mergeCell ref="B711:H711"/>
    <mergeCell ref="D1225:E1225"/>
    <mergeCell ref="J361:L361"/>
    <mergeCell ref="H293:I293"/>
    <mergeCell ref="P795:P796"/>
    <mergeCell ref="J328:J329"/>
    <mergeCell ref="J661:L661"/>
    <mergeCell ref="F1132:I1132"/>
    <mergeCell ref="R588:R589"/>
    <mergeCell ref="O736:O737"/>
    <mergeCell ref="B943:L943"/>
    <mergeCell ref="J628:J629"/>
    <mergeCell ref="D1372:E1372"/>
    <mergeCell ref="B422:H422"/>
    <mergeCell ref="Q1220:Q1221"/>
    <mergeCell ref="J1260:J1261"/>
    <mergeCell ref="Q197:Q198"/>
    <mergeCell ref="F1127:I1127"/>
    <mergeCell ref="J928:J929"/>
    <mergeCell ref="B409:C409"/>
    <mergeCell ref="K747:K748"/>
    <mergeCell ref="J256:L256"/>
    <mergeCell ref="M812:M813"/>
    <mergeCell ref="P1155:P1156"/>
    <mergeCell ref="R158:R159"/>
    <mergeCell ref="D219:E219"/>
    <mergeCell ref="R316:R317"/>
    <mergeCell ref="O447:O448"/>
    <mergeCell ref="M1118:M1119"/>
    <mergeCell ref="J988:J989"/>
    <mergeCell ref="P1028:R1028"/>
    <mergeCell ref="B137:C137"/>
    <mergeCell ref="F1512:I1512"/>
    <mergeCell ref="B811:C811"/>
    <mergeCell ref="J1288:J1289"/>
    <mergeCell ref="L291:L292"/>
    <mergeCell ref="J1335:L1335"/>
    <mergeCell ref="B1225:C1225"/>
    <mergeCell ref="P1297:P1298"/>
    <mergeCell ref="F27:I27"/>
    <mergeCell ref="H1120:I1120"/>
    <mergeCell ref="P1628:P1629"/>
    <mergeCell ref="J367:J368"/>
    <mergeCell ref="M710:M711"/>
    <mergeCell ref="B1292:H1292"/>
    <mergeCell ref="P1209:P1210"/>
    <mergeCell ref="M1498:M1499"/>
    <mergeCell ref="P1509:P1510"/>
    <mergeCell ref="H990:I990"/>
    <mergeCell ref="A217:A218"/>
    <mergeCell ref="B953:C953"/>
    <mergeCell ref="F1654:I1654"/>
    <mergeCell ref="F16:I16"/>
    <mergeCell ref="J1430:J1431"/>
    <mergeCell ref="O801:O802"/>
    <mergeCell ref="L39:L40"/>
    <mergeCell ref="P1682:P1683"/>
    <mergeCell ref="B1740:H1740"/>
    <mergeCell ref="M1215:O1215"/>
    <mergeCell ref="J1083:L1083"/>
    <mergeCell ref="J1058:L1058"/>
    <mergeCell ref="D888:E888"/>
    <mergeCell ref="R985:R986"/>
    <mergeCell ref="J1389:L1389"/>
    <mergeCell ref="F70:I70"/>
    <mergeCell ref="M877:M878"/>
    <mergeCell ref="O529:O530"/>
    <mergeCell ref="H1437:I1437"/>
    <mergeCell ref="O1574:O1575"/>
    <mergeCell ref="L818:L819"/>
    <mergeCell ref="Q158:Q159"/>
    <mergeCell ref="H1157:I1157"/>
    <mergeCell ref="B964:C964"/>
    <mergeCell ref="O829:O830"/>
    <mergeCell ref="A359:A360"/>
    <mergeCell ref="J769:L769"/>
    <mergeCell ref="L1118:L1119"/>
    <mergeCell ref="N121:N122"/>
    <mergeCell ref="H1432:I1432"/>
    <mergeCell ref="F396:I396"/>
    <mergeCell ref="D267:E267"/>
    <mergeCell ref="N421:N422"/>
    <mergeCell ref="Q920:Q921"/>
    <mergeCell ref="P39:P40"/>
    <mergeCell ref="R1127:R1128"/>
    <mergeCell ref="F696:I696"/>
    <mergeCell ref="K291:K292"/>
    <mergeCell ref="O1297:O1298"/>
    <mergeCell ref="R1339:R1340"/>
    <mergeCell ref="Q974:Q975"/>
    <mergeCell ref="D627:E627"/>
    <mergeCell ref="O1628:O1629"/>
    <mergeCell ref="L1260:L1261"/>
    <mergeCell ref="Q631:Q632"/>
    <mergeCell ref="O1209:O1210"/>
    <mergeCell ref="J1585:L1585"/>
    <mergeCell ref="L1560:L1561"/>
    <mergeCell ref="F724:I724"/>
    <mergeCell ref="Q931:Q932"/>
    <mergeCell ref="A1039:A1040"/>
    <mergeCell ref="F838:I838"/>
    <mergeCell ref="B1318:C1318"/>
    <mergeCell ref="N801:N802"/>
    <mergeCell ref="L1472:L1473"/>
    <mergeCell ref="B20:H20"/>
    <mergeCell ref="A1345:A1346"/>
    <mergeCell ref="R27:R28"/>
    <mergeCell ref="H21:I21"/>
    <mergeCell ref="M410:M411"/>
    <mergeCell ref="Q659:Q660"/>
    <mergeCell ref="J699:J700"/>
    <mergeCell ref="F566:I566"/>
    <mergeCell ref="B688:L688"/>
    <mergeCell ref="R22:R23"/>
    <mergeCell ref="N948:N949"/>
    <mergeCell ref="J999:J1000"/>
    <mergeCell ref="M127:O127"/>
    <mergeCell ref="F866:I866"/>
    <mergeCell ref="P251:P252"/>
    <mergeCell ref="H474:I474"/>
    <mergeCell ref="M121:M122"/>
    <mergeCell ref="P1008:P1009"/>
    <mergeCell ref="K792:K793"/>
    <mergeCell ref="J84:J85"/>
    <mergeCell ref="J78:J79"/>
    <mergeCell ref="M421:M422"/>
    <mergeCell ref="P920:P921"/>
    <mergeCell ref="F1251:I1251"/>
    <mergeCell ref="Q1433:Q1434"/>
    <mergeCell ref="L30:L31"/>
    <mergeCell ref="P637:R637"/>
    <mergeCell ref="Q1758:Q1759"/>
    <mergeCell ref="J12:L12"/>
    <mergeCell ref="H1001:I1001"/>
    <mergeCell ref="Q1339:Q1340"/>
    <mergeCell ref="N1628:N1629"/>
    <mergeCell ref="K1260:K1261"/>
    <mergeCell ref="P631:P632"/>
    <mergeCell ref="J438:J439"/>
    <mergeCell ref="A81:A82"/>
    <mergeCell ref="B834:C834"/>
    <mergeCell ref="K1560:K1561"/>
    <mergeCell ref="P931:P932"/>
    <mergeCell ref="M563:M564"/>
    <mergeCell ref="M1237:M1238"/>
    <mergeCell ref="O240:O241"/>
    <mergeCell ref="R577:R578"/>
    <mergeCell ref="H1148:I1148"/>
    <mergeCell ref="F1393:I1393"/>
    <mergeCell ref="O540:O541"/>
    <mergeCell ref="J480:L480"/>
    <mergeCell ref="L410:L411"/>
    <mergeCell ref="B981:C981"/>
    <mergeCell ref="H1143:I1143"/>
    <mergeCell ref="Q1481:Q1482"/>
    <mergeCell ref="B562:C562"/>
    <mergeCell ref="B742:H742"/>
    <mergeCell ref="P659:P660"/>
    <mergeCell ref="J392:L392"/>
    <mergeCell ref="P1079:R1079"/>
    <mergeCell ref="M948:M949"/>
    <mergeCell ref="J580:J581"/>
    <mergeCell ref="B862:C862"/>
    <mergeCell ref="O251:O252"/>
    <mergeCell ref="M1379:M1380"/>
    <mergeCell ref="P1722:P1723"/>
    <mergeCell ref="R719:R720"/>
    <mergeCell ref="H871:I871"/>
    <mergeCell ref="J634:J635"/>
    <mergeCell ref="P1164:R1164"/>
    <mergeCell ref="K1614:K1615"/>
    <mergeCell ref="O1008:O1009"/>
    <mergeCell ref="J792:J793"/>
    <mergeCell ref="O1314:O1315"/>
    <mergeCell ref="O920:O921"/>
    <mergeCell ref="L95:L96"/>
    <mergeCell ref="P801:P802"/>
    <mergeCell ref="B1516:H1516"/>
    <mergeCell ref="P1433:P1434"/>
    <mergeCell ref="J1596:L1596"/>
    <mergeCell ref="K30:K31"/>
    <mergeCell ref="B1004:C1004"/>
    <mergeCell ref="P1101:P1102"/>
    <mergeCell ref="J834:L834"/>
    <mergeCell ref="R778:R779"/>
    <mergeCell ref="H1256:I1256"/>
    <mergeCell ref="B1661:C1661"/>
    <mergeCell ref="P1758:P1759"/>
    <mergeCell ref="A1056:A1057"/>
    <mergeCell ref="O1067:O1068"/>
    <mergeCell ref="R1410:R1411"/>
    <mergeCell ref="H1556:I1556"/>
    <mergeCell ref="J1450:J1451"/>
    <mergeCell ref="R1710:R1711"/>
    <mergeCell ref="O1342:O1343"/>
    <mergeCell ref="Q370:Q371"/>
    <mergeCell ref="B1244:H1244"/>
    <mergeCell ref="J1566:J1567"/>
    <mergeCell ref="F146:I146"/>
    <mergeCell ref="J1560:J1561"/>
    <mergeCell ref="L563:L564"/>
    <mergeCell ref="F277:I277"/>
    <mergeCell ref="N240:N241"/>
    <mergeCell ref="P1328:P1329"/>
    <mergeCell ref="J562:L562"/>
    <mergeCell ref="B1389:C1389"/>
    <mergeCell ref="D392:E392"/>
    <mergeCell ref="A784:A785"/>
    <mergeCell ref="B1544:H1544"/>
    <mergeCell ref="L894:L895"/>
    <mergeCell ref="F577:I577"/>
    <mergeCell ref="L1543:L1544"/>
    <mergeCell ref="N546:N547"/>
    <mergeCell ref="N540:N541"/>
    <mergeCell ref="J862:L862"/>
    <mergeCell ref="D692:E692"/>
    <mergeCell ref="A1084:A1085"/>
    <mergeCell ref="H1398:I1398"/>
    <mergeCell ref="J1161:J1162"/>
    <mergeCell ref="O1053:O1054"/>
    <mergeCell ref="R1552:R1553"/>
    <mergeCell ref="J1461:J1462"/>
    <mergeCell ref="L464:L465"/>
    <mergeCell ref="F288:I288"/>
    <mergeCell ref="L764:L765"/>
    <mergeCell ref="F937:I937"/>
    <mergeCell ref="Q1144:Q1145"/>
    <mergeCell ref="L1379:L1380"/>
    <mergeCell ref="P348:R348"/>
    <mergeCell ref="L1685:L1686"/>
    <mergeCell ref="Q1444:Q1445"/>
    <mergeCell ref="D1160:E1160"/>
    <mergeCell ref="B227:H227"/>
    <mergeCell ref="D828:E828"/>
    <mergeCell ref="J1661:L1661"/>
    <mergeCell ref="J149:J150"/>
    <mergeCell ref="F322:I322"/>
    <mergeCell ref="J1761:J1762"/>
    <mergeCell ref="P76:R76"/>
    <mergeCell ref="O1101:O1102"/>
    <mergeCell ref="Q104:Q105"/>
    <mergeCell ref="R78:R79"/>
    <mergeCell ref="A1611:A1612"/>
    <mergeCell ref="B433:L433"/>
    <mergeCell ref="N693:N694"/>
    <mergeCell ref="F991:I991"/>
    <mergeCell ref="B273:C273"/>
    <mergeCell ref="K999:K1000"/>
    <mergeCell ref="P370:P371"/>
    <mergeCell ref="B428:H428"/>
    <mergeCell ref="K237:K238"/>
    <mergeCell ref="Q1492:Q1493"/>
    <mergeCell ref="B573:C573"/>
    <mergeCell ref="L1291:L1292"/>
    <mergeCell ref="O95:O96"/>
    <mergeCell ref="M214:M215"/>
    <mergeCell ref="H582:I582"/>
    <mergeCell ref="F702:I702"/>
    <mergeCell ref="N1668:N1669"/>
    <mergeCell ref="H740:I740"/>
    <mergeCell ref="J478:J479"/>
    <mergeCell ref="L1591:L1592"/>
    <mergeCell ref="R736:R737"/>
    <mergeCell ref="Q1552:Q1553"/>
    <mergeCell ref="A1753:A1754"/>
    <mergeCell ref="F1002:I1002"/>
    <mergeCell ref="K464:K465"/>
    <mergeCell ref="B284:C284"/>
    <mergeCell ref="J131:L131"/>
    <mergeCell ref="N1509:N1510"/>
    <mergeCell ref="D1661:E1661"/>
    <mergeCell ref="F1302:I1302"/>
    <mergeCell ref="P1144:P1145"/>
    <mergeCell ref="H179:I179"/>
    <mergeCell ref="B715:C715"/>
    <mergeCell ref="J231:J232"/>
    <mergeCell ref="A268:A269"/>
    <mergeCell ref="K1685:K1686"/>
    <mergeCell ref="P1444:P1445"/>
    <mergeCell ref="R447:R448"/>
    <mergeCell ref="P229:R229"/>
    <mergeCell ref="B12:C12"/>
    <mergeCell ref="M988:M989"/>
    <mergeCell ref="B955:H955"/>
    <mergeCell ref="J273:L273"/>
    <mergeCell ref="B1075:C1075"/>
    <mergeCell ref="B1255:H1255"/>
    <mergeCell ref="P1172:P1173"/>
    <mergeCell ref="L580:L581"/>
    <mergeCell ref="K1064:K1065"/>
    <mergeCell ref="K1580:K1581"/>
    <mergeCell ref="J573:L573"/>
    <mergeCell ref="R475:R476"/>
    <mergeCell ref="J1005:J1006"/>
    <mergeCell ref="O764:O765"/>
    <mergeCell ref="B154:C154"/>
    <mergeCell ref="H1409:I1409"/>
    <mergeCell ref="P1498:P1499"/>
    <mergeCell ref="J1305:J1306"/>
    <mergeCell ref="L308:L309"/>
    <mergeCell ref="R1563:R1564"/>
    <mergeCell ref="B454:C454"/>
    <mergeCell ref="P909:R909"/>
    <mergeCell ref="H1296:I1296"/>
    <mergeCell ref="H1709:I1709"/>
    <mergeCell ref="D131:E131"/>
    <mergeCell ref="J284:L284"/>
    <mergeCell ref="A523:A524"/>
    <mergeCell ref="R801:R802"/>
    <mergeCell ref="L608:L609"/>
    <mergeCell ref="L214:L215"/>
    <mergeCell ref="A87:A88"/>
    <mergeCell ref="P1215:R1215"/>
    <mergeCell ref="L1396:L1397"/>
    <mergeCell ref="K1591:K1592"/>
    <mergeCell ref="Q736:Q737"/>
    <mergeCell ref="P1645:P1646"/>
    <mergeCell ref="J384:J385"/>
    <mergeCell ref="J900:J901"/>
    <mergeCell ref="J1347:L1347"/>
    <mergeCell ref="J1200:J1201"/>
    <mergeCell ref="H1007:I1007"/>
    <mergeCell ref="R529:R530"/>
    <mergeCell ref="R523:R524"/>
    <mergeCell ref="A234:A235"/>
    <mergeCell ref="F33:I33"/>
    <mergeCell ref="O818:O819"/>
    <mergeCell ref="J318:L318"/>
    <mergeCell ref="H1307:I1307"/>
    <mergeCell ref="R829:R830"/>
    <mergeCell ref="O1118:O1119"/>
    <mergeCell ref="Q121:Q122"/>
    <mergeCell ref="L356:L357"/>
    <mergeCell ref="Q115:Q116"/>
    <mergeCell ref="D899:E899"/>
    <mergeCell ref="A903:A904"/>
    <mergeCell ref="B144:L144"/>
    <mergeCell ref="B1140:C1140"/>
    <mergeCell ref="B1320:H1320"/>
    <mergeCell ref="A560:A561"/>
    <mergeCell ref="P56:P57"/>
    <mergeCell ref="D1205:E1205"/>
    <mergeCell ref="P214:P215"/>
    <mergeCell ref="R1302:R1303"/>
    <mergeCell ref="O546:O547"/>
    <mergeCell ref="D811:E811"/>
    <mergeCell ref="N291:N292"/>
    <mergeCell ref="A376:A377"/>
    <mergeCell ref="A1617:A1618"/>
    <mergeCell ref="L1135:L1136"/>
    <mergeCell ref="R1297:R1298"/>
    <mergeCell ref="Q475:Q476"/>
    <mergeCell ref="F413:I413"/>
    <mergeCell ref="N1379:N1380"/>
    <mergeCell ref="D284:E284"/>
    <mergeCell ref="B1048:H1048"/>
    <mergeCell ref="J189:J190"/>
    <mergeCell ref="R1628:R1629"/>
    <mergeCell ref="Q1263:Q1264"/>
    <mergeCell ref="N438:N439"/>
    <mergeCell ref="F713:I713"/>
    <mergeCell ref="A588:A589"/>
    <mergeCell ref="K308:K309"/>
    <mergeCell ref="J998:L998"/>
    <mergeCell ref="Q1563:Q1564"/>
    <mergeCell ref="B1335:C1335"/>
    <mergeCell ref="D953:E953"/>
    <mergeCell ref="K608:K609"/>
    <mergeCell ref="J965:J966"/>
    <mergeCell ref="F141:I141"/>
    <mergeCell ref="K1396:K1397"/>
    <mergeCell ref="H196:I196"/>
    <mergeCell ref="O1645:O1646"/>
    <mergeCell ref="F441:I441"/>
    <mergeCell ref="P410:P411"/>
    <mergeCell ref="M699:M700"/>
    <mergeCell ref="F741:I741"/>
    <mergeCell ref="Q948:Q949"/>
    <mergeCell ref="H191:I191"/>
    <mergeCell ref="Q529:Q530"/>
    <mergeCell ref="H349:I349"/>
    <mergeCell ref="B977:L977"/>
    <mergeCell ref="N818:N819"/>
    <mergeCell ref="Q829:Q830"/>
    <mergeCell ref="M416:O416"/>
    <mergeCell ref="N1118:N1119"/>
    <mergeCell ref="P121:P122"/>
    <mergeCell ref="D1727:E1727"/>
    <mergeCell ref="D1270:E1270"/>
    <mergeCell ref="M427:M428"/>
    <mergeCell ref="O1515:O1516"/>
    <mergeCell ref="K662:K663"/>
    <mergeCell ref="P421:P422"/>
    <mergeCell ref="M1750:M1751"/>
    <mergeCell ref="F1240:I1240"/>
    <mergeCell ref="L19:L20"/>
    <mergeCell ref="Q1608:Q1609"/>
    <mergeCell ref="J254:J255"/>
    <mergeCell ref="F1540:I1540"/>
    <mergeCell ref="L319:L320"/>
    <mergeCell ref="B564:H564"/>
    <mergeCell ref="M138:M139"/>
    <mergeCell ref="K1135:K1136"/>
    <mergeCell ref="B558:H558"/>
    <mergeCell ref="B77:C77"/>
    <mergeCell ref="P149:P150"/>
    <mergeCell ref="F1427:I1427"/>
    <mergeCell ref="B864:H864"/>
    <mergeCell ref="M438:M439"/>
    <mergeCell ref="F1110:I1110"/>
    <mergeCell ref="J401:J402"/>
    <mergeCell ref="F1268:I1268"/>
    <mergeCell ref="P1237:P1238"/>
    <mergeCell ref="H718:I718"/>
    <mergeCell ref="R240:R241"/>
    <mergeCell ref="R872:R873"/>
    <mergeCell ref="P654:R654"/>
    <mergeCell ref="R866:R867"/>
    <mergeCell ref="K1036:K1037"/>
    <mergeCell ref="J29:L29"/>
    <mergeCell ref="R540:R541"/>
    <mergeCell ref="O410:O411"/>
    <mergeCell ref="J786:L786"/>
    <mergeCell ref="K1336:K1337"/>
    <mergeCell ref="B63:C63"/>
    <mergeCell ref="L699:L700"/>
    <mergeCell ref="H446:I446"/>
    <mergeCell ref="L373:L374"/>
    <mergeCell ref="P948:P949"/>
    <mergeCell ref="B1006:H1006"/>
    <mergeCell ref="B1680:H1680"/>
    <mergeCell ref="R600:R601"/>
    <mergeCell ref="R594:R595"/>
    <mergeCell ref="L999:L1000"/>
    <mergeCell ref="K1331:K1332"/>
    <mergeCell ref="H746:I746"/>
    <mergeCell ref="R251:R252"/>
    <mergeCell ref="O557:O558"/>
    <mergeCell ref="R900:R901"/>
    <mergeCell ref="H1046:I1046"/>
    <mergeCell ref="Q192:Q193"/>
    <mergeCell ref="M792:M793"/>
    <mergeCell ref="L427:L428"/>
    <mergeCell ref="N1515:N1516"/>
    <mergeCell ref="B579:C579"/>
    <mergeCell ref="B759:H759"/>
    <mergeCell ref="J1081:J1082"/>
    <mergeCell ref="L84:L85"/>
    <mergeCell ref="B1391:H1391"/>
    <mergeCell ref="N149:N150"/>
    <mergeCell ref="B230:C230"/>
    <mergeCell ref="B879:C879"/>
    <mergeCell ref="A299:A300"/>
    <mergeCell ref="A274:A275"/>
    <mergeCell ref="L384:L385"/>
    <mergeCell ref="K19:K20"/>
    <mergeCell ref="K1716:K1717"/>
    <mergeCell ref="J709:L709"/>
    <mergeCell ref="N30:N31"/>
    <mergeCell ref="K319:K320"/>
    <mergeCell ref="J651:J652"/>
    <mergeCell ref="D970:E970"/>
    <mergeCell ref="H1545:I1545"/>
    <mergeCell ref="R1067:R1068"/>
    <mergeCell ref="O149:O150"/>
    <mergeCell ref="R1042:R1043"/>
    <mergeCell ref="K231:K232"/>
    <mergeCell ref="F152:I152"/>
    <mergeCell ref="L112:L113"/>
    <mergeCell ref="M1566:M1567"/>
    <mergeCell ref="F452:I452"/>
    <mergeCell ref="O1237:O1238"/>
    <mergeCell ref="Q240:Q241"/>
    <mergeCell ref="K47:K48"/>
    <mergeCell ref="H60:I60"/>
    <mergeCell ref="P1634:P1635"/>
    <mergeCell ref="J1036:J1037"/>
    <mergeCell ref="A1073:A1074"/>
    <mergeCell ref="Q540:Q541"/>
    <mergeCell ref="B569:L569"/>
    <mergeCell ref="M1161:M1162"/>
    <mergeCell ref="J1151:L1151"/>
    <mergeCell ref="H1573:I1573"/>
    <mergeCell ref="J1336:J1337"/>
    <mergeCell ref="D981:E981"/>
    <mergeCell ref="B48:H48"/>
    <mergeCell ref="J1467:J1468"/>
    <mergeCell ref="A1373:A1374"/>
    <mergeCell ref="B485:C485"/>
    <mergeCell ref="K373:K374"/>
    <mergeCell ref="M1461:M1462"/>
    <mergeCell ref="R965:R966"/>
    <mergeCell ref="A801:A802"/>
    <mergeCell ref="O1379:O1380"/>
    <mergeCell ref="Q1319:Q1320"/>
    <mergeCell ref="R1722:R1723"/>
    <mergeCell ref="B1548:C1548"/>
    <mergeCell ref="N557:N558"/>
    <mergeCell ref="B280:L280"/>
    <mergeCell ref="F1226:I1226"/>
    <mergeCell ref="D709:E709"/>
    <mergeCell ref="F832:I832"/>
    <mergeCell ref="A1101:A1102"/>
    <mergeCell ref="F1138:I1138"/>
    <mergeCell ref="K84:K85"/>
    <mergeCell ref="Q1314:Q1315"/>
    <mergeCell ref="M149:M150"/>
    <mergeCell ref="J1478:J1479"/>
    <mergeCell ref="B8:L8"/>
    <mergeCell ref="M36:M37"/>
    <mergeCell ref="M30:M31"/>
    <mergeCell ref="R1617:R1618"/>
    <mergeCell ref="P365:R365"/>
    <mergeCell ref="Q1067:Q1068"/>
    <mergeCell ref="N699:N700"/>
    <mergeCell ref="L1450:L1451"/>
    <mergeCell ref="D1483:E1483"/>
    <mergeCell ref="K112:K113"/>
    <mergeCell ref="B1602:C1602"/>
    <mergeCell ref="N999:N1000"/>
    <mergeCell ref="A1481:A1482"/>
    <mergeCell ref="B722:L722"/>
    <mergeCell ref="F1280:I1280"/>
    <mergeCell ref="D1667:E1667"/>
    <mergeCell ref="B717:H717"/>
    <mergeCell ref="P634:P635"/>
    <mergeCell ref="D1389:E1389"/>
    <mergeCell ref="J35:L35"/>
    <mergeCell ref="H457:I457"/>
    <mergeCell ref="P546:P547"/>
    <mergeCell ref="R611:R612"/>
    <mergeCell ref="H757:I757"/>
    <mergeCell ref="J1548:L1548"/>
    <mergeCell ref="B290:C290"/>
    <mergeCell ref="D1378:E1378"/>
    <mergeCell ref="B445:H445"/>
    <mergeCell ref="L444:L445"/>
    <mergeCell ref="K770:K771"/>
    <mergeCell ref="B590:C590"/>
    <mergeCell ref="B1538:L1538"/>
    <mergeCell ref="K1070:K1071"/>
    <mergeCell ref="M231:M232"/>
    <mergeCell ref="H468:I468"/>
    <mergeCell ref="H599:I599"/>
    <mergeCell ref="N1685:N1686"/>
    <mergeCell ref="R622:R623"/>
    <mergeCell ref="L1608:L1609"/>
    <mergeCell ref="R753:R754"/>
    <mergeCell ref="Q1569:Q1570"/>
    <mergeCell ref="H899:I899"/>
    <mergeCell ref="B301:C301"/>
    <mergeCell ref="J148:L148"/>
    <mergeCell ref="H811:I811"/>
    <mergeCell ref="K781:K782"/>
    <mergeCell ref="N1280:N1281"/>
    <mergeCell ref="B368:H368"/>
    <mergeCell ref="B732:C732"/>
    <mergeCell ref="R350:R351"/>
    <mergeCell ref="R464:R465"/>
    <mergeCell ref="B1125:H1125"/>
    <mergeCell ref="N1580:N1581"/>
    <mergeCell ref="J390:J391"/>
    <mergeCell ref="B29:C29"/>
    <mergeCell ref="H1284:I1284"/>
    <mergeCell ref="M1005:M1006"/>
    <mergeCell ref="D273:E273"/>
    <mergeCell ref="A665:A666"/>
    <mergeCell ref="M999:M1000"/>
    <mergeCell ref="H522:I522"/>
    <mergeCell ref="M1305:M1306"/>
    <mergeCell ref="O308:O309"/>
    <mergeCell ref="H1279:I1279"/>
    <mergeCell ref="B1272:H1272"/>
    <mergeCell ref="D89:E89"/>
    <mergeCell ref="K1597:K1598"/>
    <mergeCell ref="N243:N244"/>
    <mergeCell ref="J590:L590"/>
    <mergeCell ref="D420:E420"/>
    <mergeCell ref="A812:A813"/>
    <mergeCell ref="F61:I61"/>
    <mergeCell ref="N574:N575"/>
    <mergeCell ref="B655:C655"/>
    <mergeCell ref="A50:A51"/>
    <mergeCell ref="B1567:H1567"/>
    <mergeCell ref="K70:K71"/>
    <mergeCell ref="J1070:J1071"/>
    <mergeCell ref="R818:R819"/>
    <mergeCell ref="D715:E715"/>
    <mergeCell ref="L231:L232"/>
    <mergeCell ref="A104:A105"/>
    <mergeCell ref="P1748:R1748"/>
    <mergeCell ref="Q753:Q754"/>
    <mergeCell ref="D12:E12"/>
    <mergeCell ref="A404:A405"/>
    <mergeCell ref="F203:I203"/>
    <mergeCell ref="M911:M912"/>
    <mergeCell ref="J1217:J1218"/>
    <mergeCell ref="O835:O836"/>
    <mergeCell ref="D1100:E1100"/>
    <mergeCell ref="R1178:R1179"/>
    <mergeCell ref="R1172:R1173"/>
    <mergeCell ref="A1492:A1493"/>
    <mergeCell ref="K886:K887"/>
    <mergeCell ref="J1576:L1576"/>
    <mergeCell ref="Q464:Q465"/>
    <mergeCell ref="J1212:J1213"/>
    <mergeCell ref="O1135:O1136"/>
    <mergeCell ref="Q132:Q133"/>
    <mergeCell ref="J1387:J1388"/>
    <mergeCell ref="F588:I588"/>
    <mergeCell ref="L1005:L1006"/>
    <mergeCell ref="Q764:Q765"/>
    <mergeCell ref="O889:O890"/>
    <mergeCell ref="J1259:L1259"/>
    <mergeCell ref="B156:H156"/>
    <mergeCell ref="B1667:C1667"/>
    <mergeCell ref="D154:E154"/>
    <mergeCell ref="L1305:L1306"/>
    <mergeCell ref="N308:N309"/>
    <mergeCell ref="A877:A878"/>
    <mergeCell ref="H1219:I1219"/>
    <mergeCell ref="P1487:R1487"/>
    <mergeCell ref="N608:N609"/>
    <mergeCell ref="P285:P286"/>
    <mergeCell ref="B752:C752"/>
    <mergeCell ref="Q492:Q493"/>
    <mergeCell ref="M574:M575"/>
    <mergeCell ref="L906:L907"/>
    <mergeCell ref="B1052:C1052"/>
    <mergeCell ref="F730:I730"/>
    <mergeCell ref="P699:P700"/>
    <mergeCell ref="A605:A606"/>
    <mergeCell ref="L1206:L1207"/>
    <mergeCell ref="L1200:L1201"/>
    <mergeCell ref="Q1580:Q1581"/>
    <mergeCell ref="N203:N204"/>
    <mergeCell ref="P790:R790"/>
    <mergeCell ref="F1030:I1030"/>
    <mergeCell ref="Q818:Q819"/>
    <mergeCell ref="P427:P428"/>
    <mergeCell ref="B1147:L1147"/>
    <mergeCell ref="R56:R57"/>
    <mergeCell ref="H208:I208"/>
    <mergeCell ref="H882:I882"/>
    <mergeCell ref="J129:J130"/>
    <mergeCell ref="O1716:O1717"/>
    <mergeCell ref="O19:O20"/>
    <mergeCell ref="N835:N836"/>
    <mergeCell ref="K520:K521"/>
    <mergeCell ref="F1688:I1688"/>
    <mergeCell ref="N1135:N1136"/>
    <mergeCell ref="P138:P139"/>
    <mergeCell ref="B35:C35"/>
    <mergeCell ref="K826:K827"/>
    <mergeCell ref="B870:H870"/>
    <mergeCell ref="L189:L190"/>
    <mergeCell ref="P438:P439"/>
    <mergeCell ref="K821:K822"/>
    <mergeCell ref="F1399:I1399"/>
    <mergeCell ref="O47:O48"/>
    <mergeCell ref="J271:J272"/>
    <mergeCell ref="B581:H581"/>
    <mergeCell ref="N1036:N1037"/>
    <mergeCell ref="J571:J572"/>
    <mergeCell ref="B881:H881"/>
    <mergeCell ref="A121:A122"/>
    <mergeCell ref="M455:M456"/>
    <mergeCell ref="N1336:N1337"/>
    <mergeCell ref="A115:A116"/>
    <mergeCell ref="O699:O700"/>
    <mergeCell ref="K1206:K1207"/>
    <mergeCell ref="J199:L199"/>
    <mergeCell ref="D29:E29"/>
    <mergeCell ref="M1271:M1272"/>
    <mergeCell ref="P1254:P1255"/>
    <mergeCell ref="H735:I735"/>
    <mergeCell ref="P1728:P1729"/>
    <mergeCell ref="K1506:K1507"/>
    <mergeCell ref="R889:R890"/>
    <mergeCell ref="R883:R884"/>
    <mergeCell ref="K1620:K1621"/>
    <mergeCell ref="H1035:I1035"/>
    <mergeCell ref="J1287:L1287"/>
    <mergeCell ref="O427:O428"/>
    <mergeCell ref="Q1515:Q1516"/>
    <mergeCell ref="H1335:I1335"/>
    <mergeCell ref="L716:L717"/>
    <mergeCell ref="J1229:J1230"/>
    <mergeCell ref="M982:M983"/>
    <mergeCell ref="B868:C868"/>
    <mergeCell ref="P965:P966"/>
    <mergeCell ref="N1716:N1717"/>
    <mergeCell ref="N19:N20"/>
    <mergeCell ref="K1348:K1349"/>
    <mergeCell ref="B1168:C1168"/>
    <mergeCell ref="B1323:H1323"/>
    <mergeCell ref="Q30:Q31"/>
    <mergeCell ref="A1237:A1238"/>
    <mergeCell ref="P1198:R1198"/>
    <mergeCell ref="N319:N320"/>
    <mergeCell ref="K1648:K1649"/>
    <mergeCell ref="J940:J941"/>
    <mergeCell ref="O438:O439"/>
    <mergeCell ref="L744:L745"/>
    <mergeCell ref="F22:I22"/>
    <mergeCell ref="K36:K37"/>
    <mergeCell ref="M1124:M1125"/>
    <mergeCell ref="J726:L726"/>
    <mergeCell ref="A948:A949"/>
    <mergeCell ref="N47:N48"/>
    <mergeCell ref="H1389:I1389"/>
    <mergeCell ref="M1036:M1037"/>
    <mergeCell ref="J668:J669"/>
    <mergeCell ref="M1336:M1337"/>
    <mergeCell ref="J968:J969"/>
    <mergeCell ref="F469:I469"/>
    <mergeCell ref="O639:O640"/>
    <mergeCell ref="O1254:O1255"/>
    <mergeCell ref="Q257:Q258"/>
    <mergeCell ref="B1423:C1423"/>
    <mergeCell ref="Q557:Q558"/>
    <mergeCell ref="B586:L586"/>
    <mergeCell ref="B1604:H1604"/>
    <mergeCell ref="M1178:M1179"/>
    <mergeCell ref="J1684:L1684"/>
    <mergeCell ref="D579:E579"/>
    <mergeCell ref="A996:A997"/>
    <mergeCell ref="N733:N734"/>
    <mergeCell ref="M1478:M1479"/>
    <mergeCell ref="L656:L657"/>
    <mergeCell ref="D879:E879"/>
    <mergeCell ref="K532:K533"/>
    <mergeCell ref="J1348:J1349"/>
    <mergeCell ref="K690:K691"/>
    <mergeCell ref="L1413:L1414"/>
    <mergeCell ref="O1455:O1456"/>
    <mergeCell ref="B1565:C1565"/>
    <mergeCell ref="B297:L297"/>
    <mergeCell ref="J1654:J1655"/>
    <mergeCell ref="J1395:L1395"/>
    <mergeCell ref="B292:H292"/>
    <mergeCell ref="B1471:C1471"/>
    <mergeCell ref="B592:H592"/>
    <mergeCell ref="J1495:J1496"/>
    <mergeCell ref="L1739:L1740"/>
    <mergeCell ref="F1455:I1455"/>
    <mergeCell ref="K401:K402"/>
    <mergeCell ref="B1028:L1028"/>
    <mergeCell ref="M53:M54"/>
    <mergeCell ref="M47:M48"/>
    <mergeCell ref="R1634:R1635"/>
    <mergeCell ref="J10:J11"/>
    <mergeCell ref="J1423:L1423"/>
    <mergeCell ref="H327:I327"/>
    <mergeCell ref="P835:P836"/>
    <mergeCell ref="L1336:L1337"/>
    <mergeCell ref="L1467:L1468"/>
    <mergeCell ref="Q1226:Q1227"/>
    <mergeCell ref="P651:P652"/>
    <mergeCell ref="F1597:I1597"/>
    <mergeCell ref="K1059:K1060"/>
    <mergeCell ref="J1749:L1749"/>
    <mergeCell ref="D1548:E1548"/>
    <mergeCell ref="B615:H615"/>
    <mergeCell ref="H774:I774"/>
    <mergeCell ref="Q1685:Q1686"/>
    <mergeCell ref="P863:P864"/>
    <mergeCell ref="H12:I12"/>
    <mergeCell ref="O155:O156"/>
    <mergeCell ref="L1478:L1479"/>
    <mergeCell ref="K787:K788"/>
    <mergeCell ref="B607:C607"/>
    <mergeCell ref="B762:H762"/>
    <mergeCell ref="J690:J691"/>
    <mergeCell ref="J437:L437"/>
    <mergeCell ref="J412:L412"/>
    <mergeCell ref="N781:N782"/>
    <mergeCell ref="N1455:N1456"/>
    <mergeCell ref="K1087:K1088"/>
    <mergeCell ref="H1100:I1100"/>
    <mergeCell ref="F39:I39"/>
    <mergeCell ref="D1607:E1607"/>
    <mergeCell ref="H485:I485"/>
    <mergeCell ref="K1719:K1720"/>
    <mergeCell ref="J379:J380"/>
    <mergeCell ref="J712:L712"/>
    <mergeCell ref="M880:M881"/>
    <mergeCell ref="R639:R640"/>
    <mergeCell ref="B994:L994"/>
    <mergeCell ref="Q1728:Q1729"/>
    <mergeCell ref="B318:C318"/>
    <mergeCell ref="O183:O184"/>
    <mergeCell ref="L472:L473"/>
    <mergeCell ref="R634:R635"/>
    <mergeCell ref="J591:J592"/>
    <mergeCell ref="J307:L307"/>
    <mergeCell ref="K1098:K1099"/>
    <mergeCell ref="Q268:Q269"/>
    <mergeCell ref="Q243:Q244"/>
    <mergeCell ref="F50:I50"/>
    <mergeCell ref="B1142:H1142"/>
    <mergeCell ref="M775:M776"/>
    <mergeCell ref="D290:E290"/>
    <mergeCell ref="B1442:H1442"/>
    <mergeCell ref="N444:N445"/>
    <mergeCell ref="M770:M771"/>
    <mergeCell ref="D590:E590"/>
    <mergeCell ref="R1450:R1451"/>
    <mergeCell ref="H1602:I1602"/>
    <mergeCell ref="O231:O232"/>
    <mergeCell ref="J607:L607"/>
    <mergeCell ref="L362:L363"/>
    <mergeCell ref="F78:I78"/>
    <mergeCell ref="B1153:H1153"/>
    <mergeCell ref="A393:A394"/>
    <mergeCell ref="N1608:N1609"/>
    <mergeCell ref="J987:L987"/>
    <mergeCell ref="M1549:M1550"/>
    <mergeCell ref="D301:E301"/>
    <mergeCell ref="A693:A694"/>
    <mergeCell ref="B814:C814"/>
    <mergeCell ref="F1166:I1166"/>
    <mergeCell ref="K87:K88"/>
    <mergeCell ref="J1293:L1293"/>
    <mergeCell ref="J1506:J1507"/>
    <mergeCell ref="J1093:J1094"/>
    <mergeCell ref="R835:R836"/>
    <mergeCell ref="Q13:Q14"/>
    <mergeCell ref="A3:D3"/>
    <mergeCell ref="Q1254:Q1255"/>
    <mergeCell ref="M64:M65"/>
    <mergeCell ref="J1393:J1394"/>
    <mergeCell ref="L390:L391"/>
    <mergeCell ref="F220:I220"/>
    <mergeCell ref="F736:I736"/>
    <mergeCell ref="J372:L372"/>
    <mergeCell ref="B1174:C1174"/>
    <mergeCell ref="Q1070:Q1071"/>
    <mergeCell ref="F520:I520"/>
    <mergeCell ref="Q308:Q309"/>
    <mergeCell ref="A1509:A1510"/>
    <mergeCell ref="P243:P244"/>
    <mergeCell ref="H1508:I1508"/>
    <mergeCell ref="F447:I447"/>
    <mergeCell ref="M1745:M1746"/>
    <mergeCell ref="H72:I72"/>
    <mergeCell ref="F605:I605"/>
    <mergeCell ref="B178:L178"/>
    <mergeCell ref="P574:P575"/>
    <mergeCell ref="M206:M207"/>
    <mergeCell ref="O906:O907"/>
    <mergeCell ref="R1662:R1663"/>
    <mergeCell ref="O900:O901"/>
    <mergeCell ref="B1341:C1341"/>
    <mergeCell ref="K498:K499"/>
    <mergeCell ref="A894:A895"/>
    <mergeCell ref="F600:I600"/>
    <mergeCell ref="R1090:R1091"/>
    <mergeCell ref="D987:E987"/>
    <mergeCell ref="L1495:L1496"/>
    <mergeCell ref="L1489:L1490"/>
    <mergeCell ref="J123:L123"/>
    <mergeCell ref="B37:H37"/>
    <mergeCell ref="H1236:I1236"/>
    <mergeCell ref="B1641:C1641"/>
    <mergeCell ref="N1141:N1142"/>
    <mergeCell ref="J1488:L1488"/>
    <mergeCell ref="P302:P303"/>
    <mergeCell ref="R1390:R1391"/>
    <mergeCell ref="J423:L423"/>
    <mergeCell ref="M591:M592"/>
    <mergeCell ref="O1679:O1680"/>
    <mergeCell ref="K668:K669"/>
    <mergeCell ref="H83:I83"/>
    <mergeCell ref="B1069:C1069"/>
    <mergeCell ref="F747:I747"/>
    <mergeCell ref="L1223:L1224"/>
    <mergeCell ref="Q982:Q983"/>
    <mergeCell ref="H383:I383"/>
    <mergeCell ref="B1369:C1369"/>
    <mergeCell ref="F1563:I1563"/>
    <mergeCell ref="Q835:Q836"/>
    <mergeCell ref="B96:H96"/>
    <mergeCell ref="P13:P14"/>
    <mergeCell ref="B71:H71"/>
    <mergeCell ref="F801:I801"/>
    <mergeCell ref="M886:M887"/>
    <mergeCell ref="K809:K810"/>
    <mergeCell ref="Q1135:Q1136"/>
    <mergeCell ref="Q1651:Q1652"/>
    <mergeCell ref="P444:P445"/>
    <mergeCell ref="B1164:L1164"/>
    <mergeCell ref="D1041:E1041"/>
    <mergeCell ref="B1159:H1159"/>
    <mergeCell ref="R73:R74"/>
    <mergeCell ref="P744:P745"/>
    <mergeCell ref="H225:I225"/>
    <mergeCell ref="F1274:I1274"/>
    <mergeCell ref="A1149:A1150"/>
    <mergeCell ref="J477:L477"/>
    <mergeCell ref="H525:I525"/>
    <mergeCell ref="J288:J289"/>
    <mergeCell ref="F1574:I1574"/>
    <mergeCell ref="M271:M272"/>
    <mergeCell ref="P155:P156"/>
    <mergeCell ref="B52:C52"/>
    <mergeCell ref="R285:R286"/>
    <mergeCell ref="A1144:A1145"/>
    <mergeCell ref="L206:L207"/>
    <mergeCell ref="N906:N907"/>
    <mergeCell ref="Q1662:Q1663"/>
    <mergeCell ref="B358:C358"/>
    <mergeCell ref="P455:P456"/>
    <mergeCell ref="P971:P972"/>
    <mergeCell ref="N1206:N1207"/>
    <mergeCell ref="P209:P210"/>
    <mergeCell ref="P1271:P1272"/>
    <mergeCell ref="K1495:K1496"/>
    <mergeCell ref="F1416:I1416"/>
    <mergeCell ref="J804:J805"/>
    <mergeCell ref="Q1390:Q1391"/>
    <mergeCell ref="M798:M799"/>
    <mergeCell ref="J430:J431"/>
    <mergeCell ref="H273:I273"/>
    <mergeCell ref="F1297:I1297"/>
    <mergeCell ref="J1104:J1105"/>
    <mergeCell ref="N1679:N1680"/>
    <mergeCell ref="L107:L108"/>
    <mergeCell ref="L101:L102"/>
    <mergeCell ref="R427:R428"/>
    <mergeCell ref="B898:H898"/>
    <mergeCell ref="A138:A139"/>
    <mergeCell ref="A132:A133"/>
    <mergeCell ref="F1628:I1628"/>
    <mergeCell ref="B885:C885"/>
    <mergeCell ref="K1223:K1224"/>
    <mergeCell ref="P982:P983"/>
    <mergeCell ref="M226:M227"/>
    <mergeCell ref="J216:L216"/>
    <mergeCell ref="D46:E46"/>
    <mergeCell ref="A438:A439"/>
    <mergeCell ref="M526:M527"/>
    <mergeCell ref="H1052:I1052"/>
    <mergeCell ref="P1651:P1652"/>
    <mergeCell ref="M826:M827"/>
    <mergeCell ref="R1206:R1207"/>
    <mergeCell ref="P1325:P1326"/>
    <mergeCell ref="O444:O445"/>
    <mergeCell ref="B793:H793"/>
    <mergeCell ref="P710:P711"/>
    <mergeCell ref="J1115:J1116"/>
    <mergeCell ref="J443:L443"/>
    <mergeCell ref="H1106:I1106"/>
    <mergeCell ref="J111:L111"/>
    <mergeCell ref="J743:L743"/>
    <mergeCell ref="P1124:P1125"/>
    <mergeCell ref="B633:C633"/>
    <mergeCell ref="J543:J544"/>
    <mergeCell ref="D188:E188"/>
    <mergeCell ref="A580:A581"/>
    <mergeCell ref="B946:H946"/>
    <mergeCell ref="Q47:Q48"/>
    <mergeCell ref="A186:A187"/>
    <mergeCell ref="L787:L788"/>
    <mergeCell ref="B76:L76"/>
    <mergeCell ref="K1665:K1666"/>
    <mergeCell ref="P1036:P1037"/>
    <mergeCell ref="H1579:I1579"/>
    <mergeCell ref="A486:A487"/>
    <mergeCell ref="P1336:P1337"/>
    <mergeCell ref="O971:O972"/>
    <mergeCell ref="L146:L147"/>
    <mergeCell ref="M1642:M1643"/>
    <mergeCell ref="B1412:C1412"/>
    <mergeCell ref="L934:L935"/>
    <mergeCell ref="O1277:O1278"/>
    <mergeCell ref="O1271:O1272"/>
    <mergeCell ref="Q274:Q275"/>
    <mergeCell ref="R1254:R1255"/>
    <mergeCell ref="H94:I94"/>
    <mergeCell ref="J885:L885"/>
    <mergeCell ref="B1712:C1712"/>
    <mergeCell ref="L1234:L1235"/>
    <mergeCell ref="J1559:L1559"/>
    <mergeCell ref="K107:K108"/>
    <mergeCell ref="H1721:I1721"/>
    <mergeCell ref="L1229:L1230"/>
    <mergeCell ref="K407:K408"/>
    <mergeCell ref="A1260:A1261"/>
    <mergeCell ref="O656:O657"/>
    <mergeCell ref="H1633:I1633"/>
    <mergeCell ref="J613:L613"/>
    <mergeCell ref="L526:L527"/>
    <mergeCell ref="O1413:O1414"/>
    <mergeCell ref="Q574:Q575"/>
    <mergeCell ref="D743:E743"/>
    <mergeCell ref="F350:I350"/>
    <mergeCell ref="L826:L827"/>
    <mergeCell ref="F540:I540"/>
    <mergeCell ref="O1325:O1326"/>
    <mergeCell ref="L957:L958"/>
    <mergeCell ref="H148:I148"/>
    <mergeCell ref="F656:I656"/>
    <mergeCell ref="J939:L939"/>
    <mergeCell ref="B224:H224"/>
    <mergeCell ref="A1161:A1162"/>
    <mergeCell ref="D763:E763"/>
    <mergeCell ref="A1155:A1156"/>
    <mergeCell ref="B1760:C1760"/>
    <mergeCell ref="O1141:O1142"/>
    <mergeCell ref="K549:K550"/>
    <mergeCell ref="K707:K708"/>
    <mergeCell ref="P53:P54"/>
    <mergeCell ref="P47:P48"/>
    <mergeCell ref="F251:I251"/>
    <mergeCell ref="L668:L669"/>
    <mergeCell ref="Q1107:Q1108"/>
    <mergeCell ref="F1008:I1008"/>
    <mergeCell ref="A883:A884"/>
    <mergeCell ref="J1712:L1712"/>
    <mergeCell ref="L968:L969"/>
    <mergeCell ref="B609:H609"/>
    <mergeCell ref="K146:K147"/>
    <mergeCell ref="L1642:L1643"/>
    <mergeCell ref="A1515:A1516"/>
    <mergeCell ref="H290:I290"/>
    <mergeCell ref="F1314:I1314"/>
    <mergeCell ref="B97:C97"/>
    <mergeCell ref="D791:E791"/>
    <mergeCell ref="F1472:I1472"/>
    <mergeCell ref="K934:K935"/>
    <mergeCell ref="J1593:L1593"/>
    <mergeCell ref="A149:A150"/>
    <mergeCell ref="B490:H490"/>
    <mergeCell ref="K1234:K1235"/>
    <mergeCell ref="J107:J108"/>
    <mergeCell ref="B904:H904"/>
    <mergeCell ref="O1178:O1179"/>
    <mergeCell ref="F1067:I1067"/>
    <mergeCell ref="Q1243:Q1244"/>
    <mergeCell ref="H650:I650"/>
    <mergeCell ref="H644:I644"/>
    <mergeCell ref="J407:J408"/>
    <mergeCell ref="R155:R156"/>
    <mergeCell ref="N656:N657"/>
    <mergeCell ref="K288:K289"/>
    <mergeCell ref="Q1549:Q1550"/>
    <mergeCell ref="K962:K963"/>
    <mergeCell ref="B1572:L1572"/>
    <mergeCell ref="K1076:K1077"/>
    <mergeCell ref="B477:C477"/>
    <mergeCell ref="Q1455:Q1456"/>
    <mergeCell ref="D1565:E1565"/>
    <mergeCell ref="K1376:K1377"/>
    <mergeCell ref="N1719:N1720"/>
    <mergeCell ref="K957:K958"/>
    <mergeCell ref="J554:J555"/>
    <mergeCell ref="P880:P881"/>
    <mergeCell ref="A197:A198"/>
    <mergeCell ref="H29:I29"/>
    <mergeCell ref="F1053:I1053"/>
    <mergeCell ref="K1676:K1677"/>
    <mergeCell ref="P807:R807"/>
    <mergeCell ref="M260:M261"/>
    <mergeCell ref="R183:R184"/>
    <mergeCell ref="D80:E80"/>
    <mergeCell ref="J549:J550"/>
    <mergeCell ref="A1716:A1717"/>
    <mergeCell ref="J707:J708"/>
    <mergeCell ref="N798:N799"/>
    <mergeCell ref="N1472:N1473"/>
    <mergeCell ref="Q118:Q119"/>
    <mergeCell ref="M8:O8"/>
    <mergeCell ref="P1107:P1108"/>
    <mergeCell ref="L10:L11"/>
    <mergeCell ref="N1098:N1099"/>
    <mergeCell ref="P775:P776"/>
    <mergeCell ref="A231:A232"/>
    <mergeCell ref="P1407:P1408"/>
    <mergeCell ref="M1039:M1040"/>
    <mergeCell ref="J277:J278"/>
    <mergeCell ref="H556:I556"/>
    <mergeCell ref="J324:L324"/>
    <mergeCell ref="J1240:J1241"/>
    <mergeCell ref="H1471:I1471"/>
    <mergeCell ref="B389:C389"/>
    <mergeCell ref="K1115:K1116"/>
    <mergeCell ref="K1631:K1632"/>
    <mergeCell ref="F67:I67"/>
    <mergeCell ref="L537:L538"/>
    <mergeCell ref="B689:C689"/>
    <mergeCell ref="A699:A700"/>
    <mergeCell ref="Q155:Q156"/>
    <mergeCell ref="J650:L650"/>
    <mergeCell ref="P1549:P1550"/>
    <mergeCell ref="O727:O728"/>
    <mergeCell ref="D607:E607"/>
    <mergeCell ref="A999:A1000"/>
    <mergeCell ref="H1372:I1372"/>
    <mergeCell ref="N761:N762"/>
    <mergeCell ref="M1093:M1094"/>
    <mergeCell ref="M1087:M1088"/>
    <mergeCell ref="J1382:J1383"/>
    <mergeCell ref="J1376:J1377"/>
    <mergeCell ref="L379:L380"/>
    <mergeCell ref="F95:I95"/>
    <mergeCell ref="J247:L247"/>
    <mergeCell ref="A600:A601"/>
    <mergeCell ref="J1682:J1683"/>
    <mergeCell ref="J1676:J1677"/>
    <mergeCell ref="Q183:Q184"/>
    <mergeCell ref="B1505:C1505"/>
    <mergeCell ref="A900:A901"/>
    <mergeCell ref="B212:L212"/>
    <mergeCell ref="P1577:P1578"/>
    <mergeCell ref="J1310:L1310"/>
    <mergeCell ref="J1304:L1304"/>
    <mergeCell ref="D808:E808"/>
    <mergeCell ref="J1610:L1610"/>
    <mergeCell ref="M81:M82"/>
    <mergeCell ref="O1169:O1170"/>
    <mergeCell ref="L413:L414"/>
    <mergeCell ref="J1404:J1405"/>
    <mergeCell ref="R1668:R1669"/>
    <mergeCell ref="L407:L408"/>
    <mergeCell ref="J389:L389"/>
    <mergeCell ref="L713:L714"/>
    <mergeCell ref="H361:I361"/>
    <mergeCell ref="Q78:Q79"/>
    <mergeCell ref="L1370:L1371"/>
    <mergeCell ref="J689:L689"/>
    <mergeCell ref="A911:A912"/>
    <mergeCell ref="D1276:E1276"/>
    <mergeCell ref="Q1141:Q1142"/>
    <mergeCell ref="A1280:A1281"/>
    <mergeCell ref="F464:I464"/>
    <mergeCell ref="N1430:N1431"/>
    <mergeCell ref="J1752:L1752"/>
    <mergeCell ref="P591:P592"/>
    <mergeCell ref="R1679:R1680"/>
    <mergeCell ref="A1580:A1581"/>
    <mergeCell ref="R1260:R1261"/>
    <mergeCell ref="P8:R8"/>
    <mergeCell ref="F764:I764"/>
    <mergeCell ref="D247:E247"/>
    <mergeCell ref="H1406:I1406"/>
    <mergeCell ref="O1549:O1550"/>
    <mergeCell ref="B939:C939"/>
    <mergeCell ref="R1560:R1561"/>
    <mergeCell ref="D1004:E1004"/>
    <mergeCell ref="L1512:L1513"/>
    <mergeCell ref="L1093:L1094"/>
    <mergeCell ref="N1158:N1159"/>
    <mergeCell ref="D242:E242"/>
    <mergeCell ref="A634:A635"/>
    <mergeCell ref="D1304:E1304"/>
    <mergeCell ref="O64:O65"/>
    <mergeCell ref="L1393:L1394"/>
    <mergeCell ref="N396:N397"/>
    <mergeCell ref="P461:P462"/>
    <mergeCell ref="H100:I100"/>
    <mergeCell ref="M750:M751"/>
    <mergeCell ref="D1330:E1330"/>
    <mergeCell ref="A1722:A1723"/>
    <mergeCell ref="O1577:O1578"/>
    <mergeCell ref="K985:K986"/>
    <mergeCell ref="H400:I400"/>
    <mergeCell ref="K1659:K1660"/>
    <mergeCell ref="J294:J295"/>
    <mergeCell ref="N869:N870"/>
    <mergeCell ref="L1540:L1541"/>
    <mergeCell ref="F818:I818"/>
    <mergeCell ref="N1169:N1170"/>
    <mergeCell ref="K413:K414"/>
    <mergeCell ref="Q1668:Q1669"/>
    <mergeCell ref="B233:C233"/>
    <mergeCell ref="H1488:I1488"/>
    <mergeCell ref="D927:E927"/>
    <mergeCell ref="F1118:I1118"/>
    <mergeCell ref="K1132:K1133"/>
    <mergeCell ref="A1433:A1434"/>
    <mergeCell ref="K713:K714"/>
    <mergeCell ref="R90:R91"/>
    <mergeCell ref="M16:M17"/>
    <mergeCell ref="D293:E293"/>
    <mergeCell ref="R390:R391"/>
    <mergeCell ref="K1127:K1128"/>
    <mergeCell ref="J305:J306"/>
    <mergeCell ref="F1591:I1591"/>
    <mergeCell ref="M804:M805"/>
    <mergeCell ref="J979:J980"/>
    <mergeCell ref="P1141:P1142"/>
    <mergeCell ref="R302:R303"/>
    <mergeCell ref="B128:C128"/>
    <mergeCell ref="Q1679:Q1680"/>
    <mergeCell ref="L282:L283"/>
    <mergeCell ref="F1586:I1586"/>
    <mergeCell ref="B1708:L1708"/>
    <mergeCell ref="D1069:E1069"/>
    <mergeCell ref="A1461:A1462"/>
    <mergeCell ref="J974:J975"/>
    <mergeCell ref="N1223:N1224"/>
    <mergeCell ref="P226:P227"/>
    <mergeCell ref="B123:C123"/>
    <mergeCell ref="P1288:P1289"/>
    <mergeCell ref="H769:I769"/>
    <mergeCell ref="R291:R292"/>
    <mergeCell ref="D1369:E1369"/>
    <mergeCell ref="K1512:K1513"/>
    <mergeCell ref="L277:L278"/>
    <mergeCell ref="M1158:M1159"/>
    <mergeCell ref="R13:R14"/>
    <mergeCell ref="P526:P527"/>
    <mergeCell ref="M832:M833"/>
    <mergeCell ref="Q1407:Q1408"/>
    <mergeCell ref="O461:O462"/>
    <mergeCell ref="K27:K28"/>
    <mergeCell ref="M1115:M1116"/>
    <mergeCell ref="L750:L751"/>
    <mergeCell ref="F1645:I1645"/>
    <mergeCell ref="P1614:P1615"/>
    <mergeCell ref="J1421:J1422"/>
    <mergeCell ref="B902:C902"/>
    <mergeCell ref="L424:L425"/>
    <mergeCell ref="K1240:K1241"/>
    <mergeCell ref="J400:L400"/>
    <mergeCell ref="K1540:K1541"/>
    <mergeCell ref="D205:E205"/>
    <mergeCell ref="M543:M544"/>
    <mergeCell ref="B808:C808"/>
    <mergeCell ref="J1049:L1049"/>
    <mergeCell ref="A203:A204"/>
    <mergeCell ref="J413:J414"/>
    <mergeCell ref="P1668:P1669"/>
    <mergeCell ref="B1726:H1726"/>
    <mergeCell ref="B810:H810"/>
    <mergeCell ref="J1463:L1463"/>
    <mergeCell ref="N206:N207"/>
    <mergeCell ref="J1132:J1133"/>
    <mergeCell ref="J713:J714"/>
    <mergeCell ref="J460:L460"/>
    <mergeCell ref="R971:R972"/>
    <mergeCell ref="H1123:I1123"/>
    <mergeCell ref="H1117:I1117"/>
    <mergeCell ref="A350:A351"/>
    <mergeCell ref="F56:I56"/>
    <mergeCell ref="J760:L760"/>
    <mergeCell ref="R1271:R1272"/>
    <mergeCell ref="A982:A983"/>
    <mergeCell ref="J1127:J1128"/>
    <mergeCell ref="H1423:I1423"/>
    <mergeCell ref="Q1761:Q1762"/>
    <mergeCell ref="L804:L805"/>
    <mergeCell ref="B950:C950"/>
    <mergeCell ref="L1104:L1105"/>
    <mergeCell ref="N107:N108"/>
    <mergeCell ref="K282:K283"/>
    <mergeCell ref="D253:E253"/>
    <mergeCell ref="L1404:L1405"/>
    <mergeCell ref="D885:E885"/>
    <mergeCell ref="N407:N408"/>
    <mergeCell ref="R982:R983"/>
    <mergeCell ref="O226:O227"/>
    <mergeCell ref="M1223:M1224"/>
    <mergeCell ref="O1288:O1289"/>
    <mergeCell ref="Q291:Q292"/>
    <mergeCell ref="H111:I111"/>
    <mergeCell ref="N580:N581"/>
    <mergeCell ref="J902:L902"/>
    <mergeCell ref="R1413:R1414"/>
    <mergeCell ref="B620:L620"/>
    <mergeCell ref="B978:C978"/>
    <mergeCell ref="K124:K125"/>
    <mergeCell ref="H106:I106"/>
    <mergeCell ref="D1032:E1032"/>
    <mergeCell ref="A1036:A1037"/>
    <mergeCell ref="B99:H99"/>
    <mergeCell ref="M1370:M1371"/>
    <mergeCell ref="D613:E613"/>
    <mergeCell ref="A1030:A1031"/>
    <mergeCell ref="B1724:C1724"/>
    <mergeCell ref="L1246:L1247"/>
    <mergeCell ref="K424:K425"/>
    <mergeCell ref="J1114:L1114"/>
    <mergeCell ref="L1546:L1547"/>
    <mergeCell ref="K724:K725"/>
    <mergeCell ref="J1540:J1541"/>
    <mergeCell ref="L543:L544"/>
    <mergeCell ref="F257:I257"/>
    <mergeCell ref="O1430:O1431"/>
    <mergeCell ref="F889:I889"/>
    <mergeCell ref="O668:O669"/>
    <mergeCell ref="F557:I557"/>
    <mergeCell ref="N146:N147"/>
    <mergeCell ref="A1178:A1179"/>
    <mergeCell ref="O1642:O1643"/>
    <mergeCell ref="Q645:Q646"/>
    <mergeCell ref="A1172:A1173"/>
    <mergeCell ref="D1429:E1429"/>
    <mergeCell ref="N934:N935"/>
    <mergeCell ref="Q1277:Q1278"/>
    <mergeCell ref="D1086:E1086"/>
    <mergeCell ref="A1478:A1479"/>
    <mergeCell ref="D1080:E1080"/>
    <mergeCell ref="B147:H147"/>
    <mergeCell ref="Q945:Q946"/>
    <mergeCell ref="N1234:N1235"/>
    <mergeCell ref="P237:P238"/>
    <mergeCell ref="J44:J45"/>
    <mergeCell ref="M107:M108"/>
    <mergeCell ref="K778:K779"/>
    <mergeCell ref="P537:P538"/>
    <mergeCell ref="L1659:L1660"/>
    <mergeCell ref="N662:N663"/>
    <mergeCell ref="F1331:I1331"/>
    <mergeCell ref="J1483:L1483"/>
    <mergeCell ref="K951:K952"/>
    <mergeCell ref="D1440:E1440"/>
    <mergeCell ref="N962:N963"/>
    <mergeCell ref="F1237:I1237"/>
    <mergeCell ref="K1251:K1252"/>
    <mergeCell ref="Q1413:Q1414"/>
    <mergeCell ref="M254:M255"/>
    <mergeCell ref="P597:P598"/>
    <mergeCell ref="A47:A48"/>
    <mergeCell ref="M554:M555"/>
    <mergeCell ref="P897:P898"/>
    <mergeCell ref="K1246:K1247"/>
    <mergeCell ref="J424:J425"/>
    <mergeCell ref="O1495:O1496"/>
    <mergeCell ref="Q1560:Q1561"/>
    <mergeCell ref="J724:J725"/>
    <mergeCell ref="Q1472:Q1473"/>
    <mergeCell ref="F1379:I1379"/>
    <mergeCell ref="N1761:N1762"/>
    <mergeCell ref="N1736:N1737"/>
    <mergeCell ref="M297:O297"/>
    <mergeCell ref="H562:I562"/>
    <mergeCell ref="P1064:P1065"/>
    <mergeCell ref="P1039:P1040"/>
    <mergeCell ref="O217:O218"/>
    <mergeCell ref="P1713:P1714"/>
    <mergeCell ref="M934:M935"/>
    <mergeCell ref="J566:J567"/>
    <mergeCell ref="H862:I862"/>
    <mergeCell ref="N1331:N1332"/>
    <mergeCell ref="M1240:M1241"/>
    <mergeCell ref="J866:J867"/>
    <mergeCell ref="O237:O238"/>
    <mergeCell ref="N1631:N1632"/>
    <mergeCell ref="B695:C695"/>
    <mergeCell ref="F373:I373"/>
    <mergeCell ref="J494:L494"/>
    <mergeCell ref="M1081:M1082"/>
    <mergeCell ref="P1424:P1425"/>
    <mergeCell ref="D324:E324"/>
    <mergeCell ref="J825:L825"/>
    <mergeCell ref="R727:R728"/>
    <mergeCell ref="M962:M963"/>
    <mergeCell ref="R1484:R1485"/>
    <mergeCell ref="H1636:I1636"/>
    <mergeCell ref="O265:O266"/>
    <mergeCell ref="J1399:J1400"/>
    <mergeCell ref="H1242:I1242"/>
    <mergeCell ref="M1382:M1383"/>
    <mergeCell ref="J1557:J1558"/>
    <mergeCell ref="L560:L561"/>
    <mergeCell ref="L554:L555"/>
    <mergeCell ref="R1396:R1397"/>
    <mergeCell ref="B706:C706"/>
    <mergeCell ref="H1542:I1542"/>
    <mergeCell ref="P1566:P1567"/>
    <mergeCell ref="B1463:C1463"/>
    <mergeCell ref="B1230:H1230"/>
    <mergeCell ref="J1552:J1553"/>
    <mergeCell ref="D9:E9"/>
    <mergeCell ref="L1617:L1618"/>
    <mergeCell ref="N778:N779"/>
    <mergeCell ref="B1375:C1375"/>
    <mergeCell ref="R869:R870"/>
    <mergeCell ref="A770:A771"/>
    <mergeCell ref="J1599:L1599"/>
    <mergeCell ref="P81:P82"/>
    <mergeCell ref="R1169:R1170"/>
    <mergeCell ref="A1070:A1071"/>
    <mergeCell ref="D63:E63"/>
    <mergeCell ref="L702:L703"/>
    <mergeCell ref="O1064:O1065"/>
    <mergeCell ref="L696:L697"/>
    <mergeCell ref="O1039:O1040"/>
    <mergeCell ref="N373:N374"/>
    <mergeCell ref="A1243:A1244"/>
    <mergeCell ref="H1684:I1684"/>
    <mergeCell ref="O1370:O1371"/>
    <mergeCell ref="B1086:C1086"/>
    <mergeCell ref="J1327:L1327"/>
    <mergeCell ref="K180:K181"/>
    <mergeCell ref="D1151:E1151"/>
    <mergeCell ref="B218:H218"/>
    <mergeCell ref="N648:N649"/>
    <mergeCell ref="F1342:I1342"/>
    <mergeCell ref="J1627:L1627"/>
    <mergeCell ref="B1517:C1517"/>
    <mergeCell ref="K200:K201"/>
    <mergeCell ref="Q1430:Q1431"/>
    <mergeCell ref="F639:I639"/>
    <mergeCell ref="Q95:Q96"/>
    <mergeCell ref="P25:R25"/>
    <mergeCell ref="R1549:R1550"/>
    <mergeCell ref="K16:K17"/>
    <mergeCell ref="N359:N360"/>
    <mergeCell ref="Q401:Q402"/>
    <mergeCell ref="F634:I634"/>
    <mergeCell ref="B1114:C1114"/>
    <mergeCell ref="F308:I308"/>
    <mergeCell ref="B1228:C1228"/>
    <mergeCell ref="O1093:O1094"/>
    <mergeCell ref="B360:H360"/>
    <mergeCell ref="Q1158:Q1159"/>
    <mergeCell ref="L1382:L1383"/>
    <mergeCell ref="N1447:N1448"/>
    <mergeCell ref="J1375:L1375"/>
    <mergeCell ref="F1722:I1722"/>
    <mergeCell ref="A1597:A1598"/>
    <mergeCell ref="L1682:L1683"/>
    <mergeCell ref="K991:K992"/>
    <mergeCell ref="P750:P751"/>
    <mergeCell ref="O1566:O1567"/>
    <mergeCell ref="D1505:E1505"/>
    <mergeCell ref="Q869:Q870"/>
    <mergeCell ref="Q1543:Q1544"/>
    <mergeCell ref="J583:J584"/>
    <mergeCell ref="F1450:I1450"/>
    <mergeCell ref="M1402:O1402"/>
    <mergeCell ref="O81:O82"/>
    <mergeCell ref="Q1169:Q1170"/>
    <mergeCell ref="F1107:I1107"/>
    <mergeCell ref="B1198:L1198"/>
    <mergeCell ref="K702:K703"/>
    <mergeCell ref="B283:H283"/>
    <mergeCell ref="A1608:A1609"/>
    <mergeCell ref="N1370:N1371"/>
    <mergeCell ref="K1002:K1003"/>
    <mergeCell ref="J180:J181"/>
    <mergeCell ref="M648:M649"/>
    <mergeCell ref="K1302:K1303"/>
    <mergeCell ref="M305:M306"/>
    <mergeCell ref="F835:I835"/>
    <mergeCell ref="B1346:H1346"/>
    <mergeCell ref="M979:M980"/>
    <mergeCell ref="J611:J612"/>
    <mergeCell ref="P1430:P1431"/>
    <mergeCell ref="A1336:A1337"/>
    <mergeCell ref="F1135:I1135"/>
    <mergeCell ref="B941:H941"/>
    <mergeCell ref="Q1223:Q1224"/>
    <mergeCell ref="J1263:J1264"/>
    <mergeCell ref="B298:C298"/>
    <mergeCell ref="N1512:N1513"/>
    <mergeCell ref="J322:J323"/>
    <mergeCell ref="R580:R581"/>
    <mergeCell ref="B1241:H1241"/>
    <mergeCell ref="P1158:P1159"/>
    <mergeCell ref="H307:I307"/>
    <mergeCell ref="J622:J623"/>
    <mergeCell ref="M1121:M1122"/>
    <mergeCell ref="R461:R462"/>
    <mergeCell ref="J991:J992"/>
    <mergeCell ref="O750:O751"/>
    <mergeCell ref="J250:L250"/>
    <mergeCell ref="N1240:N1241"/>
    <mergeCell ref="B140:C140"/>
    <mergeCell ref="M418:M419"/>
    <mergeCell ref="O662:O663"/>
    <mergeCell ref="L294:L295"/>
    <mergeCell ref="B952:H952"/>
    <mergeCell ref="J1038:L1038"/>
    <mergeCell ref="K1688:K1689"/>
    <mergeCell ref="B440:C440"/>
    <mergeCell ref="J276:L276"/>
    <mergeCell ref="J1338:L1338"/>
    <mergeCell ref="P1169:P1170"/>
    <mergeCell ref="M1475:M1476"/>
    <mergeCell ref="O478:O479"/>
    <mergeCell ref="K1583:K1584"/>
    <mergeCell ref="J702:J703"/>
    <mergeCell ref="H998:I998"/>
    <mergeCell ref="M1132:M1133"/>
    <mergeCell ref="J370:J371"/>
    <mergeCell ref="J886:J887"/>
    <mergeCell ref="J1002:J1003"/>
    <mergeCell ref="H1429:I1429"/>
    <mergeCell ref="N70:N71"/>
    <mergeCell ref="K1399:K1400"/>
    <mergeCell ref="H1412:I1412"/>
    <mergeCell ref="B1219:C1219"/>
    <mergeCell ref="B825:C825"/>
    <mergeCell ref="B980:H980"/>
    <mergeCell ref="A220:A221"/>
    <mergeCell ref="J1302:J1303"/>
    <mergeCell ref="L305:L306"/>
    <mergeCell ref="O804:O805"/>
    <mergeCell ref="L979:L980"/>
    <mergeCell ref="J304:L304"/>
    <mergeCell ref="B1743:H1743"/>
    <mergeCell ref="B1131:C1131"/>
    <mergeCell ref="M1734:O1734"/>
    <mergeCell ref="D128:E128"/>
    <mergeCell ref="A520:A521"/>
    <mergeCell ref="J1149:J1150"/>
    <mergeCell ref="N282:N283"/>
    <mergeCell ref="J604:L604"/>
    <mergeCell ref="R988:R989"/>
    <mergeCell ref="H1140:I1140"/>
    <mergeCell ref="F73:I73"/>
    <mergeCell ref="J777:L777"/>
    <mergeCell ref="R1288:R1289"/>
    <mergeCell ref="H1440:I1440"/>
    <mergeCell ref="J1203:J1204"/>
    <mergeCell ref="O1583:O1584"/>
    <mergeCell ref="F379:I379"/>
    <mergeCell ref="Q580:Q581"/>
    <mergeCell ref="B967:C967"/>
    <mergeCell ref="O832:O833"/>
    <mergeCell ref="M1113:O1113"/>
    <mergeCell ref="L1121:L1122"/>
    <mergeCell ref="B1754:H1754"/>
    <mergeCell ref="N124:N125"/>
    <mergeCell ref="B1730:C1730"/>
    <mergeCell ref="K299:K300"/>
    <mergeCell ref="Q461:Q462"/>
    <mergeCell ref="B1273:C1273"/>
    <mergeCell ref="M1387:M1388"/>
    <mergeCell ref="P1370:P1371"/>
    <mergeCell ref="B909:L909"/>
    <mergeCell ref="B1267:C1267"/>
    <mergeCell ref="L1421:L1422"/>
    <mergeCell ref="D902:E902"/>
    <mergeCell ref="N424:N425"/>
    <mergeCell ref="J1403:L1403"/>
    <mergeCell ref="K294:K295"/>
    <mergeCell ref="B269:H269"/>
    <mergeCell ref="O543:O544"/>
    <mergeCell ref="R1430:R1431"/>
    <mergeCell ref="Q608:Q609"/>
    <mergeCell ref="F546:I546"/>
    <mergeCell ref="F1178:I1178"/>
    <mergeCell ref="N152:N153"/>
    <mergeCell ref="P1623:R1623"/>
    <mergeCell ref="L1132:L1133"/>
    <mergeCell ref="F427:I427"/>
    <mergeCell ref="J973:L973"/>
    <mergeCell ref="K441:K442"/>
    <mergeCell ref="N784:N785"/>
    <mergeCell ref="J1131:L1131"/>
    <mergeCell ref="F1478:I1478"/>
    <mergeCell ref="N452:N453"/>
    <mergeCell ref="Q934:Q935"/>
    <mergeCell ref="K741:K742"/>
    <mergeCell ref="D1718:E1718"/>
    <mergeCell ref="Q1566:Q1567"/>
    <mergeCell ref="M376:M377"/>
    <mergeCell ref="M44:M45"/>
    <mergeCell ref="H18:I18"/>
    <mergeCell ref="F1200:I1200"/>
    <mergeCell ref="O1501:O1502"/>
    <mergeCell ref="O1659:O1660"/>
    <mergeCell ref="H324:I324"/>
    <mergeCell ref="K1067:K1068"/>
    <mergeCell ref="F1506:I1506"/>
    <mergeCell ref="B496:H496"/>
    <mergeCell ref="N951:N952"/>
    <mergeCell ref="Q1294:Q1295"/>
    <mergeCell ref="Q1288:Q1289"/>
    <mergeCell ref="M129:M130"/>
    <mergeCell ref="D1097:E1097"/>
    <mergeCell ref="A1489:A1490"/>
    <mergeCell ref="B796:H796"/>
    <mergeCell ref="N1251:N1252"/>
    <mergeCell ref="Q1594:Q1595"/>
    <mergeCell ref="B151:C151"/>
    <mergeCell ref="N832:N833"/>
    <mergeCell ref="F1501:I1501"/>
    <mergeCell ref="H378:I378"/>
    <mergeCell ref="K1121:K1122"/>
    <mergeCell ref="M124:M125"/>
    <mergeCell ref="H52:I52"/>
    <mergeCell ref="O189:O190"/>
    <mergeCell ref="L1518:L1519"/>
    <mergeCell ref="K1421:K1422"/>
    <mergeCell ref="M424:M425"/>
    <mergeCell ref="J1753:J1754"/>
    <mergeCell ref="H352:I352"/>
    <mergeCell ref="D1457:E1457"/>
    <mergeCell ref="N979:N980"/>
    <mergeCell ref="K1110:K1111"/>
    <mergeCell ref="F1254:I1254"/>
    <mergeCell ref="B697:H697"/>
    <mergeCell ref="P614:P615"/>
    <mergeCell ref="B691:H691"/>
    <mergeCell ref="L16:L17"/>
    <mergeCell ref="J15:L15"/>
    <mergeCell ref="Q1736:Q1737"/>
    <mergeCell ref="B997:H997"/>
    <mergeCell ref="M571:M572"/>
    <mergeCell ref="P914:P915"/>
    <mergeCell ref="K1263:K1264"/>
    <mergeCell ref="H63:I63"/>
    <mergeCell ref="J441:J442"/>
    <mergeCell ref="J315:L315"/>
    <mergeCell ref="P1113:R1113"/>
    <mergeCell ref="M566:M567"/>
    <mergeCell ref="J747:J748"/>
    <mergeCell ref="J741:J742"/>
    <mergeCell ref="O112:O113"/>
    <mergeCell ref="R1005:R1006"/>
    <mergeCell ref="H1151:I1151"/>
    <mergeCell ref="H732:I732"/>
    <mergeCell ref="M866:M867"/>
    <mergeCell ref="L44:L45"/>
    <mergeCell ref="B1470:L1470"/>
    <mergeCell ref="B196:C196"/>
    <mergeCell ref="L832:L833"/>
    <mergeCell ref="N1501:N1502"/>
    <mergeCell ref="B984:C984"/>
    <mergeCell ref="P1081:P1082"/>
    <mergeCell ref="N1659:N1660"/>
    <mergeCell ref="D1653:E1653"/>
    <mergeCell ref="P662:P663"/>
    <mergeCell ref="J783:L783"/>
    <mergeCell ref="B1377:H1377"/>
    <mergeCell ref="P962:P963"/>
    <mergeCell ref="H443:I443"/>
    <mergeCell ref="M1251:M1252"/>
    <mergeCell ref="O254:O255"/>
    <mergeCell ref="R597:R598"/>
    <mergeCell ref="L1583:L1584"/>
    <mergeCell ref="Q319:Q320"/>
    <mergeCell ref="B276:C276"/>
    <mergeCell ref="O554:O555"/>
    <mergeCell ref="N495:N496"/>
    <mergeCell ref="M821:M822"/>
    <mergeCell ref="D641:E641"/>
    <mergeCell ref="L730:L731"/>
    <mergeCell ref="B1519:H1519"/>
    <mergeCell ref="K452:K453"/>
    <mergeCell ref="N795:N796"/>
    <mergeCell ref="O282:O283"/>
    <mergeCell ref="J1416:J1417"/>
    <mergeCell ref="A1059:A1060"/>
    <mergeCell ref="L571:L572"/>
    <mergeCell ref="B723:C723"/>
    <mergeCell ref="H1559:I1559"/>
    <mergeCell ref="L877:L878"/>
    <mergeCell ref="R1039:R1040"/>
    <mergeCell ref="Q217:Q218"/>
    <mergeCell ref="R1713:R1714"/>
    <mergeCell ref="B1247:H1247"/>
    <mergeCell ref="F155:I155"/>
    <mergeCell ref="F149:I149"/>
    <mergeCell ref="L1634:L1635"/>
    <mergeCell ref="Q1005:Q1006"/>
    <mergeCell ref="D783:E783"/>
    <mergeCell ref="A787:A788"/>
    <mergeCell ref="B1547:H1547"/>
    <mergeCell ref="L872:L873"/>
    <mergeCell ref="M1538:O1538"/>
    <mergeCell ref="K50:K51"/>
    <mergeCell ref="Q1305:Q1306"/>
    <mergeCell ref="K44:K45"/>
    <mergeCell ref="N937:N938"/>
    <mergeCell ref="P1637:P1638"/>
    <mergeCell ref="P1631:P1632"/>
    <mergeCell ref="F1212:I1212"/>
    <mergeCell ref="D695:E695"/>
    <mergeCell ref="A1087:A1088"/>
    <mergeCell ref="R792:R793"/>
    <mergeCell ref="K832:K833"/>
    <mergeCell ref="D995:E995"/>
    <mergeCell ref="K1138:K1139"/>
    <mergeCell ref="M141:M142"/>
    <mergeCell ref="J1464:J1465"/>
    <mergeCell ref="Q384:Q385"/>
    <mergeCell ref="Q359:Q360"/>
    <mergeCell ref="M1249:O1249"/>
    <mergeCell ref="B235:H235"/>
    <mergeCell ref="N690:N691"/>
    <mergeCell ref="Q1033:Q1034"/>
    <mergeCell ref="A1560:A1561"/>
    <mergeCell ref="B1245:C1245"/>
    <mergeCell ref="B1403:C1403"/>
    <mergeCell ref="B222:C222"/>
    <mergeCell ref="O1268:O1269"/>
    <mergeCell ref="A798:A799"/>
    <mergeCell ref="L1399:L1400"/>
    <mergeCell ref="A1472:A1473"/>
    <mergeCell ref="N560:N561"/>
    <mergeCell ref="P625:P626"/>
    <mergeCell ref="N860:N861"/>
    <mergeCell ref="R1566:R1567"/>
    <mergeCell ref="D1463:E1463"/>
    <mergeCell ref="K1166:K1167"/>
    <mergeCell ref="O1257:O1258"/>
    <mergeCell ref="F651:I651"/>
    <mergeCell ref="N1617:N1618"/>
    <mergeCell ref="J458:J459"/>
    <mergeCell ref="J452:J453"/>
    <mergeCell ref="J1539:L1539"/>
    <mergeCell ref="Q1175:Q1176"/>
    <mergeCell ref="R81:R82"/>
    <mergeCell ref="Q1475:Q1476"/>
    <mergeCell ref="A1614:A1615"/>
    <mergeCell ref="N702:N703"/>
    <mergeCell ref="K877:K878"/>
    <mergeCell ref="J386:L386"/>
    <mergeCell ref="P767:P768"/>
    <mergeCell ref="B431:H431"/>
    <mergeCell ref="N1002:N1003"/>
    <mergeCell ref="M180:M181"/>
    <mergeCell ref="D1664:E1664"/>
    <mergeCell ref="H154:I154"/>
    <mergeCell ref="P648:P649"/>
    <mergeCell ref="M937:M938"/>
    <mergeCell ref="O1637:O1638"/>
    <mergeCell ref="H460:I460"/>
    <mergeCell ref="H454:I454"/>
    <mergeCell ref="B1215:L1215"/>
    <mergeCell ref="M1268:M1269"/>
    <mergeCell ref="R608:R609"/>
    <mergeCell ref="B142:H142"/>
    <mergeCell ref="B816:H816"/>
    <mergeCell ref="A1625:A1626"/>
    <mergeCell ref="L141:L142"/>
    <mergeCell ref="B287:C287"/>
    <mergeCell ref="J528:L528"/>
    <mergeCell ref="B442:H442"/>
    <mergeCell ref="B1116:H1116"/>
    <mergeCell ref="R36:R37"/>
    <mergeCell ref="L441:L442"/>
    <mergeCell ref="H182:I182"/>
    <mergeCell ref="M322:M323"/>
    <mergeCell ref="M838:M839"/>
    <mergeCell ref="L1654:L1655"/>
    <mergeCell ref="M996:M997"/>
    <mergeCell ref="B434:C434"/>
    <mergeCell ref="O299:O300"/>
    <mergeCell ref="B15:C15"/>
    <mergeCell ref="D1103:E1103"/>
    <mergeCell ref="M991:M992"/>
    <mergeCell ref="L588:L589"/>
    <mergeCell ref="R750:R751"/>
    <mergeCell ref="B958:H958"/>
    <mergeCell ref="P418:P419"/>
    <mergeCell ref="B315:C315"/>
    <mergeCell ref="J539:L539"/>
    <mergeCell ref="O294:O295"/>
    <mergeCell ref="L469:L470"/>
    <mergeCell ref="B1258:H1258"/>
    <mergeCell ref="A498:A499"/>
    <mergeCell ref="P1175:P1176"/>
    <mergeCell ref="J451:L451"/>
    <mergeCell ref="J87:J88"/>
    <mergeCell ref="D406:E406"/>
    <mergeCell ref="P1475:P1476"/>
    <mergeCell ref="R478:R479"/>
    <mergeCell ref="M702:M703"/>
    <mergeCell ref="J393:J394"/>
    <mergeCell ref="F1679:I1679"/>
    <mergeCell ref="O767:O768"/>
    <mergeCell ref="L311:L312"/>
    <mergeCell ref="Q70:Q71"/>
    <mergeCell ref="A209:A210"/>
    <mergeCell ref="K1574:K1575"/>
    <mergeCell ref="Q744:Q745"/>
    <mergeCell ref="B1732:H1732"/>
    <mergeCell ref="M603:O603"/>
    <mergeCell ref="O979:O980"/>
    <mergeCell ref="D117:E117"/>
    <mergeCell ref="L611:L612"/>
    <mergeCell ref="B1269:H1269"/>
    <mergeCell ref="P1734:R1734"/>
    <mergeCell ref="K1600:K1601"/>
    <mergeCell ref="J593:L593"/>
    <mergeCell ref="D417:E417"/>
    <mergeCell ref="A809:A810"/>
    <mergeCell ref="K203:K204"/>
    <mergeCell ref="J1209:J1210"/>
    <mergeCell ref="Q455:Q456"/>
    <mergeCell ref="F362:I362"/>
    <mergeCell ref="A237:A238"/>
    <mergeCell ref="L322:L323"/>
    <mergeCell ref="L838:L839"/>
    <mergeCell ref="L996:L997"/>
    <mergeCell ref="B990:C990"/>
    <mergeCell ref="F668:I668"/>
    <mergeCell ref="A543:A544"/>
    <mergeCell ref="D145:E145"/>
    <mergeCell ref="A537:A538"/>
    <mergeCell ref="L622:L623"/>
    <mergeCell ref="O1121:O1122"/>
    <mergeCell ref="N299:N300"/>
    <mergeCell ref="P1387:P1388"/>
    <mergeCell ref="A1325:A1326"/>
    <mergeCell ref="F574:I574"/>
    <mergeCell ref="K588:K589"/>
    <mergeCell ref="O1421:O1422"/>
    <mergeCell ref="O418:O419"/>
    <mergeCell ref="D1208:E1208"/>
    <mergeCell ref="R1305:R1306"/>
    <mergeCell ref="J1220:J1221"/>
    <mergeCell ref="F390:I390"/>
    <mergeCell ref="M1688:M1689"/>
    <mergeCell ref="K583:K584"/>
    <mergeCell ref="M1130:O1130"/>
    <mergeCell ref="K158:K159"/>
    <mergeCell ref="L1138:L1139"/>
    <mergeCell ref="N141:N142"/>
    <mergeCell ref="Q478:Q479"/>
    <mergeCell ref="D803:E803"/>
    <mergeCell ref="M1436:O1436"/>
    <mergeCell ref="L1438:L1439"/>
    <mergeCell ref="D919:E919"/>
    <mergeCell ref="N441:N442"/>
    <mergeCell ref="F716:I716"/>
    <mergeCell ref="B807:L807"/>
    <mergeCell ref="J1420:L1420"/>
    <mergeCell ref="B1670:C1670"/>
    <mergeCell ref="K311:K312"/>
    <mergeCell ref="P70:P71"/>
    <mergeCell ref="M1399:M1400"/>
    <mergeCell ref="D1219:E1219"/>
    <mergeCell ref="N741:N742"/>
    <mergeCell ref="A1223:A1224"/>
    <mergeCell ref="K611:K612"/>
    <mergeCell ref="D1131:E1131"/>
    <mergeCell ref="L1008:L1009"/>
    <mergeCell ref="J1600:J1601"/>
    <mergeCell ref="H199:I199"/>
    <mergeCell ref="L1665:L1666"/>
    <mergeCell ref="F444:I444"/>
    <mergeCell ref="J990:L990"/>
    <mergeCell ref="D814:E814"/>
    <mergeCell ref="J203:J204"/>
    <mergeCell ref="A1370:A1371"/>
    <mergeCell ref="F744:I744"/>
    <mergeCell ref="J1290:L1290"/>
    <mergeCell ref="B32:C32"/>
    <mergeCell ref="P129:P130"/>
    <mergeCell ref="B26:C26"/>
    <mergeCell ref="Q1583:Q1584"/>
    <mergeCell ref="K322:K323"/>
    <mergeCell ref="P886:P887"/>
    <mergeCell ref="P124:P125"/>
    <mergeCell ref="O1387:O1388"/>
    <mergeCell ref="D1273:E1273"/>
    <mergeCell ref="R1370:R1371"/>
    <mergeCell ref="R189:R190"/>
    <mergeCell ref="J1742:J1743"/>
    <mergeCell ref="P603:R603"/>
    <mergeCell ref="J1675:L1675"/>
    <mergeCell ref="Q1311:Q1312"/>
    <mergeCell ref="B572:H572"/>
    <mergeCell ref="B1334:L1334"/>
    <mergeCell ref="L22:L23"/>
    <mergeCell ref="L1688:L1689"/>
    <mergeCell ref="M288:M289"/>
    <mergeCell ref="N1268:N1269"/>
    <mergeCell ref="Q1611:Q1612"/>
    <mergeCell ref="B1640:L1640"/>
    <mergeCell ref="M314:O314"/>
    <mergeCell ref="J158:J159"/>
    <mergeCell ref="B567:H567"/>
    <mergeCell ref="P1203:P1204"/>
    <mergeCell ref="K1438:K1439"/>
    <mergeCell ref="B867:H867"/>
    <mergeCell ref="A107:A108"/>
    <mergeCell ref="M441:M442"/>
    <mergeCell ref="N1322:N1323"/>
    <mergeCell ref="Q1206:Q1207"/>
    <mergeCell ref="M741:M742"/>
    <mergeCell ref="R87:R88"/>
    <mergeCell ref="M25:O25"/>
    <mergeCell ref="B528:C528"/>
    <mergeCell ref="Q1506:Q1507"/>
    <mergeCell ref="F1413:I1413"/>
    <mergeCell ref="J32:L32"/>
    <mergeCell ref="O44:O45"/>
    <mergeCell ref="K1008:K1009"/>
    <mergeCell ref="A254:A255"/>
    <mergeCell ref="B828:C828"/>
    <mergeCell ref="A248:A249"/>
    <mergeCell ref="K1339:K1340"/>
    <mergeCell ref="R234:R235"/>
    <mergeCell ref="P951:P952"/>
    <mergeCell ref="B1009:H1009"/>
    <mergeCell ref="O129:O130"/>
    <mergeCell ref="H1168:I1168"/>
    <mergeCell ref="H749:I749"/>
    <mergeCell ref="M59:O59"/>
    <mergeCell ref="B1154:C1154"/>
    <mergeCell ref="F101:I101"/>
    <mergeCell ref="D157:E157"/>
    <mergeCell ref="R254:R255"/>
    <mergeCell ref="L61:L62"/>
    <mergeCell ref="A707:A708"/>
    <mergeCell ref="R903:R904"/>
    <mergeCell ref="P826:P827"/>
    <mergeCell ref="H1049:I1049"/>
    <mergeCell ref="Q189:Q190"/>
    <mergeCell ref="D1670:E1670"/>
    <mergeCell ref="M1147:O1147"/>
    <mergeCell ref="O1492:O1493"/>
    <mergeCell ref="Q495:Q496"/>
    <mergeCell ref="P821:P822"/>
    <mergeCell ref="A146:A147"/>
    <mergeCell ref="A277:A278"/>
    <mergeCell ref="J1106:L1106"/>
    <mergeCell ref="K22:K23"/>
    <mergeCell ref="M1110:M1111"/>
    <mergeCell ref="L288:L289"/>
    <mergeCell ref="A934:A935"/>
    <mergeCell ref="R614:R615"/>
    <mergeCell ref="D185:E185"/>
    <mergeCell ref="H760:I760"/>
    <mergeCell ref="J1591:J1592"/>
    <mergeCell ref="A1234:A1235"/>
    <mergeCell ref="O571:O572"/>
    <mergeCell ref="L719:L720"/>
    <mergeCell ref="R914:R915"/>
    <mergeCell ref="J954:J955"/>
    <mergeCell ref="J1586:J1587"/>
    <mergeCell ref="M739:O739"/>
    <mergeCell ref="D658:E658"/>
    <mergeCell ref="Q523:Q524"/>
    <mergeCell ref="A662:A663"/>
    <mergeCell ref="L747:L748"/>
    <mergeCell ref="P1506:P1507"/>
    <mergeCell ref="H1735:I1735"/>
    <mergeCell ref="A962:A963"/>
    <mergeCell ref="A1076:A1077"/>
    <mergeCell ref="H1576:I1576"/>
    <mergeCell ref="J1339:J1340"/>
    <mergeCell ref="B51:H51"/>
    <mergeCell ref="A1376:A1377"/>
    <mergeCell ref="Q234:Q235"/>
    <mergeCell ref="B263:L263"/>
    <mergeCell ref="L642:L643"/>
    <mergeCell ref="J1728:J1729"/>
    <mergeCell ref="A804:A805"/>
    <mergeCell ref="F472:I472"/>
    <mergeCell ref="B1045:L1045"/>
    <mergeCell ref="M1555:O1555"/>
    <mergeCell ref="Q1322:Q1323"/>
    <mergeCell ref="K61:K62"/>
    <mergeCell ref="P1654:P1655"/>
    <mergeCell ref="B1551:C1551"/>
    <mergeCell ref="A1104:A1105"/>
    <mergeCell ref="J1381:L1381"/>
    <mergeCell ref="A1761:A1762"/>
    <mergeCell ref="R1441:R1442"/>
    <mergeCell ref="A1404:A1405"/>
    <mergeCell ref="J1481:J1482"/>
    <mergeCell ref="M39:M40"/>
    <mergeCell ref="D939:E939"/>
    <mergeCell ref="A1331:A1332"/>
    <mergeCell ref="L1416:L1417"/>
    <mergeCell ref="K719:K720"/>
    <mergeCell ref="J1409:L1409"/>
    <mergeCell ref="D723:E723"/>
    <mergeCell ref="B306:H306"/>
    <mergeCell ref="D1239:E1239"/>
    <mergeCell ref="A1631:A1632"/>
    <mergeCell ref="N877:N878"/>
    <mergeCell ref="J43:L43"/>
    <mergeCell ref="J1709:L1709"/>
    <mergeCell ref="D1539:E1539"/>
    <mergeCell ref="P523:P524"/>
    <mergeCell ref="B720:H720"/>
    <mergeCell ref="F1484:I1484"/>
    <mergeCell ref="P937:P938"/>
    <mergeCell ref="O115:O116"/>
    <mergeCell ref="B17:H17"/>
    <mergeCell ref="N472:N473"/>
    <mergeCell ref="M1708:O1708"/>
    <mergeCell ref="F880:I880"/>
    <mergeCell ref="K894:K895"/>
    <mergeCell ref="B317:H317"/>
    <mergeCell ref="D1381:E1381"/>
    <mergeCell ref="B448:H448"/>
    <mergeCell ref="M1138:M1139"/>
    <mergeCell ref="O141:O142"/>
    <mergeCell ref="K1710:K1711"/>
    <mergeCell ref="P532:P533"/>
    <mergeCell ref="D1681:E1681"/>
    <mergeCell ref="P690:P691"/>
    <mergeCell ref="F869:I869"/>
    <mergeCell ref="M954:M955"/>
    <mergeCell ref="R325:R326"/>
    <mergeCell ref="B1380:H1380"/>
    <mergeCell ref="O1654:O1655"/>
    <mergeCell ref="P996:P997"/>
    <mergeCell ref="H471:I471"/>
    <mergeCell ref="F1169:I1169"/>
    <mergeCell ref="R625:R626"/>
    <mergeCell ref="B159:H159"/>
    <mergeCell ref="J665:J666"/>
    <mergeCell ref="M1008:M1009"/>
    <mergeCell ref="M1166:M1167"/>
    <mergeCell ref="B304:C304"/>
    <mergeCell ref="B459:H459"/>
    <mergeCell ref="Q1257:Q1258"/>
    <mergeCell ref="J1297:J1298"/>
    <mergeCell ref="M450:O450"/>
    <mergeCell ref="B1133:H1133"/>
    <mergeCell ref="A373:A374"/>
    <mergeCell ref="R53:R54"/>
    <mergeCell ref="L458:L459"/>
    <mergeCell ref="L452:L453"/>
    <mergeCell ref="J293:L293"/>
    <mergeCell ref="B604:C604"/>
    <mergeCell ref="H1446:I1446"/>
    <mergeCell ref="D256:E256"/>
    <mergeCell ref="R353:R354"/>
    <mergeCell ref="L758:L759"/>
    <mergeCell ref="K1090:K1091"/>
    <mergeCell ref="M1155:M1156"/>
    <mergeCell ref="J376:J377"/>
    <mergeCell ref="L186:L187"/>
    <mergeCell ref="N1274:N1275"/>
    <mergeCell ref="F1549:I1549"/>
    <mergeCell ref="O311:O312"/>
    <mergeCell ref="L486:L487"/>
    <mergeCell ref="A384:A385"/>
    <mergeCell ref="N1574:N1575"/>
    <mergeCell ref="B1275:H1275"/>
    <mergeCell ref="M892:O892"/>
    <mergeCell ref="A815:A816"/>
    <mergeCell ref="Q271:Q272"/>
    <mergeCell ref="N1600:N1601"/>
    <mergeCell ref="J1225:L1225"/>
    <mergeCell ref="K78:K79"/>
    <mergeCell ref="R1152:R1153"/>
    <mergeCell ref="J404:J405"/>
    <mergeCell ref="P1665:P1666"/>
    <mergeCell ref="P688:R688"/>
    <mergeCell ref="B859:C859"/>
    <mergeCell ref="R707:R708"/>
    <mergeCell ref="J1498:J1499"/>
    <mergeCell ref="J1492:J1493"/>
    <mergeCell ref="O838:O839"/>
    <mergeCell ref="O996:O997"/>
    <mergeCell ref="B1286:H1286"/>
    <mergeCell ref="B416:L416"/>
    <mergeCell ref="J1126:L1126"/>
    <mergeCell ref="Q299:Q300"/>
    <mergeCell ref="A413:A414"/>
    <mergeCell ref="D1083:E1083"/>
    <mergeCell ref="A1475:A1476"/>
    <mergeCell ref="F206:I206"/>
    <mergeCell ref="H1174:I1174"/>
    <mergeCell ref="N588:N589"/>
    <mergeCell ref="J910:L910"/>
    <mergeCell ref="J1426:L1426"/>
    <mergeCell ref="D321:E321"/>
    <mergeCell ref="R418:R419"/>
    <mergeCell ref="M197:M198"/>
    <mergeCell ref="B1007:C1007"/>
    <mergeCell ref="B1001:C1001"/>
    <mergeCell ref="J1090:J1091"/>
    <mergeCell ref="A554:A555"/>
    <mergeCell ref="L1155:L1156"/>
    <mergeCell ref="N158:N159"/>
    <mergeCell ref="O1138:O1139"/>
    <mergeCell ref="N316:N317"/>
    <mergeCell ref="F591:I591"/>
    <mergeCell ref="M1274:M1275"/>
    <mergeCell ref="O1438:O1439"/>
    <mergeCell ref="J1437:L1437"/>
    <mergeCell ref="P1399:P1400"/>
    <mergeCell ref="M1574:M1575"/>
    <mergeCell ref="B1096:L1096"/>
    <mergeCell ref="B1091:H1091"/>
    <mergeCell ref="A1512:A1513"/>
    <mergeCell ref="P707:P708"/>
    <mergeCell ref="R1376:R1377"/>
    <mergeCell ref="O1665:O1666"/>
    <mergeCell ref="L1297:L1298"/>
    <mergeCell ref="H69:I69"/>
    <mergeCell ref="R1676:R1677"/>
    <mergeCell ref="F733:I733"/>
    <mergeCell ref="N1090:N1091"/>
    <mergeCell ref="B1687:C1687"/>
    <mergeCell ref="L1209:L1210"/>
    <mergeCell ref="P87:P88"/>
    <mergeCell ref="A1240:A1241"/>
    <mergeCell ref="H369:I369"/>
    <mergeCell ref="F1033:I1033"/>
    <mergeCell ref="N838:N839"/>
    <mergeCell ref="J1579:L1579"/>
    <mergeCell ref="N1390:N1391"/>
    <mergeCell ref="P393:P394"/>
    <mergeCell ref="L1509:L1510"/>
    <mergeCell ref="D990:E990"/>
    <mergeCell ref="B57:H57"/>
    <mergeCell ref="A1540:A1541"/>
    <mergeCell ref="R64:R65"/>
    <mergeCell ref="O1393:O1394"/>
    <mergeCell ref="K801:K802"/>
    <mergeCell ref="H216:I216"/>
    <mergeCell ref="K795:K796"/>
    <mergeCell ref="P299:P300"/>
    <mergeCell ref="B1145:H1145"/>
    <mergeCell ref="N985:N986"/>
    <mergeCell ref="B204:H204"/>
    <mergeCell ref="B43:C43"/>
    <mergeCell ref="B198:H198"/>
    <mergeCell ref="M195:O195"/>
    <mergeCell ref="L1220:L1221"/>
    <mergeCell ref="L197:L198"/>
    <mergeCell ref="K529:K530"/>
    <mergeCell ref="P288:P289"/>
    <mergeCell ref="K1161:K1162"/>
    <mergeCell ref="K1155:K1156"/>
    <mergeCell ref="M158:M159"/>
    <mergeCell ref="N1138:N1139"/>
    <mergeCell ref="P141:P142"/>
    <mergeCell ref="M316:M317"/>
    <mergeCell ref="K829:K830"/>
    <mergeCell ref="R206:R207"/>
    <mergeCell ref="J121:J122"/>
    <mergeCell ref="J115:J116"/>
    <mergeCell ref="D1432:E1432"/>
    <mergeCell ref="P441:P442"/>
    <mergeCell ref="J421:J422"/>
    <mergeCell ref="H264:I264"/>
    <mergeCell ref="F1288:I1288"/>
    <mergeCell ref="H896:I896"/>
    <mergeCell ref="R376:R377"/>
    <mergeCell ref="J1687:L1687"/>
    <mergeCell ref="O707:O708"/>
    <mergeCell ref="J49:L49"/>
    <mergeCell ref="N1671:N1672"/>
    <mergeCell ref="N1665:N1666"/>
    <mergeCell ref="K1297:K1298"/>
    <mergeCell ref="P668:P669"/>
    <mergeCell ref="J475:J476"/>
    <mergeCell ref="B884:H884"/>
    <mergeCell ref="A124:A125"/>
    <mergeCell ref="M974:M975"/>
    <mergeCell ref="A118:A119"/>
    <mergeCell ref="M875:O875"/>
    <mergeCell ref="K1628:K1629"/>
    <mergeCell ref="B871:C871"/>
    <mergeCell ref="K1209:K1210"/>
    <mergeCell ref="P968:P969"/>
    <mergeCell ref="B1029:C1029"/>
    <mergeCell ref="D32:E32"/>
    <mergeCell ref="A424:A425"/>
    <mergeCell ref="R129:R130"/>
    <mergeCell ref="O277:O278"/>
    <mergeCell ref="P1731:P1732"/>
    <mergeCell ref="F1430:I1430"/>
    <mergeCell ref="O61:O62"/>
    <mergeCell ref="O577:O578"/>
    <mergeCell ref="H1038:I1038"/>
    <mergeCell ref="J801:J802"/>
    <mergeCell ref="A265:A266"/>
    <mergeCell ref="N27:N28"/>
    <mergeCell ref="P1115:P1116"/>
    <mergeCell ref="Q1518:Q1519"/>
    <mergeCell ref="J349:L349"/>
    <mergeCell ref="H1338:I1338"/>
    <mergeCell ref="M229:O229"/>
    <mergeCell ref="J429:L429"/>
    <mergeCell ref="J981:L981"/>
    <mergeCell ref="A260:A261"/>
    <mergeCell ref="D60:E60"/>
    <mergeCell ref="N22:N23"/>
    <mergeCell ref="P1110:P1111"/>
    <mergeCell ref="J948:J949"/>
    <mergeCell ref="M1291:M1292"/>
    <mergeCell ref="J529:J530"/>
    <mergeCell ref="O288:O289"/>
    <mergeCell ref="A566:A567"/>
    <mergeCell ref="R271:R272"/>
    <mergeCell ref="M1317:O1317"/>
    <mergeCell ref="K1651:K1652"/>
    <mergeCell ref="J829:J830"/>
    <mergeCell ref="J576:L576"/>
    <mergeCell ref="O957:O958"/>
    <mergeCell ref="O1509:O1510"/>
    <mergeCell ref="B610:C610"/>
    <mergeCell ref="J876:L876"/>
    <mergeCell ref="J1243:J1244"/>
    <mergeCell ref="O747:O748"/>
    <mergeCell ref="M1045:O1045"/>
    <mergeCell ref="B1553:H1553"/>
    <mergeCell ref="B1711:H1711"/>
    <mergeCell ref="A951:A952"/>
    <mergeCell ref="J871:L871"/>
    <mergeCell ref="M1433:M1434"/>
    <mergeCell ref="J1029:L1029"/>
    <mergeCell ref="A1251:A1252"/>
    <mergeCell ref="O1104:O1105"/>
    <mergeCell ref="M1339:M1340"/>
    <mergeCell ref="B1126:C1126"/>
    <mergeCell ref="O1404:O1405"/>
    <mergeCell ref="J1628:J1629"/>
    <mergeCell ref="J1603:J1604"/>
    <mergeCell ref="M756:O756"/>
    <mergeCell ref="B241:H241"/>
    <mergeCell ref="N277:N278"/>
    <mergeCell ref="B1426:C1426"/>
    <mergeCell ref="O1274:O1275"/>
    <mergeCell ref="J1650:L1650"/>
    <mergeCell ref="A979:A980"/>
    <mergeCell ref="P1555:R1555"/>
    <mergeCell ref="K240:K241"/>
    <mergeCell ref="N577:N578"/>
    <mergeCell ref="H222:I222"/>
    <mergeCell ref="D729:E729"/>
    <mergeCell ref="R826:R827"/>
    <mergeCell ref="J1562:L1562"/>
    <mergeCell ref="J1556:L1556"/>
    <mergeCell ref="M27:M28"/>
    <mergeCell ref="J982:J983"/>
    <mergeCell ref="D1143:E1143"/>
    <mergeCell ref="B210:H210"/>
    <mergeCell ref="L659:L660"/>
    <mergeCell ref="F489:I489"/>
    <mergeCell ref="J610:L610"/>
    <mergeCell ref="B1437:C1437"/>
    <mergeCell ref="B1568:C1568"/>
    <mergeCell ref="M328:M329"/>
    <mergeCell ref="O1416:O1417"/>
    <mergeCell ref="K251:K252"/>
    <mergeCell ref="L1722:L1723"/>
    <mergeCell ref="N719:N720"/>
    <mergeCell ref="B595:H595"/>
    <mergeCell ref="Q877:Q878"/>
    <mergeCell ref="D1109:E1109"/>
    <mergeCell ref="B895:H895"/>
    <mergeCell ref="F359:I359"/>
    <mergeCell ref="P812:P813"/>
    <mergeCell ref="O1144:O1145"/>
    <mergeCell ref="A1348:A1349"/>
    <mergeCell ref="L1433:L1434"/>
    <mergeCell ref="F1141:I1141"/>
    <mergeCell ref="B1579:C1579"/>
    <mergeCell ref="R115:R116"/>
    <mergeCell ref="O1444:O1445"/>
    <mergeCell ref="Q447:Q448"/>
    <mergeCell ref="D1256:E1256"/>
    <mergeCell ref="B323:H323"/>
    <mergeCell ref="A1648:A1649"/>
    <mergeCell ref="K911:K912"/>
    <mergeCell ref="Q1229:Q1230"/>
    <mergeCell ref="N1410:N1411"/>
    <mergeCell ref="P413:P414"/>
    <mergeCell ref="N1404:N1405"/>
    <mergeCell ref="D1556:E1556"/>
    <mergeCell ref="B623:H623"/>
    <mergeCell ref="L1645:L1646"/>
    <mergeCell ref="B606:H606"/>
    <mergeCell ref="K274:K275"/>
    <mergeCell ref="N1710:N1711"/>
    <mergeCell ref="P713:P714"/>
    <mergeCell ref="B94:C94"/>
    <mergeCell ref="H477:I477"/>
    <mergeCell ref="J240:J241"/>
    <mergeCell ref="R1654:R1655"/>
    <mergeCell ref="O132:O133"/>
    <mergeCell ref="J540:J541"/>
    <mergeCell ref="F1458:I1458"/>
    <mergeCell ref="F1064:I1064"/>
    <mergeCell ref="F1039:I1039"/>
    <mergeCell ref="K1053:K1054"/>
    <mergeCell ref="N1552:N1553"/>
    <mergeCell ref="B1633:C1633"/>
    <mergeCell ref="F1370:I1370"/>
    <mergeCell ref="O458:O459"/>
    <mergeCell ref="B1422:H1422"/>
    <mergeCell ref="B1397:H1397"/>
    <mergeCell ref="O1671:O1672"/>
    <mergeCell ref="K1722:K1723"/>
    <mergeCell ref="R642:R643"/>
    <mergeCell ref="P761:P762"/>
    <mergeCell ref="H242:I242"/>
    <mergeCell ref="H794:I794"/>
    <mergeCell ref="P1393:P1394"/>
    <mergeCell ref="P178:R178"/>
    <mergeCell ref="Q1731:Q1732"/>
    <mergeCell ref="O186:O187"/>
    <mergeCell ref="B992:H992"/>
    <mergeCell ref="Q1274:Q1275"/>
    <mergeCell ref="J1314:J1315"/>
    <mergeCell ref="M467:O467"/>
    <mergeCell ref="B1150:H1150"/>
    <mergeCell ref="J179:L179"/>
    <mergeCell ref="J310:L310"/>
    <mergeCell ref="O486:O487"/>
    <mergeCell ref="Q1574:Q1575"/>
    <mergeCell ref="A16:A17"/>
    <mergeCell ref="A690:A691"/>
    <mergeCell ref="P1266:R1266"/>
    <mergeCell ref="L775:L776"/>
    <mergeCell ref="K1107:K1108"/>
    <mergeCell ref="K1101:K1102"/>
    <mergeCell ref="P1540:P1541"/>
    <mergeCell ref="F53:I53"/>
    <mergeCell ref="K1407:K1408"/>
    <mergeCell ref="J1042:J1043"/>
    <mergeCell ref="O413:O414"/>
    <mergeCell ref="B191:C191"/>
    <mergeCell ref="F1566:I1566"/>
    <mergeCell ref="J1342:J1343"/>
    <mergeCell ref="O713:O714"/>
    <mergeCell ref="P977:R977"/>
    <mergeCell ref="R838:R839"/>
    <mergeCell ref="Q1654:Q1655"/>
    <mergeCell ref="R996:R997"/>
    <mergeCell ref="B1279:C1279"/>
    <mergeCell ref="A832:A833"/>
    <mergeCell ref="F81:I81"/>
    <mergeCell ref="J627:L627"/>
    <mergeCell ref="K95:K96"/>
    <mergeCell ref="J1053:J1054"/>
    <mergeCell ref="P223:P224"/>
    <mergeCell ref="A702:A703"/>
    <mergeCell ref="M1552:M1553"/>
    <mergeCell ref="P1563:P1564"/>
    <mergeCell ref="J1296:L1296"/>
    <mergeCell ref="L1030:L1031"/>
    <mergeCell ref="H1369:I1369"/>
    <mergeCell ref="L1144:L1145"/>
    <mergeCell ref="D179:E179"/>
    <mergeCell ref="J1396:J1397"/>
    <mergeCell ref="O1155:O1156"/>
    <mergeCell ref="B1057:H1057"/>
    <mergeCell ref="Q316:Q317"/>
    <mergeCell ref="L1444:L1445"/>
    <mergeCell ref="N447:N448"/>
    <mergeCell ref="B1202:C1202"/>
    <mergeCell ref="B1177:C1177"/>
    <mergeCell ref="N186:N187"/>
    <mergeCell ref="A597:A598"/>
    <mergeCell ref="P1274:P1275"/>
    <mergeCell ref="J1443:L1443"/>
    <mergeCell ref="O1240:O1241"/>
    <mergeCell ref="N486:N487"/>
    <mergeCell ref="P1574:P1575"/>
    <mergeCell ref="J1107:J1108"/>
    <mergeCell ref="D1262:E1262"/>
    <mergeCell ref="O1540:O1541"/>
    <mergeCell ref="L1172:L1173"/>
    <mergeCell ref="M78:M79"/>
    <mergeCell ref="J1407:J1408"/>
    <mergeCell ref="R1665:R1666"/>
    <mergeCell ref="B45:H45"/>
    <mergeCell ref="N475:N476"/>
    <mergeCell ref="F750:I750"/>
    <mergeCell ref="K764:K765"/>
    <mergeCell ref="H358:I358"/>
    <mergeCell ref="B351:H351"/>
    <mergeCell ref="R1093:R1094"/>
    <mergeCell ref="L1498:L1499"/>
    <mergeCell ref="B1108:H1108"/>
    <mergeCell ref="O1382:O1383"/>
    <mergeCell ref="R1725:R1726"/>
    <mergeCell ref="D1296:E1296"/>
    <mergeCell ref="R1393:R1394"/>
    <mergeCell ref="O1682:O1683"/>
    <mergeCell ref="H86:I86"/>
    <mergeCell ref="M736:M737"/>
    <mergeCell ref="Q985:Q986"/>
    <mergeCell ref="H386:I386"/>
    <mergeCell ref="O197:O198"/>
    <mergeCell ref="D1007:E1007"/>
    <mergeCell ref="A1399:A1400"/>
    <mergeCell ref="A1424:A1425"/>
    <mergeCell ref="K818:K819"/>
    <mergeCell ref="N1155:N1156"/>
    <mergeCell ref="P158:P159"/>
    <mergeCell ref="B219:C219"/>
    <mergeCell ref="D1307:E1307"/>
    <mergeCell ref="P316:P317"/>
    <mergeCell ref="M447:M448"/>
    <mergeCell ref="O1710:O1711"/>
    <mergeCell ref="K1118:K1119"/>
    <mergeCell ref="F1277:I1277"/>
    <mergeCell ref="L56:L57"/>
    <mergeCell ref="N1302:N1303"/>
    <mergeCell ref="F1583:I1583"/>
    <mergeCell ref="J291:J292"/>
    <mergeCell ref="F1577:I1577"/>
    <mergeCell ref="K1172:K1173"/>
    <mergeCell ref="B114:C114"/>
    <mergeCell ref="Q1671:Q1672"/>
    <mergeCell ref="N1297:N1298"/>
    <mergeCell ref="K1478:K1479"/>
    <mergeCell ref="M475:M476"/>
    <mergeCell ref="J77:L77"/>
    <mergeCell ref="P974:P975"/>
    <mergeCell ref="J764:J765"/>
    <mergeCell ref="F1305:I1305"/>
    <mergeCell ref="Q1512:Q1513"/>
    <mergeCell ref="H913:I913"/>
    <mergeCell ref="M1563:M1564"/>
    <mergeCell ref="R393:R394"/>
    <mergeCell ref="J66:L66"/>
    <mergeCell ref="Q1393:Q1394"/>
    <mergeCell ref="F1725:I1725"/>
    <mergeCell ref="Q27:Q28"/>
    <mergeCell ref="A141:A142"/>
    <mergeCell ref="L736:L737"/>
    <mergeCell ref="B888:C888"/>
    <mergeCell ref="P985:P986"/>
    <mergeCell ref="A441:A442"/>
    <mergeCell ref="A435:A436"/>
    <mergeCell ref="N197:N198"/>
    <mergeCell ref="M529:M530"/>
    <mergeCell ref="R288:R289"/>
    <mergeCell ref="D349:E349"/>
    <mergeCell ref="O594:O595"/>
    <mergeCell ref="J818:J819"/>
    <mergeCell ref="H1114:I1114"/>
    <mergeCell ref="B1128:H1128"/>
    <mergeCell ref="M829:M830"/>
    <mergeCell ref="R1209:R1210"/>
    <mergeCell ref="J1118:J1119"/>
    <mergeCell ref="L121:L122"/>
    <mergeCell ref="F294:I294"/>
    <mergeCell ref="O464:O465"/>
    <mergeCell ref="J446:L446"/>
    <mergeCell ref="B1428:H1428"/>
    <mergeCell ref="R1509:R1510"/>
    <mergeCell ref="F1659:I1659"/>
    <mergeCell ref="B916:C916"/>
    <mergeCell ref="L421:L422"/>
    <mergeCell ref="K56:K57"/>
    <mergeCell ref="F594:I594"/>
    <mergeCell ref="J746:L746"/>
    <mergeCell ref="J752:L752"/>
    <mergeCell ref="P1045:R1045"/>
    <mergeCell ref="P1127:P1128"/>
    <mergeCell ref="M1302:M1303"/>
    <mergeCell ref="J546:J547"/>
    <mergeCell ref="O305:O306"/>
    <mergeCell ref="R804:R805"/>
    <mergeCell ref="M1334:O1334"/>
    <mergeCell ref="J1046:L1046"/>
    <mergeCell ref="M1608:M1609"/>
    <mergeCell ref="H1582:I1582"/>
    <mergeCell ref="R1104:R1105"/>
    <mergeCell ref="M1297:M1298"/>
    <mergeCell ref="R1736:R1737"/>
    <mergeCell ref="F189:I189"/>
    <mergeCell ref="B627:C627"/>
    <mergeCell ref="L149:L150"/>
    <mergeCell ref="R1404:R1405"/>
    <mergeCell ref="M1603:M1604"/>
    <mergeCell ref="O631:O632"/>
    <mergeCell ref="P756:R756"/>
    <mergeCell ref="L781:L782"/>
    <mergeCell ref="B1415:C1415"/>
    <mergeCell ref="O1280:O1281"/>
    <mergeCell ref="B1570:H1570"/>
    <mergeCell ref="Q277:Q278"/>
    <mergeCell ref="H97:I97"/>
    <mergeCell ref="L1569:L1570"/>
    <mergeCell ref="R1731:R1732"/>
    <mergeCell ref="L1563:L1564"/>
    <mergeCell ref="J888:L888"/>
    <mergeCell ref="B1715:C1715"/>
    <mergeCell ref="L1237:L1238"/>
    <mergeCell ref="D718:E718"/>
    <mergeCell ref="A1110:A1111"/>
    <mergeCell ref="Q577:Q578"/>
    <mergeCell ref="A1268:A1269"/>
    <mergeCell ref="H1610:I1610"/>
    <mergeCell ref="P27:P28"/>
    <mergeCell ref="B85:H85"/>
    <mergeCell ref="R1115:R1116"/>
    <mergeCell ref="J1645:J1646"/>
    <mergeCell ref="K410:K411"/>
    <mergeCell ref="B1443:C1443"/>
    <mergeCell ref="D446:E446"/>
    <mergeCell ref="A838:A839"/>
    <mergeCell ref="L948:L949"/>
    <mergeCell ref="O1291:O1292"/>
    <mergeCell ref="L1597:L1598"/>
    <mergeCell ref="N594:N595"/>
    <mergeCell ref="D746:E746"/>
    <mergeCell ref="O1591:O1592"/>
    <mergeCell ref="J1573:L1573"/>
    <mergeCell ref="B470:H470"/>
    <mergeCell ref="N900:N901"/>
    <mergeCell ref="F1175:I1175"/>
    <mergeCell ref="K121:K122"/>
    <mergeCell ref="D1046:E1046"/>
    <mergeCell ref="R1149:R1150"/>
    <mergeCell ref="J1515:J1516"/>
    <mergeCell ref="H624:I624"/>
    <mergeCell ref="O1433:O1434"/>
    <mergeCell ref="F254:I254"/>
    <mergeCell ref="Q430:Q431"/>
    <mergeCell ref="J30:J31"/>
    <mergeCell ref="A1637:A1638"/>
    <mergeCell ref="N736:N737"/>
    <mergeCell ref="M645:M646"/>
    <mergeCell ref="J1715:L1715"/>
    <mergeCell ref="N911:N912"/>
    <mergeCell ref="D1545:E1545"/>
    <mergeCell ref="B612:H612"/>
    <mergeCell ref="K149:K150"/>
    <mergeCell ref="N1042:N1043"/>
    <mergeCell ref="D1126:E1126"/>
    <mergeCell ref="B193:H193"/>
    <mergeCell ref="Q1404:Q1405"/>
    <mergeCell ref="Q1410:Q1411"/>
    <mergeCell ref="A1518:A1519"/>
    <mergeCell ref="B912:H912"/>
    <mergeCell ref="A152:A153"/>
    <mergeCell ref="D1426:E1426"/>
    <mergeCell ref="H1675:I1675"/>
    <mergeCell ref="H494:I494"/>
    <mergeCell ref="K1237:K1238"/>
    <mergeCell ref="M240:M241"/>
    <mergeCell ref="A452:A453"/>
    <mergeCell ref="R132:R133"/>
    <mergeCell ref="R648:R649"/>
    <mergeCell ref="L1750:L1751"/>
    <mergeCell ref="M540:M541"/>
    <mergeCell ref="B327:C327"/>
    <mergeCell ref="D1573:E1573"/>
    <mergeCell ref="L481:L482"/>
    <mergeCell ref="N1053:N1054"/>
    <mergeCell ref="F1328:I1328"/>
    <mergeCell ref="P724:P725"/>
    <mergeCell ref="A1203:A1204"/>
    <mergeCell ref="N965:N966"/>
    <mergeCell ref="M600:M601"/>
    <mergeCell ref="R359:R360"/>
    <mergeCell ref="D1568:E1568"/>
    <mergeCell ref="M268:M269"/>
    <mergeCell ref="M251:M252"/>
    <mergeCell ref="N1722:N1723"/>
    <mergeCell ref="J557:J558"/>
    <mergeCell ref="B38:C38"/>
    <mergeCell ref="M900:M901"/>
    <mergeCell ref="Q1149:Q1150"/>
    <mergeCell ref="L192:L193"/>
    <mergeCell ref="H548:I548"/>
    <mergeCell ref="M1200:M1201"/>
    <mergeCell ref="M1314:M1315"/>
    <mergeCell ref="P467:R467"/>
    <mergeCell ref="L492:L493"/>
    <mergeCell ref="N1433:N1434"/>
    <mergeCell ref="J599:L599"/>
    <mergeCell ref="K1739:K1740"/>
    <mergeCell ref="B1162:H1162"/>
    <mergeCell ref="D562:E562"/>
    <mergeCell ref="A954:A955"/>
    <mergeCell ref="H259:I259"/>
    <mergeCell ref="B66:C66"/>
    <mergeCell ref="J899:L899"/>
    <mergeCell ref="H1321:I1321"/>
    <mergeCell ref="M1067:M1068"/>
    <mergeCell ref="M1042:M1043"/>
    <mergeCell ref="R413:R414"/>
    <mergeCell ref="P195:R195"/>
    <mergeCell ref="D310:E310"/>
    <mergeCell ref="P1410:P1411"/>
    <mergeCell ref="H559:I559"/>
    <mergeCell ref="J1331:J1332"/>
    <mergeCell ref="M484:O484"/>
    <mergeCell ref="F44:I44"/>
    <mergeCell ref="P1710:P1711"/>
    <mergeCell ref="M1342:M1343"/>
    <mergeCell ref="B480:C480"/>
    <mergeCell ref="R713:R714"/>
    <mergeCell ref="B1309:H1309"/>
    <mergeCell ref="J1631:J1632"/>
    <mergeCell ref="L634:L635"/>
    <mergeCell ref="B392:C392"/>
    <mergeCell ref="J633:L633"/>
    <mergeCell ref="B1454:C1454"/>
    <mergeCell ref="D457:E457"/>
    <mergeCell ref="J1543:J1544"/>
    <mergeCell ref="L546:L547"/>
    <mergeCell ref="B692:C692"/>
    <mergeCell ref="D757:E757"/>
    <mergeCell ref="M1053:M1054"/>
    <mergeCell ref="P1552:P1553"/>
    <mergeCell ref="O730:O731"/>
    <mergeCell ref="H1375:I1375"/>
    <mergeCell ref="B1165:C1165"/>
    <mergeCell ref="O1030:O1031"/>
    <mergeCell ref="Q33:Q34"/>
    <mergeCell ref="L1319:L1320"/>
    <mergeCell ref="R1155:R1156"/>
    <mergeCell ref="D468:E468"/>
    <mergeCell ref="P1149:P1150"/>
    <mergeCell ref="D49:E49"/>
    <mergeCell ref="J1685:J1686"/>
    <mergeCell ref="B1160:C1160"/>
    <mergeCell ref="J944:L944"/>
    <mergeCell ref="A1229:A1230"/>
    <mergeCell ref="L1314:L1315"/>
    <mergeCell ref="B1466:C1466"/>
    <mergeCell ref="J1313:L1313"/>
    <mergeCell ref="R1240:R1241"/>
    <mergeCell ref="O872:O873"/>
    <mergeCell ref="D1137:E1137"/>
    <mergeCell ref="H1386:I1386"/>
    <mergeCell ref="F325:I325"/>
    <mergeCell ref="D196:E196"/>
    <mergeCell ref="J1613:L1613"/>
    <mergeCell ref="R1540:R1541"/>
    <mergeCell ref="O1172:O1173"/>
    <mergeCell ref="F625:I625"/>
    <mergeCell ref="L1042:L1043"/>
    <mergeCell ref="Q413:Q414"/>
    <mergeCell ref="B1374:H1374"/>
    <mergeCell ref="A614:A615"/>
    <mergeCell ref="D191:E191"/>
    <mergeCell ref="L1342:L1343"/>
    <mergeCell ref="J1760:L1760"/>
    <mergeCell ref="D522:E522"/>
    <mergeCell ref="A914:A915"/>
    <mergeCell ref="K634:K635"/>
    <mergeCell ref="J1324:L1324"/>
    <mergeCell ref="B221:H221"/>
    <mergeCell ref="R1382:R1383"/>
    <mergeCell ref="D1279:E1279"/>
    <mergeCell ref="O1557:O1558"/>
    <mergeCell ref="Q560:Q561"/>
    <mergeCell ref="K546:K547"/>
    <mergeCell ref="R1682:R1683"/>
    <mergeCell ref="R1263:R1264"/>
    <mergeCell ref="Q860:Q861"/>
    <mergeCell ref="F767:I767"/>
    <mergeCell ref="P736:P737"/>
    <mergeCell ref="O1552:O1553"/>
    <mergeCell ref="K362:K363"/>
    <mergeCell ref="Q1617:Q1618"/>
    <mergeCell ref="A1274:A1275"/>
    <mergeCell ref="P33:P34"/>
    <mergeCell ref="A1574:A1575"/>
    <mergeCell ref="D1313:E1313"/>
    <mergeCell ref="J1466:L1466"/>
    <mergeCell ref="K1450:K1451"/>
    <mergeCell ref="B363:H363"/>
    <mergeCell ref="P447:P448"/>
    <mergeCell ref="M753:M754"/>
    <mergeCell ref="B1337:H1337"/>
    <mergeCell ref="R257:R258"/>
    <mergeCell ref="O56:O57"/>
    <mergeCell ref="O214:O215"/>
    <mergeCell ref="A1441:A1442"/>
    <mergeCell ref="M76:O76"/>
    <mergeCell ref="N1178:N1179"/>
    <mergeCell ref="N1172:N1173"/>
    <mergeCell ref="M350:M351"/>
    <mergeCell ref="D1324:E1324"/>
    <mergeCell ref="M382:O382"/>
    <mergeCell ref="B890:H890"/>
    <mergeCell ref="F1121:I1121"/>
    <mergeCell ref="P475:P476"/>
    <mergeCell ref="D1624:E1624"/>
    <mergeCell ref="R152:R153"/>
    <mergeCell ref="J366:L366"/>
    <mergeCell ref="P1263:P1264"/>
    <mergeCell ref="A1742:A1743"/>
    <mergeCell ref="H298:I298"/>
    <mergeCell ref="B1479:H1479"/>
    <mergeCell ref="R452:R453"/>
    <mergeCell ref="J308:J309"/>
    <mergeCell ref="F1594:I1594"/>
    <mergeCell ref="J1721:L1721"/>
    <mergeCell ref="B618:H618"/>
    <mergeCell ref="B131:C131"/>
    <mergeCell ref="J608:J609"/>
    <mergeCell ref="J355:L355"/>
    <mergeCell ref="F1475:I1475"/>
    <mergeCell ref="Q1682:Q1683"/>
    <mergeCell ref="L285:L286"/>
    <mergeCell ref="P860:P861"/>
    <mergeCell ref="A158:A159"/>
    <mergeCell ref="M492:M493"/>
    <mergeCell ref="B918:H918"/>
    <mergeCell ref="P991:P992"/>
    <mergeCell ref="K1489:K1490"/>
    <mergeCell ref="A316:A317"/>
    <mergeCell ref="J236:L236"/>
    <mergeCell ref="D66:E66"/>
    <mergeCell ref="O583:O584"/>
    <mergeCell ref="H1072:I1072"/>
    <mergeCell ref="M818:M819"/>
    <mergeCell ref="P1161:P1162"/>
    <mergeCell ref="M1467:M1468"/>
    <mergeCell ref="O883:O884"/>
    <mergeCell ref="R1226:R1227"/>
    <mergeCell ref="R832:R833"/>
    <mergeCell ref="J383:L383"/>
    <mergeCell ref="L753:L754"/>
    <mergeCell ref="B905:C905"/>
    <mergeCell ref="M535:O535"/>
    <mergeCell ref="J735:L735"/>
    <mergeCell ref="N56:N57"/>
    <mergeCell ref="J378:L378"/>
    <mergeCell ref="H800:I800"/>
    <mergeCell ref="B1205:C1205"/>
    <mergeCell ref="N214:N215"/>
    <mergeCell ref="D208:E208"/>
    <mergeCell ref="M546:M547"/>
    <mergeCell ref="R305:R306"/>
    <mergeCell ref="P1302:P1303"/>
    <mergeCell ref="D366:E366"/>
    <mergeCell ref="D882:E882"/>
    <mergeCell ref="R979:R980"/>
    <mergeCell ref="J1035:L1035"/>
    <mergeCell ref="P1334:R1334"/>
    <mergeCell ref="J835:J836"/>
    <mergeCell ref="H1131:I1131"/>
    <mergeCell ref="F64:I64"/>
    <mergeCell ref="D1721:E1721"/>
    <mergeCell ref="J1135:J1136"/>
    <mergeCell ref="L138:L139"/>
    <mergeCell ref="O475:O476"/>
    <mergeCell ref="R974:R975"/>
    <mergeCell ref="B1445:H1445"/>
    <mergeCell ref="H1126:I1126"/>
    <mergeCell ref="O1263:O1264"/>
    <mergeCell ref="L438:L439"/>
    <mergeCell ref="K73:K74"/>
    <mergeCell ref="J763:L763"/>
    <mergeCell ref="D593:E593"/>
    <mergeCell ref="A985:A986"/>
    <mergeCell ref="H1426:I1426"/>
    <mergeCell ref="O1569:O1570"/>
    <mergeCell ref="O1563:O1564"/>
    <mergeCell ref="D236:E236"/>
    <mergeCell ref="J1063:L1063"/>
    <mergeCell ref="D893:E893"/>
    <mergeCell ref="O622:O623"/>
    <mergeCell ref="K285:K286"/>
    <mergeCell ref="L798:L799"/>
    <mergeCell ref="B1587:H1587"/>
    <mergeCell ref="Q294:Q295"/>
    <mergeCell ref="K699:K700"/>
    <mergeCell ref="H114:I114"/>
    <mergeCell ref="R1291:R1292"/>
    <mergeCell ref="J905:L905"/>
    <mergeCell ref="L1098:L1099"/>
    <mergeCell ref="O1597:O1598"/>
    <mergeCell ref="D735:E735"/>
    <mergeCell ref="Q600:Q601"/>
    <mergeCell ref="A1127:A1128"/>
    <mergeCell ref="Q594:Q595"/>
    <mergeCell ref="F376:I376"/>
    <mergeCell ref="N889:N890"/>
    <mergeCell ref="N883:N884"/>
    <mergeCell ref="J1205:L1205"/>
    <mergeCell ref="D1035:E1035"/>
    <mergeCell ref="B102:H102"/>
    <mergeCell ref="R1132:R1133"/>
    <mergeCell ref="D616:E616"/>
    <mergeCell ref="A1008:A1009"/>
    <mergeCell ref="M93:O93"/>
    <mergeCell ref="K427:K428"/>
    <mergeCell ref="F1464:I1464"/>
    <mergeCell ref="D1335:E1335"/>
    <mergeCell ref="B402:H402"/>
    <mergeCell ref="A1339:A1340"/>
    <mergeCell ref="D916:E916"/>
    <mergeCell ref="M56:M57"/>
    <mergeCell ref="F129:I129"/>
    <mergeCell ref="J19:J20"/>
    <mergeCell ref="M362:M363"/>
    <mergeCell ref="J1432:L1432"/>
    <mergeCell ref="R1433:R1434"/>
    <mergeCell ref="O1608:O1609"/>
    <mergeCell ref="D1420:E1420"/>
    <mergeCell ref="Q1285:Q1286"/>
    <mergeCell ref="F543:I543"/>
    <mergeCell ref="J319:J320"/>
    <mergeCell ref="K138:K139"/>
    <mergeCell ref="D1063:E1063"/>
    <mergeCell ref="K1200:K1201"/>
    <mergeCell ref="M203:M204"/>
    <mergeCell ref="A27:A28"/>
    <mergeCell ref="F1492:I1492"/>
    <mergeCell ref="K438:K439"/>
    <mergeCell ref="D1415:E1415"/>
    <mergeCell ref="B482:H482"/>
    <mergeCell ref="Q1280:Q1281"/>
    <mergeCell ref="D1715:E1715"/>
    <mergeCell ref="B782:H782"/>
    <mergeCell ref="A22:A23"/>
    <mergeCell ref="N1237:N1238"/>
    <mergeCell ref="L1625:L1626"/>
    <mergeCell ref="J47:J48"/>
    <mergeCell ref="K1501:K1502"/>
    <mergeCell ref="P872:P873"/>
    <mergeCell ref="F571:I571"/>
    <mergeCell ref="Q1427:Q1428"/>
    <mergeCell ref="Q1421:Q1422"/>
    <mergeCell ref="F1203:I1203"/>
    <mergeCell ref="B616:C616"/>
    <mergeCell ref="D1443:E1443"/>
    <mergeCell ref="F1634:I1634"/>
    <mergeCell ref="J89:L89"/>
    <mergeCell ref="K1254:K1255"/>
    <mergeCell ref="N1597:N1598"/>
    <mergeCell ref="M257:M258"/>
    <mergeCell ref="P600:P601"/>
    <mergeCell ref="M889:M890"/>
    <mergeCell ref="B983:H983"/>
    <mergeCell ref="M557:M558"/>
    <mergeCell ref="P900:P901"/>
    <mergeCell ref="H49:I49"/>
    <mergeCell ref="J821:J822"/>
    <mergeCell ref="O192:O193"/>
    <mergeCell ref="J427:J428"/>
    <mergeCell ref="L1515:L1516"/>
    <mergeCell ref="H837:I837"/>
    <mergeCell ref="F1345:I1345"/>
    <mergeCell ref="B644:C644"/>
    <mergeCell ref="M1489:M1490"/>
    <mergeCell ref="J733:J734"/>
    <mergeCell ref="O492:O493"/>
    <mergeCell ref="J474:L474"/>
    <mergeCell ref="H1137:I1137"/>
    <mergeCell ref="J780:L780"/>
    <mergeCell ref="J774:L774"/>
    <mergeCell ref="J574:J575"/>
    <mergeCell ref="M917:M918"/>
    <mergeCell ref="H434:I434"/>
    <mergeCell ref="B1451:H1451"/>
    <mergeCell ref="P911:P912"/>
    <mergeCell ref="B970:C970"/>
    <mergeCell ref="P1042:P1043"/>
    <mergeCell ref="M1217:M1218"/>
    <mergeCell ref="B355:C355"/>
    <mergeCell ref="O220:O221"/>
    <mergeCell ref="P484:R484"/>
    <mergeCell ref="O520:O521"/>
    <mergeCell ref="H1497:I1497"/>
    <mergeCell ref="L809:L810"/>
    <mergeCell ref="O1308:O1309"/>
    <mergeCell ref="Q311:Q312"/>
    <mergeCell ref="B1179:H1179"/>
    <mergeCell ref="F87:I87"/>
    <mergeCell ref="J808:L808"/>
    <mergeCell ref="M654:O654"/>
    <mergeCell ref="J922:L922"/>
    <mergeCell ref="B1330:C1330"/>
    <mergeCell ref="B1510:H1510"/>
    <mergeCell ref="P1427:P1428"/>
    <mergeCell ref="B1485:H1485"/>
    <mergeCell ref="D327:E327"/>
    <mergeCell ref="A719:A720"/>
    <mergeCell ref="L835:L836"/>
    <mergeCell ref="H576:I576"/>
    <mergeCell ref="N481:N482"/>
    <mergeCell ref="P1053:P1054"/>
    <mergeCell ref="J803:L803"/>
    <mergeCell ref="F1758:I1758"/>
    <mergeCell ref="R730:R731"/>
    <mergeCell ref="H876:I876"/>
    <mergeCell ref="R1030:R1031"/>
    <mergeCell ref="O268:O269"/>
    <mergeCell ref="J644:L644"/>
    <mergeCell ref="O1319:O1320"/>
    <mergeCell ref="F115:I115"/>
    <mergeCell ref="Q322:Q323"/>
    <mergeCell ref="L557:L558"/>
    <mergeCell ref="J1276:L1276"/>
    <mergeCell ref="A430:A431"/>
    <mergeCell ref="B709:C709"/>
    <mergeCell ref="D774:E774"/>
    <mergeCell ref="A778:A779"/>
    <mergeCell ref="J1607:L1607"/>
    <mergeCell ref="L863:L864"/>
    <mergeCell ref="Q622:Q623"/>
    <mergeCell ref="M1586:M1587"/>
    <mergeCell ref="P1569:P1570"/>
    <mergeCell ref="K155:K156"/>
    <mergeCell ref="O1047:O1048"/>
    <mergeCell ref="Q50:Q51"/>
    <mergeCell ref="J1602:L1602"/>
    <mergeCell ref="M101:M102"/>
    <mergeCell ref="H1650:I1650"/>
    <mergeCell ref="D485:E485"/>
    <mergeCell ref="Q350:Q351"/>
    <mergeCell ref="A489:A490"/>
    <mergeCell ref="F282:I282"/>
    <mergeCell ref="O1042:O1043"/>
    <mergeCell ref="J409:L409"/>
    <mergeCell ref="N639:N640"/>
    <mergeCell ref="N220:N221"/>
    <mergeCell ref="D372:E372"/>
    <mergeCell ref="B1483:C1483"/>
    <mergeCell ref="J1330:L1330"/>
    <mergeCell ref="K183:K184"/>
    <mergeCell ref="N520:N521"/>
    <mergeCell ref="A1552:A1553"/>
    <mergeCell ref="D1154:E1154"/>
    <mergeCell ref="A1546:A1547"/>
    <mergeCell ref="B399:L399"/>
    <mergeCell ref="N634:N635"/>
    <mergeCell ref="N1308:N1309"/>
    <mergeCell ref="P311:P312"/>
    <mergeCell ref="J1630:L1630"/>
    <mergeCell ref="D1460:E1460"/>
    <mergeCell ref="R1557:R1558"/>
    <mergeCell ref="D1454:E1454"/>
    <mergeCell ref="F642:I642"/>
    <mergeCell ref="P611:P612"/>
    <mergeCell ref="M243:M244"/>
    <mergeCell ref="O937:O938"/>
    <mergeCell ref="B1378:C1378"/>
    <mergeCell ref="Q730:Q731"/>
    <mergeCell ref="B122:H122"/>
    <mergeCell ref="J444:J445"/>
    <mergeCell ref="K651:K652"/>
    <mergeCell ref="M1657:O1657"/>
    <mergeCell ref="J1341:L1341"/>
    <mergeCell ref="B238:H238"/>
    <mergeCell ref="Q1030:Q1031"/>
    <mergeCell ref="P322:P323"/>
    <mergeCell ref="D1488:E1488"/>
    <mergeCell ref="J72:L72"/>
    <mergeCell ref="N1450:N1451"/>
    <mergeCell ref="J1641:L1641"/>
    <mergeCell ref="B538:H538"/>
    <mergeCell ref="M628:M629"/>
    <mergeCell ref="D1602:E1602"/>
    <mergeCell ref="H120:I120"/>
    <mergeCell ref="K863:K864"/>
    <mergeCell ref="P622:P623"/>
    <mergeCell ref="F784:I784"/>
    <mergeCell ref="P753:P754"/>
    <mergeCell ref="M928:M929"/>
    <mergeCell ref="J155:J156"/>
    <mergeCell ref="F1084:I1084"/>
    <mergeCell ref="Q872:Q873"/>
    <mergeCell ref="B133:H133"/>
    <mergeCell ref="P50:P51"/>
    <mergeCell ref="J455:J456"/>
    <mergeCell ref="D1199:E1199"/>
    <mergeCell ref="F996:I996"/>
    <mergeCell ref="Q1172:Q1173"/>
    <mergeCell ref="M13:M14"/>
    <mergeCell ref="B253:C253"/>
    <mergeCell ref="P350:P351"/>
    <mergeCell ref="P481:P482"/>
    <mergeCell ref="B1041:C1041"/>
    <mergeCell ref="P1138:P1139"/>
    <mergeCell ref="H287:I287"/>
    <mergeCell ref="K1005:K1006"/>
    <mergeCell ref="J183:J184"/>
    <mergeCell ref="P1438:P1439"/>
    <mergeCell ref="M1070:M1071"/>
    <mergeCell ref="O73:O74"/>
    <mergeCell ref="H593:I593"/>
    <mergeCell ref="H587:I587"/>
    <mergeCell ref="K1305:K1306"/>
    <mergeCell ref="M308:M309"/>
    <mergeCell ref="J230:L230"/>
    <mergeCell ref="P192:P193"/>
    <mergeCell ref="B89:C89"/>
    <mergeCell ref="A1758:A1759"/>
    <mergeCell ref="M399:O399"/>
    <mergeCell ref="L243:L244"/>
    <mergeCell ref="B420:C420"/>
    <mergeCell ref="B395:C395"/>
    <mergeCell ref="P492:P493"/>
    <mergeCell ref="P1166:P1167"/>
    <mergeCell ref="J225:L225"/>
    <mergeCell ref="H647:I647"/>
    <mergeCell ref="B1207:H1207"/>
    <mergeCell ref="H315:I315"/>
    <mergeCell ref="J525:L525"/>
    <mergeCell ref="R469:R470"/>
    <mergeCell ref="H947:I947"/>
    <mergeCell ref="H621:I621"/>
    <mergeCell ref="O758:O759"/>
    <mergeCell ref="B635:H635"/>
    <mergeCell ref="B148:C148"/>
    <mergeCell ref="H310:I310"/>
    <mergeCell ref="M1450:M1451"/>
    <mergeCell ref="J1141:J1142"/>
    <mergeCell ref="B780:C780"/>
    <mergeCell ref="L302:L303"/>
    <mergeCell ref="Q61:Q62"/>
    <mergeCell ref="B935:H935"/>
    <mergeCell ref="M926:O926"/>
    <mergeCell ref="H616:I616"/>
    <mergeCell ref="F1149:I1149"/>
    <mergeCell ref="F1665:I1665"/>
    <mergeCell ref="O753:O754"/>
    <mergeCell ref="K1679:K1680"/>
    <mergeCell ref="H1730:I1730"/>
    <mergeCell ref="H1273:I1273"/>
    <mergeCell ref="J253:L253"/>
    <mergeCell ref="B1080:C1080"/>
    <mergeCell ref="D83:E83"/>
    <mergeCell ref="A475:A476"/>
    <mergeCell ref="R180:R181"/>
    <mergeCell ref="J1041:L1041"/>
    <mergeCell ref="Q56:Q57"/>
    <mergeCell ref="D383:E383"/>
    <mergeCell ref="H1089:I1089"/>
    <mergeCell ref="B1261:H1261"/>
    <mergeCell ref="M835:M836"/>
    <mergeCell ref="P1178:P1179"/>
    <mergeCell ref="L13:L14"/>
    <mergeCell ref="R1243:R1244"/>
    <mergeCell ref="O481:O482"/>
    <mergeCell ref="H1420:I1420"/>
    <mergeCell ref="B922:C922"/>
    <mergeCell ref="H1301:I1301"/>
    <mergeCell ref="L1070:L1071"/>
    <mergeCell ref="N73:N74"/>
    <mergeCell ref="B1222:C1222"/>
    <mergeCell ref="D225:E225"/>
    <mergeCell ref="P1319:P1320"/>
    <mergeCell ref="R322:R323"/>
    <mergeCell ref="A223:A224"/>
    <mergeCell ref="M1368:O1368"/>
    <mergeCell ref="P1073:P1074"/>
    <mergeCell ref="P1625:P1626"/>
    <mergeCell ref="D525:E525"/>
    <mergeCell ref="A529:A530"/>
    <mergeCell ref="F648:I648"/>
    <mergeCell ref="B1289:H1289"/>
    <mergeCell ref="L155:L156"/>
    <mergeCell ref="N285:N286"/>
    <mergeCell ref="K574:K575"/>
    <mergeCell ref="J906:J907"/>
    <mergeCell ref="B1449:C1449"/>
    <mergeCell ref="L455:L456"/>
    <mergeCell ref="O1472:O1473"/>
    <mergeCell ref="B1762:H1762"/>
    <mergeCell ref="Q469:Q470"/>
    <mergeCell ref="H1443:I1443"/>
    <mergeCell ref="J1206:J1207"/>
    <mergeCell ref="J1086:L1086"/>
    <mergeCell ref="J1080:L1080"/>
    <mergeCell ref="D910:E910"/>
    <mergeCell ref="A1302:A1303"/>
    <mergeCell ref="F707:I707"/>
    <mergeCell ref="O1467:O1468"/>
    <mergeCell ref="N1064:N1065"/>
    <mergeCell ref="P67:P68"/>
    <mergeCell ref="K302:K303"/>
    <mergeCell ref="P61:P62"/>
    <mergeCell ref="M1390:M1391"/>
    <mergeCell ref="O393:O394"/>
    <mergeCell ref="M1748:O1748"/>
    <mergeCell ref="N753:N754"/>
    <mergeCell ref="J1679:J1680"/>
    <mergeCell ref="D905:E905"/>
    <mergeCell ref="N427:N428"/>
    <mergeCell ref="A1297:A1298"/>
    <mergeCell ref="O693:O694"/>
    <mergeCell ref="H1670:I1670"/>
    <mergeCell ref="N1059:N1060"/>
    <mergeCell ref="L982:L983"/>
    <mergeCell ref="A1628:A1629"/>
    <mergeCell ref="P1606:R1606"/>
    <mergeCell ref="O1614:O1615"/>
    <mergeCell ref="Q611:Q612"/>
    <mergeCell ref="F418:I418"/>
    <mergeCell ref="F393:I393"/>
    <mergeCell ref="J1738:L1738"/>
    <mergeCell ref="A1444:A1445"/>
    <mergeCell ref="H185:I185"/>
    <mergeCell ref="M110:O110"/>
    <mergeCell ref="F693:I693"/>
    <mergeCell ref="N138:N139"/>
    <mergeCell ref="B106:C106"/>
    <mergeCell ref="K444:K445"/>
    <mergeCell ref="P203:P204"/>
    <mergeCell ref="F1481:I1481"/>
    <mergeCell ref="L710:L711"/>
    <mergeCell ref="K744:K745"/>
    <mergeCell ref="D1106:E1106"/>
    <mergeCell ref="P90:P91"/>
    <mergeCell ref="M379:M380"/>
    <mergeCell ref="B1266:L1266"/>
    <mergeCell ref="F1209:I1209"/>
    <mergeCell ref="O356:O357"/>
    <mergeCell ref="B646:H646"/>
    <mergeCell ref="F1509:I1509"/>
    <mergeCell ref="K455:K456"/>
    <mergeCell ref="K971:K972"/>
    <mergeCell ref="K1271:K1272"/>
    <mergeCell ref="N1254:N1255"/>
    <mergeCell ref="A39:A40"/>
    <mergeCell ref="Q1597:Q1598"/>
    <mergeCell ref="J64:J65"/>
    <mergeCell ref="N1728:N1729"/>
    <mergeCell ref="P889:P890"/>
    <mergeCell ref="B786:C786"/>
    <mergeCell ref="F1104:I1104"/>
    <mergeCell ref="H38:I38"/>
    <mergeCell ref="F1220:I1220"/>
    <mergeCell ref="R192:R193"/>
    <mergeCell ref="O498:O499"/>
    <mergeCell ref="B788:H788"/>
    <mergeCell ref="F1404:I1404"/>
    <mergeCell ref="Q1586:Q1587"/>
    <mergeCell ref="A1725:A1726"/>
    <mergeCell ref="K982:K983"/>
    <mergeCell ref="B700:H700"/>
    <mergeCell ref="P617:P618"/>
    <mergeCell ref="K1745:K1746"/>
    <mergeCell ref="M906:M907"/>
    <mergeCell ref="K1413:K1414"/>
    <mergeCell ref="B1000:H1000"/>
    <mergeCell ref="A240:A241"/>
    <mergeCell ref="P917:P918"/>
    <mergeCell ref="H66:I66"/>
    <mergeCell ref="M1206:M1207"/>
    <mergeCell ref="O209:O210"/>
    <mergeCell ref="K1325:K1326"/>
    <mergeCell ref="H723:I723"/>
    <mergeCell ref="H698:I698"/>
    <mergeCell ref="R220:R221"/>
    <mergeCell ref="P1217:P1218"/>
    <mergeCell ref="M1506:M1507"/>
    <mergeCell ref="J744:J745"/>
    <mergeCell ref="O90:O91"/>
    <mergeCell ref="J9:L9"/>
    <mergeCell ref="H1154:I1154"/>
    <mergeCell ref="B531:C531"/>
    <mergeCell ref="J791:L791"/>
    <mergeCell ref="L47:L48"/>
    <mergeCell ref="O390:O391"/>
    <mergeCell ref="H1454:I1454"/>
    <mergeCell ref="B1468:H1468"/>
    <mergeCell ref="A251:A252"/>
    <mergeCell ref="R605:R606"/>
    <mergeCell ref="M518:O518"/>
    <mergeCell ref="Q481:Q482"/>
    <mergeCell ref="J645:J646"/>
    <mergeCell ref="N770:N771"/>
    <mergeCell ref="O537:O538"/>
    <mergeCell ref="B439:H439"/>
    <mergeCell ref="H1514:I1514"/>
    <mergeCell ref="J1277:J1278"/>
    <mergeCell ref="J1271:J1272"/>
    <mergeCell ref="P1317:R1317"/>
    <mergeCell ref="M1254:M1255"/>
    <mergeCell ref="O257:O258"/>
    <mergeCell ref="B426:C426"/>
    <mergeCell ref="H752:I752"/>
    <mergeCell ref="F104:I104"/>
    <mergeCell ref="J1577:J1578"/>
    <mergeCell ref="K1458:K1459"/>
    <mergeCell ref="Q628:Q629"/>
    <mergeCell ref="A736:A737"/>
    <mergeCell ref="F404:I404"/>
    <mergeCell ref="B1674:L1674"/>
    <mergeCell ref="N498:N499"/>
    <mergeCell ref="P1586:P1587"/>
    <mergeCell ref="A1067:A1068"/>
    <mergeCell ref="R747:R748"/>
    <mergeCell ref="D644:E644"/>
    <mergeCell ref="H893:I893"/>
    <mergeCell ref="J656:J657"/>
    <mergeCell ref="R1047:R1048"/>
    <mergeCell ref="M90:M91"/>
    <mergeCell ref="J1413:J1414"/>
    <mergeCell ref="F132:I132"/>
    <mergeCell ref="B726:C726"/>
    <mergeCell ref="B1242:C1242"/>
    <mergeCell ref="M390:M391"/>
    <mergeCell ref="J1719:J1720"/>
    <mergeCell ref="L880:L881"/>
    <mergeCell ref="Q639:Q640"/>
    <mergeCell ref="O1217:O1218"/>
    <mergeCell ref="Q220:Q221"/>
    <mergeCell ref="M1504:O1504"/>
    <mergeCell ref="B1542:C1542"/>
    <mergeCell ref="J1505:L1505"/>
    <mergeCell ref="Q520:Q521"/>
    <mergeCell ref="F458:I458"/>
    <mergeCell ref="N809:N810"/>
    <mergeCell ref="K53:K54"/>
    <mergeCell ref="Q1308:Q1309"/>
    <mergeCell ref="J1472:J1473"/>
    <mergeCell ref="M118:M119"/>
    <mergeCell ref="F631:I631"/>
    <mergeCell ref="K353:K354"/>
    <mergeCell ref="R1427:R1428"/>
    <mergeCell ref="B1253:C1253"/>
    <mergeCell ref="F186:I186"/>
    <mergeCell ref="D556:E556"/>
    <mergeCell ref="A1563:A1564"/>
    <mergeCell ref="N1325:N1326"/>
    <mergeCell ref="F486:I486"/>
    <mergeCell ref="P328:P329"/>
    <mergeCell ref="R1416:R1417"/>
    <mergeCell ref="D1471:E1471"/>
    <mergeCell ref="P628:P629"/>
    <mergeCell ref="H1474:I1474"/>
    <mergeCell ref="O1586:O1587"/>
    <mergeCell ref="P928:P929"/>
    <mergeCell ref="H409:I409"/>
    <mergeCell ref="Q747:Q748"/>
    <mergeCell ref="M155:M156"/>
    <mergeCell ref="L1549:L1550"/>
    <mergeCell ref="Q1047:Q1048"/>
    <mergeCell ref="B1276:C1276"/>
    <mergeCell ref="J761:J762"/>
    <mergeCell ref="B242:C242"/>
    <mergeCell ref="B397:H397"/>
    <mergeCell ref="O101:O102"/>
    <mergeCell ref="B1071:H1071"/>
    <mergeCell ref="B1607:C1607"/>
    <mergeCell ref="F1285:I1285"/>
    <mergeCell ref="H137:I137"/>
    <mergeCell ref="K880:K881"/>
    <mergeCell ref="P639:P640"/>
    <mergeCell ref="O1728:O1729"/>
    <mergeCell ref="M183:M184"/>
    <mergeCell ref="O248:O249"/>
    <mergeCell ref="B150:H150"/>
    <mergeCell ref="L1577:L1578"/>
    <mergeCell ref="R311:R312"/>
    <mergeCell ref="P93:R93"/>
    <mergeCell ref="H463:I463"/>
    <mergeCell ref="B270:C270"/>
    <mergeCell ref="P367:P368"/>
    <mergeCell ref="B1734:L1734"/>
    <mergeCell ref="P399:R399"/>
    <mergeCell ref="F1155:I1155"/>
    <mergeCell ref="O243:O244"/>
    <mergeCell ref="M656:M657"/>
    <mergeCell ref="K1169:K1170"/>
    <mergeCell ref="K775:K776"/>
    <mergeCell ref="D55:E55"/>
    <mergeCell ref="K1081:K1082"/>
    <mergeCell ref="J200:J201"/>
    <mergeCell ref="D361:E361"/>
    <mergeCell ref="P1455:P1456"/>
    <mergeCell ref="R458:R459"/>
    <mergeCell ref="B1513:H1513"/>
    <mergeCell ref="R39:R40"/>
    <mergeCell ref="H604:I604"/>
    <mergeCell ref="R758:R759"/>
    <mergeCell ref="H491:I491"/>
    <mergeCell ref="O628:O629"/>
    <mergeCell ref="L260:L261"/>
    <mergeCell ref="M1141:M1142"/>
    <mergeCell ref="J128:L128"/>
    <mergeCell ref="O302:O303"/>
    <mergeCell ref="P926:R926"/>
    <mergeCell ref="J242:L242"/>
    <mergeCell ref="L591:L592"/>
    <mergeCell ref="B1224:H1224"/>
    <mergeCell ref="A464:A465"/>
    <mergeCell ref="O928:O929"/>
    <mergeCell ref="N1260:N1261"/>
    <mergeCell ref="H905:I905"/>
    <mergeCell ref="D1412:E1412"/>
    <mergeCell ref="D1406:E1406"/>
    <mergeCell ref="K1549:K1550"/>
    <mergeCell ref="J542:L542"/>
    <mergeCell ref="J727:J728"/>
    <mergeCell ref="A764:A765"/>
    <mergeCell ref="J1216:L1216"/>
    <mergeCell ref="N1560:N1561"/>
    <mergeCell ref="F1382:I1382"/>
    <mergeCell ref="O13:O14"/>
    <mergeCell ref="M943:O943"/>
    <mergeCell ref="K64:K65"/>
    <mergeCell ref="F1682:I1682"/>
    <mergeCell ref="R1138:R1139"/>
    <mergeCell ref="K1277:K1278"/>
    <mergeCell ref="B1097:C1097"/>
    <mergeCell ref="D100:E100"/>
    <mergeCell ref="A492:A493"/>
    <mergeCell ref="L183:L184"/>
    <mergeCell ref="R1438:R1439"/>
    <mergeCell ref="Q73:Q74"/>
    <mergeCell ref="N248:N249"/>
    <mergeCell ref="K1577:K1578"/>
    <mergeCell ref="M580:M581"/>
    <mergeCell ref="H1590:I1590"/>
    <mergeCell ref="D400:E400"/>
    <mergeCell ref="J869:J870"/>
    <mergeCell ref="F197:I197"/>
    <mergeCell ref="J1169:J1170"/>
    <mergeCell ref="B1578:H1578"/>
    <mergeCell ref="M1668:M1669"/>
    <mergeCell ref="R1008:R1009"/>
    <mergeCell ref="R1166:R1167"/>
    <mergeCell ref="H1160:I1160"/>
    <mergeCell ref="P1453:R1453"/>
    <mergeCell ref="H1318:I1318"/>
    <mergeCell ref="N90:N91"/>
    <mergeCell ref="P1096:R1096"/>
    <mergeCell ref="M1385:O1385"/>
    <mergeCell ref="O1761:O1762"/>
    <mergeCell ref="Q758:Q759"/>
    <mergeCell ref="N390:N391"/>
    <mergeCell ref="P1090:P1091"/>
    <mergeCell ref="B987:C987"/>
    <mergeCell ref="A546:A547"/>
    <mergeCell ref="D148:E148"/>
    <mergeCell ref="A540:A541"/>
    <mergeCell ref="B108:H108"/>
    <mergeCell ref="L1141:L1142"/>
    <mergeCell ref="N302:N303"/>
    <mergeCell ref="P1390:P1391"/>
    <mergeCell ref="K591:K592"/>
    <mergeCell ref="M1679:M1680"/>
    <mergeCell ref="M1260:M1261"/>
    <mergeCell ref="R1308:R1309"/>
    <mergeCell ref="J1223:J1224"/>
    <mergeCell ref="O982:O983"/>
    <mergeCell ref="O1745:O1746"/>
    <mergeCell ref="J1270:L1270"/>
    <mergeCell ref="N13:N14"/>
    <mergeCell ref="B1678:C1678"/>
    <mergeCell ref="P78:P79"/>
    <mergeCell ref="M1407:M1408"/>
    <mergeCell ref="P110:R110"/>
    <mergeCell ref="K461:K462"/>
    <mergeCell ref="D922:E922"/>
    <mergeCell ref="B281:C281"/>
    <mergeCell ref="H1687:I1687"/>
    <mergeCell ref="N1076:N1077"/>
    <mergeCell ref="P73:P74"/>
    <mergeCell ref="D1222:E1222"/>
    <mergeCell ref="D1738:E1738"/>
    <mergeCell ref="H202:I202"/>
    <mergeCell ref="L1668:L1669"/>
    <mergeCell ref="D1449:E1449"/>
    <mergeCell ref="N971:N972"/>
    <mergeCell ref="D1123:E1123"/>
    <mergeCell ref="B190:H190"/>
    <mergeCell ref="D1117:E1117"/>
    <mergeCell ref="M396:M397"/>
    <mergeCell ref="F305:I305"/>
    <mergeCell ref="N1271:N1272"/>
    <mergeCell ref="M696:M697"/>
    <mergeCell ref="R67:R68"/>
    <mergeCell ref="M1212:M1213"/>
    <mergeCell ref="M302:M303"/>
    <mergeCell ref="R61:R62"/>
    <mergeCell ref="O1390:O1391"/>
    <mergeCell ref="Q393:Q394"/>
    <mergeCell ref="A1600:A1601"/>
    <mergeCell ref="H213:I213"/>
    <mergeCell ref="J1678:L1678"/>
    <mergeCell ref="D1477:E1477"/>
    <mergeCell ref="N982:N983"/>
    <mergeCell ref="K226:K227"/>
    <mergeCell ref="B46:C46"/>
    <mergeCell ref="K1288:K1289"/>
    <mergeCell ref="B201:H201"/>
    <mergeCell ref="M291:M292"/>
    <mergeCell ref="J281:L281"/>
    <mergeCell ref="D111:E111"/>
    <mergeCell ref="P792:P793"/>
    <mergeCell ref="N1745:N1746"/>
    <mergeCell ref="P906:P907"/>
    <mergeCell ref="O84:O85"/>
    <mergeCell ref="R95:R96"/>
    <mergeCell ref="J461:J462"/>
    <mergeCell ref="R209:R210"/>
    <mergeCell ref="M444:M445"/>
    <mergeCell ref="O384:O385"/>
    <mergeCell ref="F1421:I1421"/>
    <mergeCell ref="H1029:I1029"/>
    <mergeCell ref="M744:M745"/>
    <mergeCell ref="Q1509:Q1510"/>
    <mergeCell ref="D1619:E1619"/>
    <mergeCell ref="M1096:O1096"/>
    <mergeCell ref="F1291:I1291"/>
    <mergeCell ref="O379:O380"/>
    <mergeCell ref="F268:I268"/>
    <mergeCell ref="A257:A258"/>
    <mergeCell ref="B1649:H1649"/>
    <mergeCell ref="A557:A558"/>
    <mergeCell ref="K277:K278"/>
    <mergeCell ref="J967:L967"/>
    <mergeCell ref="P518:R518"/>
    <mergeCell ref="M971:M972"/>
    <mergeCell ref="R894:R895"/>
    <mergeCell ref="J146:J147"/>
    <mergeCell ref="O526:O527"/>
    <mergeCell ref="K1642:K1643"/>
    <mergeCell ref="B1249:L1249"/>
    <mergeCell ref="J934:J935"/>
    <mergeCell ref="M1277:M1278"/>
    <mergeCell ref="O826:O827"/>
    <mergeCell ref="R1325:R1326"/>
    <mergeCell ref="L1761:L1762"/>
    <mergeCell ref="F1433:I1433"/>
    <mergeCell ref="B1371:H1371"/>
    <mergeCell ref="A611:A612"/>
    <mergeCell ref="J1234:J1235"/>
    <mergeCell ref="F410:I410"/>
    <mergeCell ref="J46:L46"/>
    <mergeCell ref="A285:A286"/>
    <mergeCell ref="P1461:P1462"/>
    <mergeCell ref="D519:E519"/>
    <mergeCell ref="H610:I610"/>
    <mergeCell ref="Q498:Q499"/>
    <mergeCell ref="R764:R765"/>
    <mergeCell ref="J1294:J1295"/>
    <mergeCell ref="R617:R618"/>
    <mergeCell ref="B443:C443"/>
    <mergeCell ref="F121:I121"/>
    <mergeCell ref="M1413:M1414"/>
    <mergeCell ref="J1594:J1595"/>
    <mergeCell ref="L597:L598"/>
    <mergeCell ref="O574:O575"/>
    <mergeCell ref="B743:C743"/>
    <mergeCell ref="F421:I421"/>
    <mergeCell ref="Q209:Q210"/>
    <mergeCell ref="O880:O881"/>
    <mergeCell ref="P1603:P1604"/>
    <mergeCell ref="D661:E661"/>
    <mergeCell ref="N815:N816"/>
    <mergeCell ref="J1636:L1636"/>
    <mergeCell ref="P118:P119"/>
    <mergeCell ref="J1736:J1737"/>
    <mergeCell ref="O1107:O1108"/>
    <mergeCell ref="N226:N227"/>
    <mergeCell ref="N410:N411"/>
    <mergeCell ref="H1727:I1727"/>
    <mergeCell ref="B1559:C1559"/>
    <mergeCell ref="O1407:O1408"/>
    <mergeCell ref="N526:N527"/>
    <mergeCell ref="J1642:J1643"/>
    <mergeCell ref="B1123:C1123"/>
    <mergeCell ref="L645:L646"/>
    <mergeCell ref="K217:K218"/>
    <mergeCell ref="N826:N827"/>
    <mergeCell ref="Q1325:Q1326"/>
    <mergeCell ref="J1664:L1664"/>
    <mergeCell ref="R1591:R1592"/>
    <mergeCell ref="F775:I775"/>
    <mergeCell ref="B1270:C1270"/>
    <mergeCell ref="P498:P499"/>
    <mergeCell ref="L1424:L1425"/>
    <mergeCell ref="R1586:R1587"/>
    <mergeCell ref="D1647:E1647"/>
    <mergeCell ref="H715:I715"/>
    <mergeCell ref="B272:H272"/>
    <mergeCell ref="N727:N728"/>
    <mergeCell ref="B1060:H1060"/>
    <mergeCell ref="K597:K598"/>
    <mergeCell ref="N1484:N1485"/>
    <mergeCell ref="M146:M147"/>
    <mergeCell ref="N1642:N1643"/>
    <mergeCell ref="B728:H728"/>
    <mergeCell ref="K265:K266"/>
    <mergeCell ref="P645:P646"/>
    <mergeCell ref="D1242:E1242"/>
    <mergeCell ref="A1634:A1635"/>
    <mergeCell ref="D1636:E1636"/>
    <mergeCell ref="L1719:L1720"/>
    <mergeCell ref="K897:K898"/>
    <mergeCell ref="N880:N881"/>
    <mergeCell ref="N1396:N1397"/>
    <mergeCell ref="O1603:O1604"/>
    <mergeCell ref="P945:P946"/>
    <mergeCell ref="H426:I426"/>
    <mergeCell ref="D1542:E1542"/>
    <mergeCell ref="R1645:R1646"/>
    <mergeCell ref="L1566:L1567"/>
    <mergeCell ref="R1728:R1729"/>
    <mergeCell ref="R248:R249"/>
    <mergeCell ref="J778:J779"/>
    <mergeCell ref="B259:C259"/>
    <mergeCell ref="B414:H414"/>
    <mergeCell ref="O118:O119"/>
    <mergeCell ref="H638:I638"/>
    <mergeCell ref="F1144:I1144"/>
    <mergeCell ref="N1107:N1108"/>
    <mergeCell ref="B559:C559"/>
    <mergeCell ref="J406:L406"/>
    <mergeCell ref="B320:H320"/>
    <mergeCell ref="D1253:E1253"/>
    <mergeCell ref="F1444:I1444"/>
    <mergeCell ref="N1407:N1408"/>
    <mergeCell ref="K1039:K1040"/>
    <mergeCell ref="J217:J218"/>
    <mergeCell ref="K1713:K1714"/>
    <mergeCell ref="M716:M717"/>
    <mergeCell ref="Q965:Q966"/>
    <mergeCell ref="B1408:H1408"/>
    <mergeCell ref="F872:I872"/>
    <mergeCell ref="B1383:H1383"/>
    <mergeCell ref="R328:R329"/>
    <mergeCell ref="L135:L136"/>
    <mergeCell ref="J648:J649"/>
    <mergeCell ref="Q1722:Q1723"/>
    <mergeCell ref="M433:O433"/>
    <mergeCell ref="J117:L117"/>
    <mergeCell ref="F1172:I1172"/>
    <mergeCell ref="R628:R629"/>
    <mergeCell ref="L435:L436"/>
    <mergeCell ref="H780:I780"/>
    <mergeCell ref="D1744:E1744"/>
    <mergeCell ref="J417:L417"/>
    <mergeCell ref="R928:R929"/>
    <mergeCell ref="J548:L548"/>
    <mergeCell ref="B462:H462"/>
    <mergeCell ref="D1395:E1395"/>
    <mergeCell ref="N1549:N1550"/>
    <mergeCell ref="M727:M728"/>
    <mergeCell ref="J359:J360"/>
    <mergeCell ref="R356:R357"/>
    <mergeCell ref="L761:L762"/>
    <mergeCell ref="B182:C182"/>
    <mergeCell ref="K1093:K1094"/>
    <mergeCell ref="M1484:M1485"/>
    <mergeCell ref="F1557:I1557"/>
    <mergeCell ref="J265:J266"/>
    <mergeCell ref="O645:O646"/>
    <mergeCell ref="F1671:I1671"/>
    <mergeCell ref="J1447:J1448"/>
    <mergeCell ref="P943:R943"/>
    <mergeCell ref="O951:O952"/>
    <mergeCell ref="O945:O946"/>
    <mergeCell ref="Q1645:Q1646"/>
    <mergeCell ref="N1277:N1278"/>
    <mergeCell ref="M1232:O1232"/>
    <mergeCell ref="F1552:I1552"/>
    <mergeCell ref="K1566:K1567"/>
    <mergeCell ref="J1075:L1075"/>
    <mergeCell ref="B989:H989"/>
    <mergeCell ref="Q248:Q249"/>
    <mergeCell ref="A387:A388"/>
    <mergeCell ref="N1577:N1578"/>
    <mergeCell ref="B1295:H1295"/>
    <mergeCell ref="M869:M870"/>
    <mergeCell ref="M1543:M1544"/>
    <mergeCell ref="D270:E270"/>
    <mergeCell ref="R367:R368"/>
    <mergeCell ref="K81:K82"/>
    <mergeCell ref="M1169:M1170"/>
    <mergeCell ref="A1450:A1451"/>
    <mergeCell ref="D570:E570"/>
    <mergeCell ref="J1039:J1040"/>
    <mergeCell ref="H1449:I1449"/>
    <mergeCell ref="N265:N266"/>
    <mergeCell ref="H1607:I1607"/>
    <mergeCell ref="J1370:J1371"/>
    <mergeCell ref="P1385:R1385"/>
    <mergeCell ref="F214:I214"/>
    <mergeCell ref="A835:A836"/>
    <mergeCell ref="Q302:Q303"/>
    <mergeCell ref="L1430:L1431"/>
    <mergeCell ref="H1177:I1177"/>
    <mergeCell ref="P1679:P1680"/>
    <mergeCell ref="J1429:L1429"/>
    <mergeCell ref="J814:L814"/>
    <mergeCell ref="R1331:R1332"/>
    <mergeCell ref="H1477:I1477"/>
    <mergeCell ref="O1620:O1621"/>
    <mergeCell ref="L401:L402"/>
    <mergeCell ref="Q775:Q776"/>
    <mergeCell ref="L1158:L1159"/>
    <mergeCell ref="Q1081:Q1082"/>
    <mergeCell ref="B1310:C1310"/>
    <mergeCell ref="B1304:C1304"/>
    <mergeCell ref="F988:I988"/>
    <mergeCell ref="J1140:L1140"/>
    <mergeCell ref="H1562:I1562"/>
    <mergeCell ref="B31:H31"/>
    <mergeCell ref="N461:N462"/>
    <mergeCell ref="K750:K751"/>
    <mergeCell ref="J1440:L1440"/>
    <mergeCell ref="Q1076:Q1077"/>
    <mergeCell ref="P254:P255"/>
    <mergeCell ref="P248:P249"/>
    <mergeCell ref="M1577:M1578"/>
    <mergeCell ref="O580:O581"/>
    <mergeCell ref="L869:L870"/>
    <mergeCell ref="H77:I77"/>
    <mergeCell ref="J868:L868"/>
    <mergeCell ref="R1379:R1380"/>
    <mergeCell ref="A1090:A1091"/>
    <mergeCell ref="M144:O144"/>
    <mergeCell ref="J81:J82"/>
    <mergeCell ref="L1169:L1170"/>
    <mergeCell ref="O1668:O1669"/>
    <mergeCell ref="K478:K479"/>
    <mergeCell ref="J1168:L1168"/>
    <mergeCell ref="F1515:I1515"/>
    <mergeCell ref="D998:E998"/>
    <mergeCell ref="B65:H65"/>
    <mergeCell ref="A1390:A1391"/>
    <mergeCell ref="Q971:Q972"/>
    <mergeCell ref="Q1603:Q1604"/>
    <mergeCell ref="J70:J71"/>
    <mergeCell ref="B479:H479"/>
    <mergeCell ref="P396:P397"/>
    <mergeCell ref="B293:C293"/>
    <mergeCell ref="O1396:O1397"/>
    <mergeCell ref="K804:K805"/>
    <mergeCell ref="H219:I219"/>
    <mergeCell ref="H519:I519"/>
    <mergeCell ref="J282:J283"/>
    <mergeCell ref="Q1750:Q1751"/>
    <mergeCell ref="D1466:E1466"/>
    <mergeCell ref="B533:H533"/>
    <mergeCell ref="N988:N989"/>
    <mergeCell ref="Q1331:Q1332"/>
    <mergeCell ref="F1263:I1263"/>
    <mergeCell ref="A1138:A1139"/>
    <mergeCell ref="B833:H833"/>
    <mergeCell ref="A73:A74"/>
    <mergeCell ref="N1288:N1289"/>
    <mergeCell ref="Q1631:Q1632"/>
    <mergeCell ref="F1569:I1569"/>
    <mergeCell ref="Q1745:Q1746"/>
    <mergeCell ref="E1:G3"/>
    <mergeCell ref="I1:L3"/>
  </mergeCells>
  <conditionalFormatting sqref="M10:R10 M13:R13 M16:R16 M19:R19 M22:R22 M27:R27 M30:R30 M33:R33 M36:R36 M39:R39 M44:R44 M47:R47 M50:R50 M53:R53 M56:R56 M61:R61 M64:R64 M67:R67 M70:R70 M73:R73 M78:R78 M81:R81 M84:R84 M87:R87 M90:R90 M95:R95 M98:R98 M101:R101 M104:R104 M107:R107 M112:R112 M115:R115 M118:R118 M121:R121 M124:R124 M129:R129 M132:R132 M135:R135 M138:R138 M141:R141 M146:R146 M149:R149 M152:R152 M155:R155 M158:R158 M180:R180 M183:R183 M186:R186 M189:R189 M192:R192 M197:R197 M200:R200 M203:R203 M206:R206 M209:R209 M214:R214 M217:R217 M220:R220 M223:R223 M226:R226 M231:R231 M234:R234 M237:R237 M240:R240 M243:R243 M248:R248 M251:R251 M254:R254 M257:R257 M260:R260 M265:R265 M268:R268 M271:R271 M274:R274 M277:R277 M282:R282 M285:R285 M288:R288 M291:R291 M294:R294 M299:R299 M302:R302 M305:R305 M308:R308 M311:R311 M316:R316 M319:R319 M322:R322 M325:R325 M328:R328 M350:R350 M353:R353 M356:R356 M359:R359 M362:R362 M367:R367 M370:R370 M373:R373 M376:R376 M379:R379 M384:R384 M387:R387 M390:R390 M393:R393 M396:R396 M401:R401 M404:R404 M407:R407 M410:R410 M413:R413 M418:R418 M421:R421 M424:R424 M427:R427 M430:R430 M435:R435 M438:R438 M441:R441 M444:R444 M447:R447 M452:R452 M455:R455 M458:R458 M461:R461 M464:R464 M469:R469 M472:R472 M475:R475 M478:R478 M481:R481 M486:R486 M489:R489 M492:R492 M495:R495 M498:R498 M520:R520 M523:R523 M526:R526 M529:R529 M532:R532 M537:R537 M540:R540 M543:R543 M546:R546 M549:R549 M554:R554 M557:R557 M560:R560 M563:R563 M566:R566 M571:R571 M574:R574 M577:R577 M580:R580 M583:R583 M588:R588 M591:R591 M594:R594 M597:R597 M600:R600 M605:R605 M608:R608 M611:R611 M614:R614 M617:R617 M622:R622 M625:R625 M628:R628 M631:R631 M634:R634 M639:R639 M642:R642 M645:R645 M648:R648 M651:R651 M656:R656 M659:R659 M662:R662 M665:R665 M668:R668 M690:R690 M693:R693 M696:R696 M699:R699 M702:R702 M707:R707 M710:R710 M713:R713 M716:R716 M719:R719 M724:R724 M727:R727 M730:R730 M733:R733 M736:R736 M741:R741 M744:R744 M747:R747 M750:R750 M753:R753 M758:R758 M761:R761 M764:R764 M767:R767 M770:R770 M775:R775 M778:R778 M781:R781 M784:R784 M787:R787 M792:R792 M795:R795 M798:R798 M801:R801 M804:R804 M809:R809 M812:R812 M815:R815 M818:R818 M821:R821 M826:R826 M829:R829 M832:R832 M835:R835 M838:R838 M860:R860 M863:R863 M866:R866 M869:R869 M872:R872 M877:R877 M880:R880 M883:R883 M886:R886 M889:R889 M894:R894 M897:R897 M900:R900 M903:R903 M906:R906 M911:R911 M914:R914 M917:R917 M920:R920 M923:R923 M928:R928 M931:R931 M934:R934 M937:R937 M940:R940 M945:R945 M948:R948 M951:R951 M954:R954 M957:R957 M962:R962 M965:R965 M968:R968 M971:R971 M974:R974 M979:R979 M982:R982 M985:R985 M988:R988 M991:R991 M996:R996 M999:R999 M1002:R1002 M1005:R1005 M1008:R1008 M1030:R1030 M1033:R1033 M1036:R1036 M1039:R1039 M1042:R1042 M1047:R1047 M1050:R1050 M1053:R1053 M1056:R1056 M1059:R1059 M1064:R1064 M1067:R1067 M1070:R1070 M1073:R1073 M1076:R1076 M1081:R1081 M1084:R1084 M1087:R1087 M1090:R1090 M1093:R1093 M1098:R1098 M1101:R1101 M1104:R1104 M1107:R1107 M1110:R1110 M1115:R1115 M1118:R1118 M1121:R1121 M1124:R1124 M1127:R1127 M1132:R1132 M1135:R1135 M1138:R1138 M1141:R1141 M1144:R1144 M1149:R1149 M1152:R1152 M1155:R1155 M1158:R1158 M1161:R1161 M1166:R1166 M1169:R1169 M1172:R1172 M1175:R1175 M1178:R1178 M1200:R1200 M1203:R1203 M1206:R1206 M1209:R1209 M1212:R1212 M1217:R1217 M1220:R1220 M1223:R1223 M1226:R1226 M1229:R1229 M1234:R1234 M1237:R1237 M1240:R1240 M1243:R1243 M1246:R1246 M1251:R1251 M1254:R1254 M1257:R1257 M1260:R1260 M1263:R1263 M1268:R1268 M1271:R1271 M1274:R1274 M1277:R1277 M1280:R1280 M1285:R1285 M1288:R1288 M1291:R1291 M1294:R1294 M1297:R1297 M1302:R1302 M1305:R1305 M1308:R1308 M1311:R1311 M1314:R1314 M1319:R1319 M1322:R1322 M1325:R1325 M1328:R1328 M1331:R1331 M1336:R1336 M1339:R1339 M1342:R1342 M1345:R1345 M1348:R1348 M1370:R1370 M1373:R1373 M1376:R1376 M1379:R1379 M1382:R1382 M1387:R1387 M1390:R1390 M1393:R1393 M1396:R1396 M1399:R1399 M1404:R1404 M1407:R1407 M1410:R1410 M1413:R1413 M1416:R1416 M1421:R1421 M1424:R1424 M1427:R1427 M1430:R1430 M1433:R1433 M1438:R1438 M1441:R1441 M1444:R1444 M1447:R1447 M1450:R1450 M1455:R1455 M1458:R1458 M1461:R1461 M1464:R1464 M1467:R1467 M1472:R1472 M1475:R1475 M1478:R1478 M1481:R1481 M1484:R1484 M1489:R1489 M1492:R1492 M1495:R1495 M1498:R1498 M1501:R1501 M1506:R1506 M1509:R1509 M1512:R1512 M1515:R1515 M1518:R1518 M1540:R1540 M1543:R1543 M1546:R1546 M1549:R1549 M1552:R1552 M1557:R1557 M1560:R1560 M1563:R1563 M1566:R1566 M1569:R1569 M1574:R1574 M1577:R1577 M1580:R1580 M1583:R1583 M1586:R1586 M1591:R1591 M1594:R1594 M1597:R1597 M1600:R1600 M1603:R1603 M1608:R1608 M1611:R1611 M1614:R1614 M1617:R1617 M1620:R1620 M1625:R1625 M1628:R1628 M1631:R1631 M1634:R1634 M1637:R1637 M1642:R1642 M1645:R1645 M1648:R1648 M1651:R1651 M1654:R1654 M1659:R1659 M1662:R1662 M1665:R1665 M1668:R1668 M1671:R1671 M1676:R1676 M1679:R1679 M1682:R1682 M1685:R1685 M1688:R1688 M1710:R1710 M1713:R1713 M1716:R1716 M1719:R1719 M1722:R1722 M1725:R1725 M1728:R1728 M1731:R1731 M1736:R1736 M1739:R1739 M1742:R1742 M1745:R1745 M1750:R1750 M1753:R1753 M1758:R1758 M1761:R1761">
    <cfRule type="expression" priority="1" dxfId="0" stopIfTrue="0">
      <formula>AND(M10&lt;&gt;"",COUNTIF($M10:$R10,M10)&gt;1)</formula>
    </cfRule>
  </conditionalFormatting>
  <dataValidations count="2">
    <dataValidation sqref="M10:O10 M13:O13 M16:O16 M19:O19 M22:O22 M27:O27 M30:O30 M33:O33 M36:O36 M39:O39 M44:O44 M47:O47 M50:O50 M53:O53 M56:O56 M61:O61 M64:O64 M67:O67 M70:O70 M73:O73 M78:O78 M81:O81 M84:O84 M87:O87 M90:O90 M95:O95 M98:O98 M101:O101 M104:O104 M107:O107 M112:O112 M115:O115 M118:O118 M121:O121 M124:O124 M129:O129 M132:O132 M135:O135 M138:O138 M141:O141 M146:O146 M149:O149 M152:O152 M155:O155 M158:O158 M180:O180 M183:O183 M186:O186 M189:O189 M192:O192 M197:O197 M200:O200 M203:O203 M206:O206 M209:O209 M214:O214 M217:O217 M220:O220 M223:O223 M226:O226 M231:O231 M234:O234 M237:O237 M240:O240 M243:O243 M248:O248 M251:O251 M254:O254 M257:O257 M260:O260 M265:O265 M268:O268 M271:O271 M274:O274 M277:O277 M282:O282 M285:O285 M288:O288 M291:O291 M294:O294 M299:O299 M302:O302 M305:O305 M308:O308 M311:O311 M316:O316 M319:O319 M322:O322 M325:O325 M328:O328 M350:O350 M353:O353 M356:O356 M359:O359 M362:O362 M367:O367 M370:O370 M373:O373 M376:O376 M379:O379 M384:O384 M387:O387 M390:O390 M393:O393 M396:O396 M401:O401 M404:O404 M407:O407 M410:O410 M413:O413 M418:O418 M421:O421 M424:O424 M427:O427 M430:O430 M435:O435 M438:O438 M441:O441 M444:O444 M447:O447 M452:O452 M455:O455 M458:O458 M461:O461 M464:O464 M469:O469 M472:O472 M475:O475 M478:O478 M481:O481 M486:O486 M489:O489 M492:O492 M495:O495 M498:O498 M520:O520 M523:O523 M526:O526 M529:O529 M532:O532 M537:O537 M540:O540 M543:O543 M546:O546 M549:O549 M554:O554 M557:O557 M560:O560 M563:O563 M566:O566 M571:O571 M574:O574 M577:O577 M580:O580 M583:O583 M588:O588 M591:O591 M594:O594 M597:O597 M600:O600 M605:O605 M608:O608 M611:O611 M614:O614 M617:O617 M622:O622 M625:O625 M628:O628 M631:O631 M634:O634 M639:O639 M642:O642 M645:O645 M648:O648 M651:O651 M656:O656 M659:O659 M662:O662 M665:O665 M668:O668 M690:O690 M693:O693 M696:O696 M699:O699 M702:O702 M707:O707 M710:O710 M713:O713 M716:O716 M719:O719 M724:O724 M727:O727 M730:O730 M733:O733 M736:O736 M741:O741 M744:O744 M747:O747 M750:O750 M753:O753 M758:O758 M761:O761 M764:O764 M767:O767 M770:O770 M775:O775 M778:O778 M781:O781 M784:O784 M787:O787 M792:O792 M795:O795 M798:O798 M801:O801 M804:O804 M809:O809 M812:O812 M815:O815 M818:O818 M821:O821 M826:O826 M829:O829 M832:O832 M835:O835 M838:O838 M860:O860 M863:O863 M866:O866 M869:O869 M872:O872 M877:O877 M880:O880 M883:O883 M886:O886 M889:O889 M894:O894 M897:O897 M900:O900 M903:O903 M906:O906 M911:O911 M914:O914 M917:O917 M920:O920 M923:O923 M928:O928 M931:O931 M934:O934 M937:O937 M940:O940 M945:O945 M948:O948 M951:O951 M954:O954 M957:O957 M962:O962 M965:O965 M968:O968 M971:O971 M974:O974 M979:O979 M982:O982 M985:O985 M988:O988 M991:O991 M996:O996 M999:O999 M1002:O1002 M1005:O1005 M1008:O1008 M1030:O1030 M1033:O1033 M1036:O1036 M1039:O1039 M1042:O1042 M1047:O1047 M1050:O1050 M1053:O1053 M1056:O1056 M1059:O1059 M1064:O1064 M1067:O1067 M1070:O1070 M1073:O1073 M1076:O1076 M1081:O1081 M1084:O1084 M1087:O1087 M1090:O1090 M1093:O1093 M1098:O1098 M1101:O1101 M1104:O1104 M1107:O1107 M1110:O1110 M1115:O1115 M1118:O1118 M1121:O1121 M1124:O1124 M1127:O1127 M1132:O1132 M1135:O1135 M1138:O1138 M1141:O1141 M1144:O1144 M1149:O1149 M1152:O1152 M1155:O1155 M1158:O1158 M1161:O1161 M1166:O1166 M1169:O1169 M1172:O1172 M1175:O1175 M1178:O1178 M1200:O1200 M1203:O1203 M1206:O1206 M1209:O1209 M1212:O1212 M1217:O1217 M1220:O1220 M1223:O1223 M1226:O1226 M1229:O1229 M1234:O1234 M1237:O1237 M1240:O1240 M1243:O1243 M1246:O1246 M1251:O1251 M1254:O1254 M1257:O1257 M1260:O1260 M1263:O1263 M1268:O1268 M1271:O1271 M1274:O1274 M1277:O1277 M1280:O1280 M1285:O1285 M1288:O1288 M1291:O1291 M1294:O1294 M1297:O1297 M1302:O1302 M1305:O1305 M1308:O1308 M1311:O1311 M1314:O1314 M1319:O1319 M1322:O1322 M1325:O1325 M1328:O1328 M1331:O1331 M1336:O1336 M1339:O1339 M1342:O1342 M1345:O1345 M1348:O1348 M1370:O1370 M1373:O1373 M1376:O1376 M1379:O1379 M1382:O1382 M1387:O1387 M1390:O1390 M1393:O1393 M1396:O1396 M1399:O1399 M1404:O1404 M1407:O1407 M1410:O1410 M1413:O1413 M1416:O1416 M1421:O1421 M1424:O1424 M1427:O1427 M1430:O1430 M1433:O1433 M1438:O1438 M1441:O1441 M1444:O1444 M1447:O1447 M1450:O1450 M1455:O1455 M1458:O1458 M1461:O1461 M1464:O1464 M1467:O1467 M1472:O1472 M1475:O1475 M1478:O1478 M1481:O1481 M1484:O1484 M1489:O1489 M1492:O1492 M1495:O1495 M1498:O1498 M1501:O1501 M1506:O1506 M1509:O1509 M1512:O1512 M1515:O1515 M1518:O1518 M1540:O1540 M1543:O1543 M1546:O1546 M1549:O1549 M1552:O1552 M1557:O1557 M1560:O1560 M1563:O1563 M1566:O1566 M1569:O1569 M1574:O1574 M1577:O1577 M1580:O1580 M1583:O1583 M1586:O1586 M1591:O1591 M1594:O1594 M1597:O1597 M1600:O1600 M1603:O1603 M1608:O1608 M1611:O1611 M1614:O1614 M1617:O1617 M1620:O1620 M1625:O1625 M1628:O1628 M1631:O1631 M1634:O1634 M1637:O1637 M1642:O1642 M1645:O1645 M1648:O1648 M1651:O1651 M1654:O1654 M1659:O1659 M1662:O1662 M1665:O1665 M1668:O1668 M1671:O1671 M1676:O1676 M1679:O1679 M1682:O1682 M1685:O1685 M1688:O1688 M1710:O1710 M1713:O1713 M1716:O1716 M1719:O1719 M1722:O1722 M1725:O1725 M1728:O1728 M1731:O1731 M1736:O1736 M1739:O1739 M1742:O1742 M1745:O1745 M1750:O1750 M1753:O1753 M1758:O1758 M1761:O1761" showDropDown="0" showInputMessage="0" showErrorMessage="0" allowBlank="1" errorTitle="Arbitro non valido" error="Nominativo non presente nell'elenco del foglio Arbitri." type="list">
      <formula1>=ARBITRI</formula1>
    </dataValidation>
    <dataValidation sqref="P10:R10 P13:R13 P16:R16 P19:R19 P22:R22 P27:R27 P30:R30 P33:R33 P36:R36 P39:R39 P44:R44 P47:R47 P50:R50 P53:R53 P56:R56 P61:R61 P64:R64 P67:R67 P70:R70 P73:R73 P78:R78 P81:R81 P84:R84 P87:R87 P90:R90 P95:R95 P98:R98 P101:R101 P104:R104 P107:R107 P112:R112 P115:R115 P118:R118 P121:R121 P124:R124 P129:R129 P132:R132 P135:R135 P138:R138 P141:R141 P146:R146 P149:R149 P152:R152 P155:R155 P158:R158 P180:R180 P183:R183 P186:R186 P189:R189 P192:R192 P197:R197 P200:R200 P203:R203 P206:R206 P209:R209 P214:R214 P217:R217 P220:R220 P223:R223 P226:R226 P231:R231 P234:R234 P237:R237 P240:R240 P243:R243 P248:R248 P251:R251 P254:R254 P257:R257 P260:R260 P265:R265 P268:R268 P271:R271 P274:R274 P277:R277 P282:R282 P285:R285 P288:R288 P291:R291 P294:R294 P299:R299 P302:R302 P305:R305 P308:R308 P311:R311 P316:R316 P319:R319 P322:R322 P325:R325 P328:R328 P350:R350 P353:R353 P356:R356 P359:R359 P362:R362 P367:R367 P370:R370 P373:R373 P376:R376 P379:R379 P384:R384 P387:R387 P390:R390 P393:R393 P396:R396 P401:R401 P404:R404 P407:R407 P410:R410 P413:R413 P418:R418 P421:R421 P424:R424 P427:R427 P430:R430 P435:R435 P438:R438 P441:R441 P444:R444 P447:R447 P452:R452 P455:R455 P458:R458 P461:R461 P464:R464 P469:R469 P472:R472 P475:R475 P478:R478 P481:R481 P486:R486 P489:R489 P492:R492 P495:R495 P498:R498 P520:R520 P523:R523 P526:R526 P529:R529 P532:R532 P537:R537 P540:R540 P543:R543 P546:R546 P549:R549 P554:R554 P557:R557 P560:R560 P563:R563 P566:R566 P571:R571 P574:R574 P577:R577 P580:R580 P583:R583 P588:R588 P591:R591 P594:R594 P597:R597 P600:R600 P605:R605 P608:R608 P611:R611 P614:R614 P617:R617 P622:R622 P625:R625 P628:R628 P631:R631 P634:R634 P639:R639 P642:R642 P645:R645 P648:R648 P651:R651 P656:R656 P659:R659 P662:R662 P665:R665 P668:R668 P690:R690 P693:R693 P696:R696 P699:R699 P702:R702 P707:R707 P710:R710 P713:R713 P716:R716 P719:R719 P724:R724 P727:R727 P730:R730 P733:R733 P736:R736 P741:R741 P744:R744 P747:R747 P750:R750 P753:R753 P758:R758 P761:R761 P764:R764 P767:R767 P770:R770 P775:R775 P778:R778 P781:R781 P784:R784 P787:R787 P792:R792 P795:R795 P798:R798 P801:R801 P804:R804 P809:R809 P812:R812 P815:R815 P818:R818 P821:R821 P826:R826 P829:R829 P832:R832 P835:R835 P838:R838 P860:R860 P863:R863 P866:R866 P869:R869 P872:R872 P877:R877 P880:R880 P883:R883 P886:R886 P889:R889 P894:R894 P897:R897 P900:R900 P903:R903 P906:R906 P911:R911 P914:R914 P917:R917 P920:R920 P923:R923 P928:R928 P931:R931 P934:R934 P937:R937 P940:R940 P945:R945 P948:R948 P951:R951 P954:R954 P957:R957 P962:R962 P965:R965 P968:R968 P971:R971 P974:R974 P979:R979 P982:R982 P985:R985 P988:R988 P991:R991 P996:R996 P999:R999 P1002:R1002 P1005:R1005 P1008:R1008 P1030:R1030 P1033:R1033 P1036:R1036 P1039:R1039 P1042:R1042 P1047:R1047 P1050:R1050 P1053:R1053 P1056:R1056 P1059:R1059 P1064:R1064 P1067:R1067 P1070:R1070 P1073:R1073 P1076:R1076 P1081:R1081 P1084:R1084 P1087:R1087 P1090:R1090 P1093:R1093 P1098:R1098 P1101:R1101 P1104:R1104 P1107:R1107 P1110:R1110 P1115:R1115 P1118:R1118 P1121:R1121 P1124:R1124 P1127:R1127 P1132:R1132 P1135:R1135 P1138:R1138 P1141:R1141 P1144:R1144 P1149:R1149 P1152:R1152 P1155:R1155 P1158:R1158 P1161:R1161 P1166:R1166 P1169:R1169 P1172:R1172 P1175:R1175 P1178:R1178 P1200:R1200 P1203:R1203 P1206:R1206 P1209:R1209 P1212:R1212 P1217:R1217 P1220:R1220 P1223:R1223 P1226:R1226 P1229:R1229 P1234:R1234 P1237:R1237 P1240:R1240 P1243:R1243 P1246:R1246 P1251:R1251 P1254:R1254 P1257:R1257 P1260:R1260 P1263:R1263 P1268:R1268 P1271:R1271 P1274:R1274 P1277:R1277 P1280:R1280 P1285:R1285 P1288:R1288 P1291:R1291 P1294:R1294 P1297:R1297 P1302:R1302 P1305:R1305 P1308:R1308 P1311:R1311 P1314:R1314 P1319:R1319 P1322:R1322 P1325:R1325 P1328:R1328 P1331:R1331 P1336:R1336 P1339:R1339 P1342:R1342 P1345:R1345 P1348:R1348 P1370:R1370 P1373:R1373 P1376:R1376 P1379:R1379 P1382:R1382 P1387:R1387 P1390:R1390 P1393:R1393 P1396:R1396 P1399:R1399 P1404:R1404 P1407:R1407 P1410:R1410 P1413:R1413 P1416:R1416 P1421:R1421 P1424:R1424 P1427:R1427 P1430:R1430 P1433:R1433 P1438:R1438 P1441:R1441 P1444:R1444 P1447:R1447 P1450:R1450 P1455:R1455 P1458:R1458 P1461:R1461 P1464:R1464 P1467:R1467 P1472:R1472 P1475:R1475 P1478:R1478 P1481:R1481 P1484:R1484 P1489:R1489 P1492:R1492 P1495:R1495 P1498:R1498 P1501:R1501 P1506:R1506 P1509:R1509 P1512:R1512 P1515:R1515 P1518:R1518 P1540:R1540 P1543:R1543 P1546:R1546 P1549:R1549 P1552:R1552 P1557:R1557 P1560:R1560 P1563:R1563 P1566:R1566 P1569:R1569 P1574:R1574 P1577:R1577 P1580:R1580 P1583:R1583 P1586:R1586 P1591:R1591 P1594:R1594 P1597:R1597 P1600:R1600 P1603:R1603 P1608:R1608 P1611:R1611 P1614:R1614 P1617:R1617 P1620:R1620 P1625:R1625 P1628:R1628 P1631:R1631 P1634:R1634 P1637:R1637 P1642:R1642 P1645:R1645 P1648:R1648 P1651:R1651 P1654:R1654 P1659:R1659 P1662:R1662 P1665:R1665 P1668:R1668 P1671:R1671 P1676:R1676 P1679:R1679 P1682:R1682 P1685:R1685 P1688:R1688 P1710:R1710 P1713:R1713 P1716:R1716 P1719:R1719 P1722:R1722 P1725:R1725 P1728:R1728 P1731:R1731 P1736:R1736 P1739:R1739 P1742:R1742 P1745:R1745 P1750:R1750 P1753:R1753 P1758:R1758 P1761:R1761" showDropDown="0" showInputMessage="0" showErrorMessage="0" allowBlank="1" errorTitle="Ufficiale di campo non valido" error="Nominativo non presente nell'elenco del foglio UdC." type="list">
      <formula1>=UDC</formula1>
    </dataValidation>
  </dataValidations>
  <pageMargins left="0.4" right="0.4" top="0.5" bottom="0.5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O10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constNomeCampionato&amp;""</f>
        <v/>
      </c>
    </row>
    <row r="2">
      <c r="A2" s="219">
        <f>"Arbitri - Stagione "&amp;constStagionaCampionato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1o Arbitro</t>
        </is>
      </c>
      <c r="N4" s="8" t="inlineStr">
        <is>
          <t>2o Arbitro</t>
        </is>
      </c>
      <c r="O4" s="8" t="inlineStr">
        <is>
          <t>3o Arb./Tiroc.</t>
        </is>
      </c>
    </row>
    <row r="5">
      <c r="C5" s="190" t="inlineStr">
        <is>
          <t>ARBITRI</t>
        </is>
      </c>
      <c r="D5" s="13" t="n"/>
      <c r="E5" s="220" t="n"/>
      <c r="L5" s="64">
        <f>IF($D5="","",SUM(M5:O5))</f>
        <v/>
      </c>
      <c r="M5" s="64">
        <f>IF($D5="","",COUNTIF(DESIGNAZIONI!M$8:M$1772,$D5))</f>
        <v/>
      </c>
      <c r="N5" s="64">
        <f>IF($D5="","",COUNTIF(DESIGNAZIONI!N$8:N$1772,$D5))</f>
        <v/>
      </c>
      <c r="O5" s="64">
        <f>IF($D5="","",COUNTIF(DESIGNAZIONI!O$8:O$1772,$D5))</f>
        <v/>
      </c>
    </row>
    <row r="6">
      <c r="C6" s="224" t="n"/>
      <c r="D6" s="13" t="n"/>
      <c r="E6" s="220" t="n"/>
      <c r="L6" s="64">
        <f>IF($D6="","",SUM(M6:O6))</f>
        <v/>
      </c>
      <c r="M6" s="64">
        <f>IF($D6="","",COUNTIF(DESIGNAZIONI!M$8:M$1772,$D6))</f>
        <v/>
      </c>
      <c r="N6" s="64">
        <f>IF($D6="","",COUNTIF(DESIGNAZIONI!N$8:N$1772,$D6))</f>
        <v/>
      </c>
      <c r="O6" s="64">
        <f>IF($D6="","",COUNTIF(DESIGNAZIONI!O$8:O$1772,$D6))</f>
        <v/>
      </c>
    </row>
    <row r="7">
      <c r="C7" s="224" t="n"/>
      <c r="D7" s="13" t="n"/>
      <c r="E7" s="220" t="n"/>
      <c r="L7" s="64">
        <f>IF($D7="","",SUM(M7:O7))</f>
        <v/>
      </c>
      <c r="M7" s="64">
        <f>IF($D7="","",COUNTIF(DESIGNAZIONI!M$8:M$1772,$D7))</f>
        <v/>
      </c>
      <c r="N7" s="64">
        <f>IF($D7="","",COUNTIF(DESIGNAZIONI!N$8:N$1772,$D7))</f>
        <v/>
      </c>
      <c r="O7" s="64">
        <f>IF($D7="","",COUNTIF(DESIGNAZIONI!O$8:O$1772,$D7))</f>
        <v/>
      </c>
    </row>
    <row r="8">
      <c r="C8" s="224" t="n"/>
      <c r="D8" s="13" t="n"/>
      <c r="E8" s="220" t="n"/>
      <c r="L8" s="64">
        <f>IF($D8="","",SUM(M8:O8))</f>
        <v/>
      </c>
      <c r="M8" s="64">
        <f>IF($D8="","",COUNTIF(DESIGNAZIONI!M$8:M$1772,$D8))</f>
        <v/>
      </c>
      <c r="N8" s="64">
        <f>IF($D8="","",COUNTIF(DESIGNAZIONI!N$8:N$1772,$D8))</f>
        <v/>
      </c>
      <c r="O8" s="64">
        <f>IF($D8="","",COUNTIF(DESIGNAZIONI!O$8:O$1772,$D8))</f>
        <v/>
      </c>
    </row>
    <row r="9">
      <c r="C9" s="224" t="n"/>
      <c r="D9" s="13" t="n"/>
      <c r="E9" s="220" t="n"/>
      <c r="L9" s="64">
        <f>IF($D9="","",SUM(M9:O9))</f>
        <v/>
      </c>
      <c r="M9" s="64">
        <f>IF($D9="","",COUNTIF(DESIGNAZIONI!M$8:M$1772,$D9))</f>
        <v/>
      </c>
      <c r="N9" s="64">
        <f>IF($D9="","",COUNTIF(DESIGNAZIONI!N$8:N$1772,$D9))</f>
        <v/>
      </c>
      <c r="O9" s="64">
        <f>IF($D9="","",COUNTIF(DESIGNAZIONI!O$8:O$1772,$D9))</f>
        <v/>
      </c>
    </row>
    <row r="10">
      <c r="C10" s="224" t="n"/>
      <c r="D10" s="13" t="n"/>
      <c r="E10" s="220" t="n"/>
      <c r="L10" s="64">
        <f>IF($D10="","",SUM(M10:O10))</f>
        <v/>
      </c>
      <c r="M10" s="64">
        <f>IF($D10="","",COUNTIF(DESIGNAZIONI!M$8:M$1772,$D10))</f>
        <v/>
      </c>
      <c r="N10" s="64">
        <f>IF($D10="","",COUNTIF(DESIGNAZIONI!N$8:N$1772,$D10))</f>
        <v/>
      </c>
      <c r="O10" s="64">
        <f>IF($D10="","",COUNTIF(DESIGNAZIONI!O$8:O$1772,$D10))</f>
        <v/>
      </c>
    </row>
    <row r="11">
      <c r="C11" s="224" t="n"/>
      <c r="D11" s="13" t="n"/>
      <c r="E11" s="220" t="n"/>
      <c r="L11" s="64">
        <f>IF($D11="","",SUM(M11:O11))</f>
        <v/>
      </c>
      <c r="M11" s="64">
        <f>IF($D11="","",COUNTIF(DESIGNAZIONI!M$8:M$1772,$D11))</f>
        <v/>
      </c>
      <c r="N11" s="64">
        <f>IF($D11="","",COUNTIF(DESIGNAZIONI!N$8:N$1772,$D11))</f>
        <v/>
      </c>
      <c r="O11" s="64">
        <f>IF($D11="","",COUNTIF(DESIGNAZIONI!O$8:O$1772,$D11))</f>
        <v/>
      </c>
    </row>
    <row r="12">
      <c r="C12" s="224" t="n"/>
      <c r="D12" s="13" t="n"/>
      <c r="E12" s="220" t="n"/>
      <c r="L12" s="64">
        <f>IF($D12="","",SUM(M12:O12))</f>
        <v/>
      </c>
      <c r="M12" s="64">
        <f>IF($D12="","",COUNTIF(DESIGNAZIONI!M$8:M$1772,$D12))</f>
        <v/>
      </c>
      <c r="N12" s="64">
        <f>IF($D12="","",COUNTIF(DESIGNAZIONI!N$8:N$1772,$D12))</f>
        <v/>
      </c>
      <c r="O12" s="64">
        <f>IF($D12="","",COUNTIF(DESIGNAZIONI!O$8:O$1772,$D12))</f>
        <v/>
      </c>
    </row>
    <row r="13">
      <c r="C13" s="224" t="n"/>
      <c r="D13" s="13" t="n"/>
      <c r="E13" s="220" t="n"/>
      <c r="L13" s="64">
        <f>IF($D13="","",SUM(M13:O13))</f>
        <v/>
      </c>
      <c r="M13" s="64">
        <f>IF($D13="","",COUNTIF(DESIGNAZIONI!M$8:M$1772,$D13))</f>
        <v/>
      </c>
      <c r="N13" s="64">
        <f>IF($D13="","",COUNTIF(DESIGNAZIONI!N$8:N$1772,$D13))</f>
        <v/>
      </c>
      <c r="O13" s="64">
        <f>IF($D13="","",COUNTIF(DESIGNAZIONI!O$8:O$1772,$D13))</f>
        <v/>
      </c>
    </row>
    <row r="14">
      <c r="C14" s="224" t="n"/>
      <c r="D14" s="13" t="n"/>
      <c r="E14" s="220" t="n"/>
      <c r="L14" s="64">
        <f>IF($D14="","",SUM(M14:O14))</f>
        <v/>
      </c>
      <c r="M14" s="64">
        <f>IF($D14="","",COUNTIF(DESIGNAZIONI!M$8:M$1772,$D14))</f>
        <v/>
      </c>
      <c r="N14" s="64">
        <f>IF($D14="","",COUNTIF(DESIGNAZIONI!N$8:N$1772,$D14))</f>
        <v/>
      </c>
      <c r="O14" s="64">
        <f>IF($D14="","",COUNTIF(DESIGNAZIONI!O$8:O$1772,$D14))</f>
        <v/>
      </c>
    </row>
    <row r="15">
      <c r="C15" s="224" t="n"/>
      <c r="D15" s="13" t="n"/>
      <c r="E15" s="220" t="n"/>
      <c r="L15" s="64">
        <f>IF($D15="","",SUM(M15:O15))</f>
        <v/>
      </c>
      <c r="M15" s="64">
        <f>IF($D15="","",COUNTIF(DESIGNAZIONI!M$8:M$1772,$D15))</f>
        <v/>
      </c>
      <c r="N15" s="64">
        <f>IF($D15="","",COUNTIF(DESIGNAZIONI!N$8:N$1772,$D15))</f>
        <v/>
      </c>
      <c r="O15" s="64">
        <f>IF($D15="","",COUNTIF(DESIGNAZIONI!O$8:O$1772,$D15))</f>
        <v/>
      </c>
    </row>
    <row r="16">
      <c r="C16" s="224" t="n"/>
      <c r="D16" s="13" t="n"/>
      <c r="E16" s="220" t="n"/>
      <c r="L16" s="64">
        <f>IF($D16="","",SUM(M16:O16))</f>
        <v/>
      </c>
      <c r="M16" s="64">
        <f>IF($D16="","",COUNTIF(DESIGNAZIONI!M$8:M$1772,$D16))</f>
        <v/>
      </c>
      <c r="N16" s="64">
        <f>IF($D16="","",COUNTIF(DESIGNAZIONI!N$8:N$1772,$D16))</f>
        <v/>
      </c>
      <c r="O16" s="64">
        <f>IF($D16="","",COUNTIF(DESIGNAZIONI!O$8:O$1772,$D16))</f>
        <v/>
      </c>
    </row>
    <row r="17">
      <c r="C17" s="224" t="n"/>
      <c r="D17" s="13" t="n"/>
      <c r="E17" s="220" t="n"/>
      <c r="L17" s="64">
        <f>IF($D17="","",SUM(M17:O17))</f>
        <v/>
      </c>
      <c r="M17" s="64">
        <f>IF($D17="","",COUNTIF(DESIGNAZIONI!M$8:M$1772,$D17))</f>
        <v/>
      </c>
      <c r="N17" s="64">
        <f>IF($D17="","",COUNTIF(DESIGNAZIONI!N$8:N$1772,$D17))</f>
        <v/>
      </c>
      <c r="O17" s="64">
        <f>IF($D17="","",COUNTIF(DESIGNAZIONI!O$8:O$1772,$D17))</f>
        <v/>
      </c>
    </row>
    <row r="18">
      <c r="C18" s="224" t="n"/>
      <c r="D18" s="13" t="n"/>
      <c r="E18" s="220" t="n"/>
      <c r="L18" s="64">
        <f>IF($D18="","",SUM(M18:O18))</f>
        <v/>
      </c>
      <c r="M18" s="64">
        <f>IF($D18="","",COUNTIF(DESIGNAZIONI!M$8:M$1772,$D18))</f>
        <v/>
      </c>
      <c r="N18" s="64">
        <f>IF($D18="","",COUNTIF(DESIGNAZIONI!N$8:N$1772,$D18))</f>
        <v/>
      </c>
      <c r="O18" s="64">
        <f>IF($D18="","",COUNTIF(DESIGNAZIONI!O$8:O$1772,$D18))</f>
        <v/>
      </c>
    </row>
    <row r="19">
      <c r="C19" s="224" t="n"/>
      <c r="D19" s="13" t="n"/>
      <c r="E19" s="220" t="n"/>
      <c r="L19" s="64">
        <f>IF($D19="","",SUM(M19:O19))</f>
        <v/>
      </c>
      <c r="M19" s="64">
        <f>IF($D19="","",COUNTIF(DESIGNAZIONI!M$8:M$1772,$D19))</f>
        <v/>
      </c>
      <c r="N19" s="64">
        <f>IF($D19="","",COUNTIF(DESIGNAZIONI!N$8:N$1772,$D19))</f>
        <v/>
      </c>
      <c r="O19" s="64">
        <f>IF($D19="","",COUNTIF(DESIGNAZIONI!O$8:O$1772,$D19))</f>
        <v/>
      </c>
    </row>
    <row r="20">
      <c r="C20" s="224" t="n"/>
      <c r="D20" s="13" t="n"/>
      <c r="E20" s="220" t="n"/>
      <c r="L20" s="64">
        <f>IF($D20="","",SUM(M20:O20))</f>
        <v/>
      </c>
      <c r="M20" s="64">
        <f>IF($D20="","",COUNTIF(DESIGNAZIONI!M$8:M$1772,$D20))</f>
        <v/>
      </c>
      <c r="N20" s="64">
        <f>IF($D20="","",COUNTIF(DESIGNAZIONI!N$8:N$1772,$D20))</f>
        <v/>
      </c>
      <c r="O20" s="64">
        <f>IF($D20="","",COUNTIF(DESIGNAZIONI!O$8:O$1772,$D20))</f>
        <v/>
      </c>
    </row>
    <row r="21">
      <c r="C21" s="224" t="n"/>
      <c r="D21" s="13" t="n"/>
      <c r="E21" s="220" t="n"/>
      <c r="L21" s="64">
        <f>IF($D21="","",SUM(M21:O21))</f>
        <v/>
      </c>
      <c r="M21" s="64">
        <f>IF($D21="","",COUNTIF(DESIGNAZIONI!M$8:M$1772,$D21))</f>
        <v/>
      </c>
      <c r="N21" s="64">
        <f>IF($D21="","",COUNTIF(DESIGNAZIONI!N$8:N$1772,$D21))</f>
        <v/>
      </c>
      <c r="O21" s="64">
        <f>IF($D21="","",COUNTIF(DESIGNAZIONI!O$8:O$1772,$D21))</f>
        <v/>
      </c>
    </row>
    <row r="22">
      <c r="C22" s="224" t="n"/>
      <c r="D22" s="13" t="n"/>
      <c r="E22" s="220" t="n"/>
      <c r="L22" s="64">
        <f>IF($D22="","",SUM(M22:O22))</f>
        <v/>
      </c>
      <c r="M22" s="64">
        <f>IF($D22="","",COUNTIF(DESIGNAZIONI!M$8:M$1772,$D22))</f>
        <v/>
      </c>
      <c r="N22" s="64">
        <f>IF($D22="","",COUNTIF(DESIGNAZIONI!N$8:N$1772,$D22))</f>
        <v/>
      </c>
      <c r="O22" s="64">
        <f>IF($D22="","",COUNTIF(DESIGNAZIONI!O$8:O$1772,$D22))</f>
        <v/>
      </c>
    </row>
    <row r="23">
      <c r="C23" s="224" t="n"/>
      <c r="D23" s="13" t="n"/>
      <c r="E23" s="220" t="n"/>
      <c r="L23" s="64">
        <f>IF($D23="","",SUM(M23:O23))</f>
        <v/>
      </c>
      <c r="M23" s="64">
        <f>IF($D23="","",COUNTIF(DESIGNAZIONI!M$8:M$1772,$D23))</f>
        <v/>
      </c>
      <c r="N23" s="64">
        <f>IF($D23="","",COUNTIF(DESIGNAZIONI!N$8:N$1772,$D23))</f>
        <v/>
      </c>
      <c r="O23" s="64">
        <f>IF($D23="","",COUNTIF(DESIGNAZIONI!O$8:O$1772,$D23))</f>
        <v/>
      </c>
    </row>
    <row r="24">
      <c r="C24" s="224" t="n"/>
      <c r="D24" s="13" t="n"/>
      <c r="E24" s="220" t="n"/>
      <c r="L24" s="64">
        <f>IF($D24="","",SUM(M24:O24))</f>
        <v/>
      </c>
      <c r="M24" s="64">
        <f>IF($D24="","",COUNTIF(DESIGNAZIONI!M$8:M$1772,$D24))</f>
        <v/>
      </c>
      <c r="N24" s="64">
        <f>IF($D24="","",COUNTIF(DESIGNAZIONI!N$8:N$1772,$D24))</f>
        <v/>
      </c>
      <c r="O24" s="64">
        <f>IF($D24="","",COUNTIF(DESIGNAZIONI!O$8:O$1772,$D24))</f>
        <v/>
      </c>
    </row>
    <row r="25">
      <c r="C25" s="224" t="n"/>
      <c r="D25" s="13" t="n"/>
      <c r="E25" s="220" t="n"/>
      <c r="L25" s="64">
        <f>IF($D25="","",SUM(M25:O25))</f>
        <v/>
      </c>
      <c r="M25" s="64">
        <f>IF($D25="","",COUNTIF(DESIGNAZIONI!M$8:M$1772,$D25))</f>
        <v/>
      </c>
      <c r="N25" s="64">
        <f>IF($D25="","",COUNTIF(DESIGNAZIONI!N$8:N$1772,$D25))</f>
        <v/>
      </c>
      <c r="O25" s="64">
        <f>IF($D25="","",COUNTIF(DESIGNAZIONI!O$8:O$1772,$D25))</f>
        <v/>
      </c>
    </row>
    <row r="26">
      <c r="C26" s="224" t="n"/>
      <c r="D26" s="13" t="n"/>
      <c r="E26" s="220" t="n"/>
      <c r="L26" s="64">
        <f>IF($D26="","",SUM(M26:O26))</f>
        <v/>
      </c>
      <c r="M26" s="64">
        <f>IF($D26="","",COUNTIF(DESIGNAZIONI!M$8:M$1772,$D26))</f>
        <v/>
      </c>
      <c r="N26" s="64">
        <f>IF($D26="","",COUNTIF(DESIGNAZIONI!N$8:N$1772,$D26))</f>
        <v/>
      </c>
      <c r="O26" s="64">
        <f>IF($D26="","",COUNTIF(DESIGNAZIONI!O$8:O$1772,$D26))</f>
        <v/>
      </c>
    </row>
    <row r="27">
      <c r="C27" s="224" t="n"/>
      <c r="D27" s="13" t="n"/>
      <c r="E27" s="220" t="n"/>
      <c r="L27" s="64">
        <f>IF($D27="","",SUM(M27:O27))</f>
        <v/>
      </c>
      <c r="M27" s="64">
        <f>IF($D27="","",COUNTIF(DESIGNAZIONI!M$8:M$1772,$D27))</f>
        <v/>
      </c>
      <c r="N27" s="64">
        <f>IF($D27="","",COUNTIF(DESIGNAZIONI!N$8:N$1772,$D27))</f>
        <v/>
      </c>
      <c r="O27" s="64">
        <f>IF($D27="","",COUNTIF(DESIGNAZIONI!O$8:O$1772,$D27))</f>
        <v/>
      </c>
    </row>
    <row r="28">
      <c r="C28" s="224" t="n"/>
      <c r="D28" s="13" t="n"/>
      <c r="E28" s="220" t="n"/>
      <c r="L28" s="64">
        <f>IF($D28="","",SUM(M28:O28))</f>
        <v/>
      </c>
      <c r="M28" s="64">
        <f>IF($D28="","",COUNTIF(DESIGNAZIONI!M$8:M$1772,$D28))</f>
        <v/>
      </c>
      <c r="N28" s="64">
        <f>IF($D28="","",COUNTIF(DESIGNAZIONI!N$8:N$1772,$D28))</f>
        <v/>
      </c>
      <c r="O28" s="64">
        <f>IF($D28="","",COUNTIF(DESIGNAZIONI!O$8:O$1772,$D28))</f>
        <v/>
      </c>
    </row>
    <row r="29">
      <c r="C29" s="224" t="n"/>
      <c r="D29" s="13" t="n"/>
      <c r="E29" s="220" t="n"/>
      <c r="L29" s="64">
        <f>IF($D29="","",SUM(M29:O29))</f>
        <v/>
      </c>
      <c r="M29" s="64">
        <f>IF($D29="","",COUNTIF(DESIGNAZIONI!M$8:M$1772,$D29))</f>
        <v/>
      </c>
      <c r="N29" s="64">
        <f>IF($D29="","",COUNTIF(DESIGNAZIONI!N$8:N$1772,$D29))</f>
        <v/>
      </c>
      <c r="O29" s="64">
        <f>IF($D29="","",COUNTIF(DESIGNAZIONI!O$8:O$1772,$D29))</f>
        <v/>
      </c>
    </row>
    <row r="30">
      <c r="C30" s="224" t="n"/>
      <c r="D30" s="13" t="n"/>
      <c r="E30" s="220" t="n"/>
      <c r="L30" s="64">
        <f>IF($D30="","",SUM(M30:O30))</f>
        <v/>
      </c>
      <c r="M30" s="64">
        <f>IF($D30="","",COUNTIF(DESIGNAZIONI!M$8:M$1772,$D30))</f>
        <v/>
      </c>
      <c r="N30" s="64">
        <f>IF($D30="","",COUNTIF(DESIGNAZIONI!N$8:N$1772,$D30))</f>
        <v/>
      </c>
      <c r="O30" s="64">
        <f>IF($D30="","",COUNTIF(DESIGNAZIONI!O$8:O$1772,$D30))</f>
        <v/>
      </c>
    </row>
    <row r="31">
      <c r="C31" s="224" t="n"/>
      <c r="D31" s="13" t="n"/>
      <c r="E31" s="220" t="n"/>
      <c r="L31" s="64">
        <f>IF($D31="","",SUM(M31:O31))</f>
        <v/>
      </c>
      <c r="M31" s="64">
        <f>IF($D31="","",COUNTIF(DESIGNAZIONI!M$8:M$1772,$D31))</f>
        <v/>
      </c>
      <c r="N31" s="64">
        <f>IF($D31="","",COUNTIF(DESIGNAZIONI!N$8:N$1772,$D31))</f>
        <v/>
      </c>
      <c r="O31" s="64">
        <f>IF($D31="","",COUNTIF(DESIGNAZIONI!O$8:O$1772,$D31))</f>
        <v/>
      </c>
    </row>
    <row r="32">
      <c r="C32" s="224" t="n"/>
      <c r="D32" s="13" t="n"/>
      <c r="E32" s="220" t="n"/>
      <c r="L32" s="64">
        <f>IF($D32="","",SUM(M32:O32))</f>
        <v/>
      </c>
      <c r="M32" s="64">
        <f>IF($D32="","",COUNTIF(DESIGNAZIONI!M$8:M$1772,$D32))</f>
        <v/>
      </c>
      <c r="N32" s="64">
        <f>IF($D32="","",COUNTIF(DESIGNAZIONI!N$8:N$1772,$D32))</f>
        <v/>
      </c>
      <c r="O32" s="64">
        <f>IF($D32="","",COUNTIF(DESIGNAZIONI!O$8:O$1772,$D32))</f>
        <v/>
      </c>
    </row>
    <row r="33">
      <c r="C33" s="224" t="n"/>
      <c r="D33" s="13" t="n"/>
      <c r="E33" s="220" t="n"/>
      <c r="L33" s="64">
        <f>IF($D33="","",SUM(M33:O33))</f>
        <v/>
      </c>
      <c r="M33" s="64">
        <f>IF($D33="","",COUNTIF(DESIGNAZIONI!M$8:M$1772,$D33))</f>
        <v/>
      </c>
      <c r="N33" s="64">
        <f>IF($D33="","",COUNTIF(DESIGNAZIONI!N$8:N$1772,$D33))</f>
        <v/>
      </c>
      <c r="O33" s="64">
        <f>IF($D33="","",COUNTIF(DESIGNAZIONI!O$8:O$1772,$D33))</f>
        <v/>
      </c>
    </row>
    <row r="34">
      <c r="C34" s="224" t="n"/>
      <c r="D34" s="13" t="n"/>
      <c r="E34" s="220" t="n"/>
      <c r="L34" s="64">
        <f>IF($D34="","",SUM(M34:O34))</f>
        <v/>
      </c>
      <c r="M34" s="64">
        <f>IF($D34="","",COUNTIF(DESIGNAZIONI!M$8:M$1772,$D34))</f>
        <v/>
      </c>
      <c r="N34" s="64">
        <f>IF($D34="","",COUNTIF(DESIGNAZIONI!N$8:N$1772,$D34))</f>
        <v/>
      </c>
      <c r="O34" s="64">
        <f>IF($D34="","",COUNTIF(DESIGNAZIONI!O$8:O$1772,$D34))</f>
        <v/>
      </c>
    </row>
    <row r="35">
      <c r="C35" s="224" t="n"/>
      <c r="D35" s="13" t="n"/>
      <c r="E35" s="220" t="n"/>
      <c r="L35" s="64">
        <f>IF($D35="","",SUM(M35:O35))</f>
        <v/>
      </c>
      <c r="M35" s="64">
        <f>IF($D35="","",COUNTIF(DESIGNAZIONI!M$8:M$1772,$D35))</f>
        <v/>
      </c>
      <c r="N35" s="64">
        <f>IF($D35="","",COUNTIF(DESIGNAZIONI!N$8:N$1772,$D35))</f>
        <v/>
      </c>
      <c r="O35" s="64">
        <f>IF($D35="","",COUNTIF(DESIGNAZIONI!O$8:O$1772,$D35))</f>
        <v/>
      </c>
    </row>
    <row r="36">
      <c r="C36" s="224" t="n"/>
      <c r="D36" s="13" t="n"/>
      <c r="E36" s="220" t="n"/>
      <c r="L36" s="64">
        <f>IF($D36="","",SUM(M36:O36))</f>
        <v/>
      </c>
      <c r="M36" s="64">
        <f>IF($D36="","",COUNTIF(DESIGNAZIONI!M$8:M$1772,$D36))</f>
        <v/>
      </c>
      <c r="N36" s="64">
        <f>IF($D36="","",COUNTIF(DESIGNAZIONI!N$8:N$1772,$D36))</f>
        <v/>
      </c>
      <c r="O36" s="64">
        <f>IF($D36="","",COUNTIF(DESIGNAZIONI!O$8:O$1772,$D36))</f>
        <v/>
      </c>
    </row>
    <row r="37">
      <c r="C37" s="224" t="n"/>
      <c r="D37" s="13" t="n"/>
      <c r="E37" s="220" t="n"/>
      <c r="L37" s="64">
        <f>IF($D37="","",SUM(M37:O37))</f>
        <v/>
      </c>
      <c r="M37" s="64">
        <f>IF($D37="","",COUNTIF(DESIGNAZIONI!M$8:M$1772,$D37))</f>
        <v/>
      </c>
      <c r="N37" s="64">
        <f>IF($D37="","",COUNTIF(DESIGNAZIONI!N$8:N$1772,$D37))</f>
        <v/>
      </c>
      <c r="O37" s="64">
        <f>IF($D37="","",COUNTIF(DESIGNAZIONI!O$8:O$1772,$D37))</f>
        <v/>
      </c>
    </row>
    <row r="38">
      <c r="C38" s="224" t="n"/>
      <c r="D38" s="13" t="n"/>
      <c r="E38" s="220" t="n"/>
      <c r="L38" s="64">
        <f>IF($D38="","",SUM(M38:O38))</f>
        <v/>
      </c>
      <c r="M38" s="64">
        <f>IF($D38="","",COUNTIF(DESIGNAZIONI!M$8:M$1772,$D38))</f>
        <v/>
      </c>
      <c r="N38" s="64">
        <f>IF($D38="","",COUNTIF(DESIGNAZIONI!N$8:N$1772,$D38))</f>
        <v/>
      </c>
      <c r="O38" s="64">
        <f>IF($D38="","",COUNTIF(DESIGNAZIONI!O$8:O$1772,$D38))</f>
        <v/>
      </c>
    </row>
    <row r="39">
      <c r="C39" s="224" t="n"/>
      <c r="D39" s="13" t="n"/>
      <c r="E39" s="220" t="n"/>
      <c r="L39" s="64">
        <f>IF($D39="","",SUM(M39:O39))</f>
        <v/>
      </c>
      <c r="M39" s="64">
        <f>IF($D39="","",COUNTIF(DESIGNAZIONI!M$8:M$1772,$D39))</f>
        <v/>
      </c>
      <c r="N39" s="64">
        <f>IF($D39="","",COUNTIF(DESIGNAZIONI!N$8:N$1772,$D39))</f>
        <v/>
      </c>
      <c r="O39" s="64">
        <f>IF($D39="","",COUNTIF(DESIGNAZIONI!O$8:O$1772,$D39))</f>
        <v/>
      </c>
    </row>
    <row r="40">
      <c r="C40" s="224" t="n"/>
      <c r="D40" s="13" t="n"/>
      <c r="E40" s="220" t="n"/>
      <c r="L40" s="64">
        <f>IF($D40="","",SUM(M40:O40))</f>
        <v/>
      </c>
      <c r="M40" s="64">
        <f>IF($D40="","",COUNTIF(DESIGNAZIONI!M$8:M$1772,$D40))</f>
        <v/>
      </c>
      <c r="N40" s="64">
        <f>IF($D40="","",COUNTIF(DESIGNAZIONI!N$8:N$1772,$D40))</f>
        <v/>
      </c>
      <c r="O40" s="64">
        <f>IF($D40="","",COUNTIF(DESIGNAZIONI!O$8:O$1772,$D40))</f>
        <v/>
      </c>
    </row>
    <row r="41">
      <c r="C41" s="224" t="n"/>
      <c r="D41" s="13" t="n"/>
      <c r="E41" s="220" t="n"/>
      <c r="L41" s="64">
        <f>IF($D41="","",SUM(M41:O41))</f>
        <v/>
      </c>
      <c r="M41" s="64">
        <f>IF($D41="","",COUNTIF(DESIGNAZIONI!M$8:M$1772,$D41))</f>
        <v/>
      </c>
      <c r="N41" s="64">
        <f>IF($D41="","",COUNTIF(DESIGNAZIONI!N$8:N$1772,$D41))</f>
        <v/>
      </c>
      <c r="O41" s="64">
        <f>IF($D41="","",COUNTIF(DESIGNAZIONI!O$8:O$1772,$D41))</f>
        <v/>
      </c>
    </row>
    <row r="42">
      <c r="C42" s="224" t="n"/>
      <c r="D42" s="13" t="n"/>
      <c r="E42" s="220" t="n"/>
      <c r="L42" s="64">
        <f>IF($D42="","",SUM(M42:O42))</f>
        <v/>
      </c>
      <c r="M42" s="64">
        <f>IF($D42="","",COUNTIF(DESIGNAZIONI!M$8:M$1772,$D42))</f>
        <v/>
      </c>
      <c r="N42" s="64">
        <f>IF($D42="","",COUNTIF(DESIGNAZIONI!N$8:N$1772,$D42))</f>
        <v/>
      </c>
      <c r="O42" s="64">
        <f>IF($D42="","",COUNTIF(DESIGNAZIONI!O$8:O$1772,$D42))</f>
        <v/>
      </c>
    </row>
    <row r="43">
      <c r="C43" s="224" t="n"/>
      <c r="D43" s="13" t="n"/>
      <c r="E43" s="220" t="n"/>
      <c r="L43" s="64">
        <f>IF($D43="","",SUM(M43:O43))</f>
        <v/>
      </c>
      <c r="M43" s="64">
        <f>IF($D43="","",COUNTIF(DESIGNAZIONI!M$8:M$1772,$D43))</f>
        <v/>
      </c>
      <c r="N43" s="64">
        <f>IF($D43="","",COUNTIF(DESIGNAZIONI!N$8:N$1772,$D43))</f>
        <v/>
      </c>
      <c r="O43" s="64">
        <f>IF($D43="","",COUNTIF(DESIGNAZIONI!O$8:O$1772,$D43))</f>
        <v/>
      </c>
    </row>
    <row r="44">
      <c r="C44" s="224" t="n"/>
      <c r="D44" s="13" t="n"/>
      <c r="E44" s="220" t="n"/>
      <c r="L44" s="64">
        <f>IF($D44="","",SUM(M44:O44))</f>
        <v/>
      </c>
      <c r="M44" s="64">
        <f>IF($D44="","",COUNTIF(DESIGNAZIONI!M$8:M$1772,$D44))</f>
        <v/>
      </c>
      <c r="N44" s="64">
        <f>IF($D44="","",COUNTIF(DESIGNAZIONI!N$8:N$1772,$D44))</f>
        <v/>
      </c>
      <c r="O44" s="64">
        <f>IF($D44="","",COUNTIF(DESIGNAZIONI!O$8:O$1772,$D44))</f>
        <v/>
      </c>
    </row>
    <row r="45">
      <c r="C45" s="224" t="n"/>
      <c r="D45" s="13" t="n"/>
      <c r="E45" s="220" t="n"/>
      <c r="L45" s="64">
        <f>IF($D45="","",SUM(M45:O45))</f>
        <v/>
      </c>
      <c r="M45" s="64">
        <f>IF($D45="","",COUNTIF(DESIGNAZIONI!M$8:M$1772,$D45))</f>
        <v/>
      </c>
      <c r="N45" s="64">
        <f>IF($D45="","",COUNTIF(DESIGNAZIONI!N$8:N$1772,$D45))</f>
        <v/>
      </c>
      <c r="O45" s="64">
        <f>IF($D45="","",COUNTIF(DESIGNAZIONI!O$8:O$1772,$D45))</f>
        <v/>
      </c>
    </row>
    <row r="46">
      <c r="C46" s="224" t="n"/>
      <c r="D46" s="13" t="n"/>
      <c r="E46" s="220" t="n"/>
      <c r="L46" s="64">
        <f>IF($D46="","",SUM(M46:O46))</f>
        <v/>
      </c>
      <c r="M46" s="64">
        <f>IF($D46="","",COUNTIF(DESIGNAZIONI!M$8:M$1772,$D46))</f>
        <v/>
      </c>
      <c r="N46" s="64">
        <f>IF($D46="","",COUNTIF(DESIGNAZIONI!N$8:N$1772,$D46))</f>
        <v/>
      </c>
      <c r="O46" s="64">
        <f>IF($D46="","",COUNTIF(DESIGNAZIONI!O$8:O$1772,$D46))</f>
        <v/>
      </c>
    </row>
    <row r="47">
      <c r="C47" s="224" t="n"/>
      <c r="D47" s="13" t="n"/>
      <c r="E47" s="220" t="n"/>
      <c r="L47" s="64">
        <f>IF($D47="","",SUM(M47:O47))</f>
        <v/>
      </c>
      <c r="M47" s="64">
        <f>IF($D47="","",COUNTIF(DESIGNAZIONI!M$8:M$1772,$D47))</f>
        <v/>
      </c>
      <c r="N47" s="64">
        <f>IF($D47="","",COUNTIF(DESIGNAZIONI!N$8:N$1772,$D47))</f>
        <v/>
      </c>
      <c r="O47" s="64">
        <f>IF($D47="","",COUNTIF(DESIGNAZIONI!O$8:O$1772,$D47))</f>
        <v/>
      </c>
    </row>
    <row r="48">
      <c r="C48" s="224" t="n"/>
      <c r="D48" s="13" t="n"/>
      <c r="E48" s="220" t="n"/>
      <c r="L48" s="64">
        <f>IF($D48="","",SUM(M48:O48))</f>
        <v/>
      </c>
      <c r="M48" s="64">
        <f>IF($D48="","",COUNTIF(DESIGNAZIONI!M$8:M$1772,$D48))</f>
        <v/>
      </c>
      <c r="N48" s="64">
        <f>IF($D48="","",COUNTIF(DESIGNAZIONI!N$8:N$1772,$D48))</f>
        <v/>
      </c>
      <c r="O48" s="64">
        <f>IF($D48="","",COUNTIF(DESIGNAZIONI!O$8:O$1772,$D48))</f>
        <v/>
      </c>
    </row>
    <row r="49">
      <c r="C49" s="224" t="n"/>
      <c r="D49" s="13" t="n"/>
      <c r="E49" s="220" t="n"/>
      <c r="L49" s="64">
        <f>IF($D49="","",SUM(M49:O49))</f>
        <v/>
      </c>
      <c r="M49" s="64">
        <f>IF($D49="","",COUNTIF(DESIGNAZIONI!M$8:M$1772,$D49))</f>
        <v/>
      </c>
      <c r="N49" s="64">
        <f>IF($D49="","",COUNTIF(DESIGNAZIONI!N$8:N$1772,$D49))</f>
        <v/>
      </c>
      <c r="O49" s="64">
        <f>IF($D49="","",COUNTIF(DESIGNAZIONI!O$8:O$1772,$D49))</f>
        <v/>
      </c>
    </row>
    <row r="50">
      <c r="C50" s="224" t="n"/>
      <c r="D50" s="13" t="n"/>
      <c r="E50" s="220" t="n"/>
      <c r="L50" s="64">
        <f>IF($D50="","",SUM(M50:O50))</f>
        <v/>
      </c>
      <c r="M50" s="64">
        <f>IF($D50="","",COUNTIF(DESIGNAZIONI!M$8:M$1772,$D50))</f>
        <v/>
      </c>
      <c r="N50" s="64">
        <f>IF($D50="","",COUNTIF(DESIGNAZIONI!N$8:N$1772,$D50))</f>
        <v/>
      </c>
      <c r="O50" s="64">
        <f>IF($D50="","",COUNTIF(DESIGNAZIONI!O$8:O$1772,$D50))</f>
        <v/>
      </c>
    </row>
    <row r="51">
      <c r="C51" s="224" t="n"/>
      <c r="D51" s="13" t="n"/>
      <c r="E51" s="220" t="n"/>
      <c r="L51" s="64">
        <f>IF($D51="","",SUM(M51:O51))</f>
        <v/>
      </c>
      <c r="M51" s="64">
        <f>IF($D51="","",COUNTIF(DESIGNAZIONI!M$8:M$1772,$D51))</f>
        <v/>
      </c>
      <c r="N51" s="64">
        <f>IF($D51="","",COUNTIF(DESIGNAZIONI!N$8:N$1772,$D51))</f>
        <v/>
      </c>
      <c r="O51" s="64">
        <f>IF($D51="","",COUNTIF(DESIGNAZIONI!O$8:O$1772,$D51))</f>
        <v/>
      </c>
    </row>
    <row r="52">
      <c r="C52" s="224" t="n"/>
      <c r="D52" s="13" t="n"/>
      <c r="E52" s="220" t="n"/>
      <c r="L52" s="64">
        <f>IF($D52="","",SUM(M52:O52))</f>
        <v/>
      </c>
      <c r="M52" s="64">
        <f>IF($D52="","",COUNTIF(DESIGNAZIONI!M$8:M$1772,$D52))</f>
        <v/>
      </c>
      <c r="N52" s="64">
        <f>IF($D52="","",COUNTIF(DESIGNAZIONI!N$8:N$1772,$D52))</f>
        <v/>
      </c>
      <c r="O52" s="64">
        <f>IF($D52="","",COUNTIF(DESIGNAZIONI!O$8:O$1772,$D52))</f>
        <v/>
      </c>
    </row>
    <row r="53">
      <c r="C53" s="224" t="n"/>
      <c r="D53" s="13" t="n"/>
      <c r="E53" s="220" t="n"/>
      <c r="L53" s="64">
        <f>IF($D53="","",SUM(M53:O53))</f>
        <v/>
      </c>
      <c r="M53" s="64">
        <f>IF($D53="","",COUNTIF(DESIGNAZIONI!M$8:M$1772,$D53))</f>
        <v/>
      </c>
      <c r="N53" s="64">
        <f>IF($D53="","",COUNTIF(DESIGNAZIONI!N$8:N$1772,$D53))</f>
        <v/>
      </c>
      <c r="O53" s="64">
        <f>IF($D53="","",COUNTIF(DESIGNAZIONI!O$8:O$1772,$D53))</f>
        <v/>
      </c>
    </row>
    <row r="54">
      <c r="C54" s="224" t="n"/>
      <c r="D54" s="13" t="n"/>
      <c r="E54" s="220" t="n"/>
      <c r="L54" s="64">
        <f>IF($D54="","",SUM(M54:O54))</f>
        <v/>
      </c>
      <c r="M54" s="64">
        <f>IF($D54="","",COUNTIF(DESIGNAZIONI!M$8:M$1772,$D54))</f>
        <v/>
      </c>
      <c r="N54" s="64">
        <f>IF($D54="","",COUNTIF(DESIGNAZIONI!N$8:N$1772,$D54))</f>
        <v/>
      </c>
      <c r="O54" s="64">
        <f>IF($D54="","",COUNTIF(DESIGNAZIONI!O$8:O$1772,$D54))</f>
        <v/>
      </c>
    </row>
    <row r="55">
      <c r="C55" s="224" t="n"/>
      <c r="D55" s="13" t="n"/>
      <c r="E55" s="220" t="n"/>
      <c r="L55" s="64">
        <f>IF($D55="","",SUM(M55:O55))</f>
        <v/>
      </c>
      <c r="M55" s="64">
        <f>IF($D55="","",COUNTIF(DESIGNAZIONI!M$8:M$1772,$D55))</f>
        <v/>
      </c>
      <c r="N55" s="64">
        <f>IF($D55="","",COUNTIF(DESIGNAZIONI!N$8:N$1772,$D55))</f>
        <v/>
      </c>
      <c r="O55" s="64">
        <f>IF($D55="","",COUNTIF(DESIGNAZIONI!O$8:O$1772,$D55))</f>
        <v/>
      </c>
    </row>
    <row r="56">
      <c r="C56" s="224" t="n"/>
      <c r="D56" s="13" t="n"/>
      <c r="E56" s="220" t="n"/>
      <c r="L56" s="64">
        <f>IF($D56="","",SUM(M56:O56))</f>
        <v/>
      </c>
      <c r="M56" s="64">
        <f>IF($D56="","",COUNTIF(DESIGNAZIONI!M$8:M$1772,$D56))</f>
        <v/>
      </c>
      <c r="N56" s="64">
        <f>IF($D56="","",COUNTIF(DESIGNAZIONI!N$8:N$1772,$D56))</f>
        <v/>
      </c>
      <c r="O56" s="64">
        <f>IF($D56="","",COUNTIF(DESIGNAZIONI!O$8:O$1772,$D56))</f>
        <v/>
      </c>
    </row>
    <row r="57">
      <c r="C57" s="224" t="n"/>
      <c r="D57" s="13" t="n"/>
      <c r="E57" s="220" t="n"/>
      <c r="L57" s="64">
        <f>IF($D57="","",SUM(M57:O57))</f>
        <v/>
      </c>
      <c r="M57" s="64">
        <f>IF($D57="","",COUNTIF(DESIGNAZIONI!M$8:M$1772,$D57))</f>
        <v/>
      </c>
      <c r="N57" s="64">
        <f>IF($D57="","",COUNTIF(DESIGNAZIONI!N$8:N$1772,$D57))</f>
        <v/>
      </c>
      <c r="O57" s="64">
        <f>IF($D57="","",COUNTIF(DESIGNAZIONI!O$8:O$1772,$D57))</f>
        <v/>
      </c>
    </row>
    <row r="58">
      <c r="C58" s="224" t="n"/>
      <c r="D58" s="13" t="n"/>
      <c r="E58" s="220" t="n"/>
      <c r="L58" s="64">
        <f>IF($D58="","",SUM(M58:O58))</f>
        <v/>
      </c>
      <c r="M58" s="64">
        <f>IF($D58="","",COUNTIF(DESIGNAZIONI!M$8:M$1772,$D58))</f>
        <v/>
      </c>
      <c r="N58" s="64">
        <f>IF($D58="","",COUNTIF(DESIGNAZIONI!N$8:N$1772,$D58))</f>
        <v/>
      </c>
      <c r="O58" s="64">
        <f>IF($D58="","",COUNTIF(DESIGNAZIONI!O$8:O$1772,$D58))</f>
        <v/>
      </c>
    </row>
    <row r="59">
      <c r="C59" s="224" t="n"/>
      <c r="D59" s="13" t="n"/>
      <c r="E59" s="220" t="n"/>
      <c r="L59" s="64">
        <f>IF($D59="","",SUM(M59:O59))</f>
        <v/>
      </c>
      <c r="M59" s="64">
        <f>IF($D59="","",COUNTIF(DESIGNAZIONI!M$8:M$1772,$D59))</f>
        <v/>
      </c>
      <c r="N59" s="64">
        <f>IF($D59="","",COUNTIF(DESIGNAZIONI!N$8:N$1772,$D59))</f>
        <v/>
      </c>
      <c r="O59" s="64">
        <f>IF($D59="","",COUNTIF(DESIGNAZIONI!O$8:O$1772,$D59))</f>
        <v/>
      </c>
    </row>
    <row r="60">
      <c r="C60" s="224" t="n"/>
      <c r="D60" s="13" t="n"/>
      <c r="E60" s="220" t="n"/>
      <c r="L60" s="64">
        <f>IF($D60="","",SUM(M60:O60))</f>
        <v/>
      </c>
      <c r="M60" s="64">
        <f>IF($D60="","",COUNTIF(DESIGNAZIONI!M$8:M$1772,$D60))</f>
        <v/>
      </c>
      <c r="N60" s="64">
        <f>IF($D60="","",COUNTIF(DESIGNAZIONI!N$8:N$1772,$D60))</f>
        <v/>
      </c>
      <c r="O60" s="64">
        <f>IF($D60="","",COUNTIF(DESIGNAZIONI!O$8:O$1772,$D60))</f>
        <v/>
      </c>
    </row>
    <row r="61">
      <c r="C61" s="224" t="n"/>
      <c r="D61" s="13" t="n"/>
      <c r="E61" s="220" t="n"/>
      <c r="L61" s="64">
        <f>IF($D61="","",SUM(M61:O61))</f>
        <v/>
      </c>
      <c r="M61" s="64">
        <f>IF($D61="","",COUNTIF(DESIGNAZIONI!M$8:M$1772,$D61))</f>
        <v/>
      </c>
      <c r="N61" s="64">
        <f>IF($D61="","",COUNTIF(DESIGNAZIONI!N$8:N$1772,$D61))</f>
        <v/>
      </c>
      <c r="O61" s="64">
        <f>IF($D61="","",COUNTIF(DESIGNAZIONI!O$8:O$1772,$D61))</f>
        <v/>
      </c>
    </row>
    <row r="62">
      <c r="C62" s="224" t="n"/>
      <c r="D62" s="13" t="n"/>
      <c r="E62" s="220" t="n"/>
      <c r="L62" s="64">
        <f>IF($D62="","",SUM(M62:O62))</f>
        <v/>
      </c>
      <c r="M62" s="64">
        <f>IF($D62="","",COUNTIF(DESIGNAZIONI!M$8:M$1772,$D62))</f>
        <v/>
      </c>
      <c r="N62" s="64">
        <f>IF($D62="","",COUNTIF(DESIGNAZIONI!N$8:N$1772,$D62))</f>
        <v/>
      </c>
      <c r="O62" s="64">
        <f>IF($D62="","",COUNTIF(DESIGNAZIONI!O$8:O$1772,$D62))</f>
        <v/>
      </c>
    </row>
    <row r="63">
      <c r="C63" s="224" t="n"/>
      <c r="D63" s="13" t="n"/>
      <c r="E63" s="220" t="n"/>
      <c r="L63" s="64">
        <f>IF($D63="","",SUM(M63:O63))</f>
        <v/>
      </c>
      <c r="M63" s="64">
        <f>IF($D63="","",COUNTIF(DESIGNAZIONI!M$8:M$1772,$D63))</f>
        <v/>
      </c>
      <c r="N63" s="64">
        <f>IF($D63="","",COUNTIF(DESIGNAZIONI!N$8:N$1772,$D63))</f>
        <v/>
      </c>
      <c r="O63" s="64">
        <f>IF($D63="","",COUNTIF(DESIGNAZIONI!O$8:O$1772,$D63))</f>
        <v/>
      </c>
    </row>
    <row r="64">
      <c r="C64" s="224" t="n"/>
      <c r="D64" s="13" t="n"/>
      <c r="E64" s="220" t="n"/>
      <c r="L64" s="64">
        <f>IF($D64="","",SUM(M64:O64))</f>
        <v/>
      </c>
      <c r="M64" s="64">
        <f>IF($D64="","",COUNTIF(DESIGNAZIONI!M$8:M$1772,$D64))</f>
        <v/>
      </c>
      <c r="N64" s="64">
        <f>IF($D64="","",COUNTIF(DESIGNAZIONI!N$8:N$1772,$D64))</f>
        <v/>
      </c>
      <c r="O64" s="64">
        <f>IF($D64="","",COUNTIF(DESIGNAZIONI!O$8:O$1772,$D64))</f>
        <v/>
      </c>
    </row>
    <row r="65">
      <c r="C65" s="224" t="n"/>
      <c r="D65" s="13" t="n"/>
      <c r="E65" s="220" t="n"/>
      <c r="L65" s="64">
        <f>IF($D65="","",SUM(M65:O65))</f>
        <v/>
      </c>
      <c r="M65" s="64">
        <f>IF($D65="","",COUNTIF(DESIGNAZIONI!M$8:M$1772,$D65))</f>
        <v/>
      </c>
      <c r="N65" s="64">
        <f>IF($D65="","",COUNTIF(DESIGNAZIONI!N$8:N$1772,$D65))</f>
        <v/>
      </c>
      <c r="O65" s="64">
        <f>IF($D65="","",COUNTIF(DESIGNAZIONI!O$8:O$1772,$D65))</f>
        <v/>
      </c>
    </row>
    <row r="66">
      <c r="C66" s="224" t="n"/>
      <c r="D66" s="13" t="n"/>
      <c r="E66" s="220" t="n"/>
      <c r="L66" s="64">
        <f>IF($D66="","",SUM(M66:O66))</f>
        <v/>
      </c>
      <c r="M66" s="64">
        <f>IF($D66="","",COUNTIF(DESIGNAZIONI!M$8:M$1772,$D66))</f>
        <v/>
      </c>
      <c r="N66" s="64">
        <f>IF($D66="","",COUNTIF(DESIGNAZIONI!N$8:N$1772,$D66))</f>
        <v/>
      </c>
      <c r="O66" s="64">
        <f>IF($D66="","",COUNTIF(DESIGNAZIONI!O$8:O$1772,$D66))</f>
        <v/>
      </c>
    </row>
    <row r="67">
      <c r="C67" s="224" t="n"/>
      <c r="D67" s="13" t="n"/>
      <c r="E67" s="220" t="n"/>
      <c r="L67" s="64">
        <f>IF($D67="","",SUM(M67:O67))</f>
        <v/>
      </c>
      <c r="M67" s="64">
        <f>IF($D67="","",COUNTIF(DESIGNAZIONI!M$8:M$1772,$D67))</f>
        <v/>
      </c>
      <c r="N67" s="64">
        <f>IF($D67="","",COUNTIF(DESIGNAZIONI!N$8:N$1772,$D67))</f>
        <v/>
      </c>
      <c r="O67" s="64">
        <f>IF($D67="","",COUNTIF(DESIGNAZIONI!O$8:O$1772,$D67))</f>
        <v/>
      </c>
    </row>
    <row r="68">
      <c r="C68" s="224" t="n"/>
      <c r="D68" s="13" t="n"/>
      <c r="E68" s="220" t="n"/>
      <c r="L68" s="64">
        <f>IF($D68="","",SUM(M68:O68))</f>
        <v/>
      </c>
      <c r="M68" s="64">
        <f>IF($D68="","",COUNTIF(DESIGNAZIONI!M$8:M$1772,$D68))</f>
        <v/>
      </c>
      <c r="N68" s="64">
        <f>IF($D68="","",COUNTIF(DESIGNAZIONI!N$8:N$1772,$D68))</f>
        <v/>
      </c>
      <c r="O68" s="64">
        <f>IF($D68="","",COUNTIF(DESIGNAZIONI!O$8:O$1772,$D68))</f>
        <v/>
      </c>
    </row>
    <row r="69">
      <c r="C69" s="224" t="n"/>
      <c r="D69" s="13" t="n"/>
      <c r="E69" s="220" t="n"/>
      <c r="L69" s="64">
        <f>IF($D69="","",SUM(M69:O69))</f>
        <v/>
      </c>
      <c r="M69" s="64">
        <f>IF($D69="","",COUNTIF(DESIGNAZIONI!M$8:M$1772,$D69))</f>
        <v/>
      </c>
      <c r="N69" s="64">
        <f>IF($D69="","",COUNTIF(DESIGNAZIONI!N$8:N$1772,$D69))</f>
        <v/>
      </c>
      <c r="O69" s="64">
        <f>IF($D69="","",COUNTIF(DESIGNAZIONI!O$8:O$1772,$D69))</f>
        <v/>
      </c>
    </row>
    <row r="70">
      <c r="C70" s="224" t="n"/>
      <c r="D70" s="13" t="n"/>
      <c r="E70" s="220" t="n"/>
      <c r="L70" s="64">
        <f>IF($D70="","",SUM(M70:O70))</f>
        <v/>
      </c>
      <c r="M70" s="64">
        <f>IF($D70="","",COUNTIF(DESIGNAZIONI!M$8:M$1772,$D70))</f>
        <v/>
      </c>
      <c r="N70" s="64">
        <f>IF($D70="","",COUNTIF(DESIGNAZIONI!N$8:N$1772,$D70))</f>
        <v/>
      </c>
      <c r="O70" s="64">
        <f>IF($D70="","",COUNTIF(DESIGNAZIONI!O$8:O$1772,$D70))</f>
        <v/>
      </c>
    </row>
    <row r="71">
      <c r="C71" s="224" t="n"/>
      <c r="D71" s="13" t="n"/>
      <c r="E71" s="220" t="n"/>
      <c r="L71" s="64">
        <f>IF($D71="","",SUM(M71:O71))</f>
        <v/>
      </c>
      <c r="M71" s="64">
        <f>IF($D71="","",COUNTIF(DESIGNAZIONI!M$8:M$1772,$D71))</f>
        <v/>
      </c>
      <c r="N71" s="64">
        <f>IF($D71="","",COUNTIF(DESIGNAZIONI!N$8:N$1772,$D71))</f>
        <v/>
      </c>
      <c r="O71" s="64">
        <f>IF($D71="","",COUNTIF(DESIGNAZIONI!O$8:O$1772,$D71))</f>
        <v/>
      </c>
    </row>
    <row r="72">
      <c r="C72" s="224" t="n"/>
      <c r="D72" s="13" t="n"/>
      <c r="E72" s="220" t="n"/>
      <c r="L72" s="64">
        <f>IF($D72="","",SUM(M72:O72))</f>
        <v/>
      </c>
      <c r="M72" s="64">
        <f>IF($D72="","",COUNTIF(DESIGNAZIONI!M$8:M$1772,$D72))</f>
        <v/>
      </c>
      <c r="N72" s="64">
        <f>IF($D72="","",COUNTIF(DESIGNAZIONI!N$8:N$1772,$D72))</f>
        <v/>
      </c>
      <c r="O72" s="64">
        <f>IF($D72="","",COUNTIF(DESIGNAZIONI!O$8:O$1772,$D72))</f>
        <v/>
      </c>
    </row>
    <row r="73">
      <c r="C73" s="224" t="n"/>
      <c r="D73" s="13" t="n"/>
      <c r="E73" s="220" t="n"/>
      <c r="L73" s="64">
        <f>IF($D73="","",SUM(M73:O73))</f>
        <v/>
      </c>
      <c r="M73" s="64">
        <f>IF($D73="","",COUNTIF(DESIGNAZIONI!M$8:M$1772,$D73))</f>
        <v/>
      </c>
      <c r="N73" s="64">
        <f>IF($D73="","",COUNTIF(DESIGNAZIONI!N$8:N$1772,$D73))</f>
        <v/>
      </c>
      <c r="O73" s="64">
        <f>IF($D73="","",COUNTIF(DESIGNAZIONI!O$8:O$1772,$D73))</f>
        <v/>
      </c>
    </row>
    <row r="74">
      <c r="C74" s="224" t="n"/>
      <c r="D74" s="13" t="n"/>
      <c r="E74" s="220" t="n"/>
      <c r="L74" s="64">
        <f>IF($D74="","",SUM(M74:O74))</f>
        <v/>
      </c>
      <c r="M74" s="64">
        <f>IF($D74="","",COUNTIF(DESIGNAZIONI!M$8:M$1772,$D74))</f>
        <v/>
      </c>
      <c r="N74" s="64">
        <f>IF($D74="","",COUNTIF(DESIGNAZIONI!N$8:N$1772,$D74))</f>
        <v/>
      </c>
      <c r="O74" s="64">
        <f>IF($D74="","",COUNTIF(DESIGNAZIONI!O$8:O$1772,$D74))</f>
        <v/>
      </c>
    </row>
    <row r="75">
      <c r="C75" s="224" t="n"/>
      <c r="D75" s="13" t="n"/>
      <c r="E75" s="220" t="n"/>
      <c r="L75" s="64">
        <f>IF($D75="","",SUM(M75:O75))</f>
        <v/>
      </c>
      <c r="M75" s="64">
        <f>IF($D75="","",COUNTIF(DESIGNAZIONI!M$8:M$1772,$D75))</f>
        <v/>
      </c>
      <c r="N75" s="64">
        <f>IF($D75="","",COUNTIF(DESIGNAZIONI!N$8:N$1772,$D75))</f>
        <v/>
      </c>
      <c r="O75" s="64">
        <f>IF($D75="","",COUNTIF(DESIGNAZIONI!O$8:O$1772,$D75))</f>
        <v/>
      </c>
    </row>
    <row r="76">
      <c r="C76" s="224" t="n"/>
      <c r="D76" s="13" t="n"/>
      <c r="E76" s="220" t="n"/>
      <c r="L76" s="64">
        <f>IF($D76="","",SUM(M76:O76))</f>
        <v/>
      </c>
      <c r="M76" s="64">
        <f>IF($D76="","",COUNTIF(DESIGNAZIONI!M$8:M$1772,$D76))</f>
        <v/>
      </c>
      <c r="N76" s="64">
        <f>IF($D76="","",COUNTIF(DESIGNAZIONI!N$8:N$1772,$D76))</f>
        <v/>
      </c>
      <c r="O76" s="64">
        <f>IF($D76="","",COUNTIF(DESIGNAZIONI!O$8:O$1772,$D76))</f>
        <v/>
      </c>
    </row>
    <row r="77">
      <c r="C77" s="224" t="n"/>
      <c r="D77" s="13" t="n"/>
      <c r="E77" s="220" t="n"/>
      <c r="L77" s="64">
        <f>IF($D77="","",SUM(M77:O77))</f>
        <v/>
      </c>
      <c r="M77" s="64">
        <f>IF($D77="","",COUNTIF(DESIGNAZIONI!M$8:M$1772,$D77))</f>
        <v/>
      </c>
      <c r="N77" s="64">
        <f>IF($D77="","",COUNTIF(DESIGNAZIONI!N$8:N$1772,$D77))</f>
        <v/>
      </c>
      <c r="O77" s="64">
        <f>IF($D77="","",COUNTIF(DESIGNAZIONI!O$8:O$1772,$D77))</f>
        <v/>
      </c>
    </row>
    <row r="78">
      <c r="C78" s="224" t="n"/>
      <c r="D78" s="13" t="n"/>
      <c r="E78" s="220" t="n"/>
      <c r="L78" s="64">
        <f>IF($D78="","",SUM(M78:O78))</f>
        <v/>
      </c>
      <c r="M78" s="64">
        <f>IF($D78="","",COUNTIF(DESIGNAZIONI!M$8:M$1772,$D78))</f>
        <v/>
      </c>
      <c r="N78" s="64">
        <f>IF($D78="","",COUNTIF(DESIGNAZIONI!N$8:N$1772,$D78))</f>
        <v/>
      </c>
      <c r="O78" s="64">
        <f>IF($D78="","",COUNTIF(DESIGNAZIONI!O$8:O$1772,$D78))</f>
        <v/>
      </c>
    </row>
    <row r="79">
      <c r="C79" s="224" t="n"/>
      <c r="D79" s="13" t="n"/>
      <c r="E79" s="220" t="n"/>
      <c r="L79" s="64">
        <f>IF($D79="","",SUM(M79:O79))</f>
        <v/>
      </c>
      <c r="M79" s="64">
        <f>IF($D79="","",COUNTIF(DESIGNAZIONI!M$8:M$1772,$D79))</f>
        <v/>
      </c>
      <c r="N79" s="64">
        <f>IF($D79="","",COUNTIF(DESIGNAZIONI!N$8:N$1772,$D79))</f>
        <v/>
      </c>
      <c r="O79" s="64">
        <f>IF($D79="","",COUNTIF(DESIGNAZIONI!O$8:O$1772,$D79))</f>
        <v/>
      </c>
    </row>
    <row r="80">
      <c r="C80" s="224" t="n"/>
      <c r="D80" s="13" t="n"/>
      <c r="E80" s="220" t="n"/>
      <c r="L80" s="64">
        <f>IF($D80="","",SUM(M80:O80))</f>
        <v/>
      </c>
      <c r="M80" s="64">
        <f>IF($D80="","",COUNTIF(DESIGNAZIONI!M$8:M$1772,$D80))</f>
        <v/>
      </c>
      <c r="N80" s="64">
        <f>IF($D80="","",COUNTIF(DESIGNAZIONI!N$8:N$1772,$D80))</f>
        <v/>
      </c>
      <c r="O80" s="64">
        <f>IF($D80="","",COUNTIF(DESIGNAZIONI!O$8:O$1772,$D80))</f>
        <v/>
      </c>
    </row>
    <row r="81">
      <c r="C81" s="224" t="n"/>
      <c r="D81" s="13" t="n"/>
      <c r="E81" s="220" t="n"/>
      <c r="L81" s="64">
        <f>IF($D81="","",SUM(M81:O81))</f>
        <v/>
      </c>
      <c r="M81" s="64">
        <f>IF($D81="","",COUNTIF(DESIGNAZIONI!M$8:M$1772,$D81))</f>
        <v/>
      </c>
      <c r="N81" s="64">
        <f>IF($D81="","",COUNTIF(DESIGNAZIONI!N$8:N$1772,$D81))</f>
        <v/>
      </c>
      <c r="O81" s="64">
        <f>IF($D81="","",COUNTIF(DESIGNAZIONI!O$8:O$1772,$D81))</f>
        <v/>
      </c>
    </row>
    <row r="82">
      <c r="C82" s="224" t="n"/>
      <c r="D82" s="13" t="n"/>
      <c r="E82" s="220" t="n"/>
      <c r="L82" s="64">
        <f>IF($D82="","",SUM(M82:O82))</f>
        <v/>
      </c>
      <c r="M82" s="64">
        <f>IF($D82="","",COUNTIF(DESIGNAZIONI!M$8:M$1772,$D82))</f>
        <v/>
      </c>
      <c r="N82" s="64">
        <f>IF($D82="","",COUNTIF(DESIGNAZIONI!N$8:N$1772,$D82))</f>
        <v/>
      </c>
      <c r="O82" s="64">
        <f>IF($D82="","",COUNTIF(DESIGNAZIONI!O$8:O$1772,$D82))</f>
        <v/>
      </c>
    </row>
    <row r="83">
      <c r="C83" s="224" t="n"/>
      <c r="D83" s="13" t="n"/>
      <c r="E83" s="220" t="n"/>
      <c r="L83" s="64">
        <f>IF($D83="","",SUM(M83:O83))</f>
        <v/>
      </c>
      <c r="M83" s="64">
        <f>IF($D83="","",COUNTIF(DESIGNAZIONI!M$8:M$1772,$D83))</f>
        <v/>
      </c>
      <c r="N83" s="64">
        <f>IF($D83="","",COUNTIF(DESIGNAZIONI!N$8:N$1772,$D83))</f>
        <v/>
      </c>
      <c r="O83" s="64">
        <f>IF($D83="","",COUNTIF(DESIGNAZIONI!O$8:O$1772,$D83))</f>
        <v/>
      </c>
    </row>
    <row r="84">
      <c r="C84" s="224" t="n"/>
      <c r="D84" s="13" t="n"/>
      <c r="E84" s="220" t="n"/>
      <c r="L84" s="64">
        <f>IF($D84="","",SUM(M84:O84))</f>
        <v/>
      </c>
      <c r="M84" s="64">
        <f>IF($D84="","",COUNTIF(DESIGNAZIONI!M$8:M$1772,$D84))</f>
        <v/>
      </c>
      <c r="N84" s="64">
        <f>IF($D84="","",COUNTIF(DESIGNAZIONI!N$8:N$1772,$D84))</f>
        <v/>
      </c>
      <c r="O84" s="64">
        <f>IF($D84="","",COUNTIF(DESIGNAZIONI!O$8:O$1772,$D84))</f>
        <v/>
      </c>
    </row>
    <row r="85">
      <c r="C85" s="224" t="n"/>
      <c r="D85" s="13" t="n"/>
      <c r="E85" s="220" t="n"/>
      <c r="L85" s="64">
        <f>IF($D85="","",SUM(M85:O85))</f>
        <v/>
      </c>
      <c r="M85" s="64">
        <f>IF($D85="","",COUNTIF(DESIGNAZIONI!M$8:M$1772,$D85))</f>
        <v/>
      </c>
      <c r="N85" s="64">
        <f>IF($D85="","",COUNTIF(DESIGNAZIONI!N$8:N$1772,$D85))</f>
        <v/>
      </c>
      <c r="O85" s="64">
        <f>IF($D85="","",COUNTIF(DESIGNAZIONI!O$8:O$1772,$D85))</f>
        <v/>
      </c>
    </row>
    <row r="86">
      <c r="C86" s="224" t="n"/>
      <c r="D86" s="13" t="n"/>
      <c r="E86" s="220" t="n"/>
      <c r="L86" s="64">
        <f>IF($D86="","",SUM(M86:O86))</f>
        <v/>
      </c>
      <c r="M86" s="64">
        <f>IF($D86="","",COUNTIF(DESIGNAZIONI!M$8:M$1772,$D86))</f>
        <v/>
      </c>
      <c r="N86" s="64">
        <f>IF($D86="","",COUNTIF(DESIGNAZIONI!N$8:N$1772,$D86))</f>
        <v/>
      </c>
      <c r="O86" s="64">
        <f>IF($D86="","",COUNTIF(DESIGNAZIONI!O$8:O$1772,$D86))</f>
        <v/>
      </c>
    </row>
    <row r="87">
      <c r="C87" s="224" t="n"/>
      <c r="D87" s="13" t="n"/>
      <c r="E87" s="220" t="n"/>
      <c r="L87" s="64">
        <f>IF($D87="","",SUM(M87:O87))</f>
        <v/>
      </c>
      <c r="M87" s="64">
        <f>IF($D87="","",COUNTIF(DESIGNAZIONI!M$8:M$1772,$D87))</f>
        <v/>
      </c>
      <c r="N87" s="64">
        <f>IF($D87="","",COUNTIF(DESIGNAZIONI!N$8:N$1772,$D87))</f>
        <v/>
      </c>
      <c r="O87" s="64">
        <f>IF($D87="","",COUNTIF(DESIGNAZIONI!O$8:O$1772,$D87))</f>
        <v/>
      </c>
    </row>
    <row r="88">
      <c r="C88" s="224" t="n"/>
      <c r="D88" s="13" t="n"/>
      <c r="E88" s="220" t="n"/>
      <c r="L88" s="64">
        <f>IF($D88="","",SUM(M88:O88))</f>
        <v/>
      </c>
      <c r="M88" s="64">
        <f>IF($D88="","",COUNTIF(DESIGNAZIONI!M$8:M$1772,$D88))</f>
        <v/>
      </c>
      <c r="N88" s="64">
        <f>IF($D88="","",COUNTIF(DESIGNAZIONI!N$8:N$1772,$D88))</f>
        <v/>
      </c>
      <c r="O88" s="64">
        <f>IF($D88="","",COUNTIF(DESIGNAZIONI!O$8:O$1772,$D88))</f>
        <v/>
      </c>
    </row>
    <row r="89">
      <c r="C89" s="224" t="n"/>
      <c r="D89" s="13" t="n"/>
      <c r="E89" s="220" t="n"/>
      <c r="L89" s="64">
        <f>IF($D89="","",SUM(M89:O89))</f>
        <v/>
      </c>
      <c r="M89" s="64">
        <f>IF($D89="","",COUNTIF(DESIGNAZIONI!M$8:M$1772,$D89))</f>
        <v/>
      </c>
      <c r="N89" s="64">
        <f>IF($D89="","",COUNTIF(DESIGNAZIONI!N$8:N$1772,$D89))</f>
        <v/>
      </c>
      <c r="O89" s="64">
        <f>IF($D89="","",COUNTIF(DESIGNAZIONI!O$8:O$1772,$D89))</f>
        <v/>
      </c>
    </row>
    <row r="90">
      <c r="C90" s="224" t="n"/>
      <c r="D90" s="13" t="n"/>
      <c r="E90" s="220" t="n"/>
      <c r="L90" s="64">
        <f>IF($D90="","",SUM(M90:O90))</f>
        <v/>
      </c>
      <c r="M90" s="64">
        <f>IF($D90="","",COUNTIF(DESIGNAZIONI!M$8:M$1772,$D90))</f>
        <v/>
      </c>
      <c r="N90" s="64">
        <f>IF($D90="","",COUNTIF(DESIGNAZIONI!N$8:N$1772,$D90))</f>
        <v/>
      </c>
      <c r="O90" s="64">
        <f>IF($D90="","",COUNTIF(DESIGNAZIONI!O$8:O$1772,$D90))</f>
        <v/>
      </c>
    </row>
    <row r="91">
      <c r="C91" s="224" t="n"/>
      <c r="D91" s="13" t="n"/>
      <c r="E91" s="220" t="n"/>
      <c r="L91" s="64">
        <f>IF($D91="","",SUM(M91:O91))</f>
        <v/>
      </c>
      <c r="M91" s="64">
        <f>IF($D91="","",COUNTIF(DESIGNAZIONI!M$8:M$1772,$D91))</f>
        <v/>
      </c>
      <c r="N91" s="64">
        <f>IF($D91="","",COUNTIF(DESIGNAZIONI!N$8:N$1772,$D91))</f>
        <v/>
      </c>
      <c r="O91" s="64">
        <f>IF($D91="","",COUNTIF(DESIGNAZIONI!O$8:O$1772,$D91))</f>
        <v/>
      </c>
    </row>
    <row r="92">
      <c r="C92" s="224" t="n"/>
      <c r="D92" s="13" t="n"/>
      <c r="E92" s="220" t="n"/>
      <c r="L92" s="64">
        <f>IF($D92="","",SUM(M92:O92))</f>
        <v/>
      </c>
      <c r="M92" s="64">
        <f>IF($D92="","",COUNTIF(DESIGNAZIONI!M$8:M$1772,$D92))</f>
        <v/>
      </c>
      <c r="N92" s="64">
        <f>IF($D92="","",COUNTIF(DESIGNAZIONI!N$8:N$1772,$D92))</f>
        <v/>
      </c>
      <c r="O92" s="64">
        <f>IF($D92="","",COUNTIF(DESIGNAZIONI!O$8:O$1772,$D92))</f>
        <v/>
      </c>
    </row>
    <row r="93">
      <c r="C93" s="224" t="n"/>
      <c r="D93" s="13" t="n"/>
      <c r="E93" s="220" t="n"/>
      <c r="L93" s="64">
        <f>IF($D93="","",SUM(M93:O93))</f>
        <v/>
      </c>
      <c r="M93" s="64">
        <f>IF($D93="","",COUNTIF(DESIGNAZIONI!M$8:M$1772,$D93))</f>
        <v/>
      </c>
      <c r="N93" s="64">
        <f>IF($D93="","",COUNTIF(DESIGNAZIONI!N$8:N$1772,$D93))</f>
        <v/>
      </c>
      <c r="O93" s="64">
        <f>IF($D93="","",COUNTIF(DESIGNAZIONI!O$8:O$1772,$D93))</f>
        <v/>
      </c>
    </row>
    <row r="94">
      <c r="C94" s="224" t="n"/>
      <c r="D94" s="13" t="n"/>
      <c r="E94" s="220" t="n"/>
      <c r="L94" s="64">
        <f>IF($D94="","",SUM(M94:O94))</f>
        <v/>
      </c>
      <c r="M94" s="64">
        <f>IF($D94="","",COUNTIF(DESIGNAZIONI!M$8:M$1772,$D94))</f>
        <v/>
      </c>
      <c r="N94" s="64">
        <f>IF($D94="","",COUNTIF(DESIGNAZIONI!N$8:N$1772,$D94))</f>
        <v/>
      </c>
      <c r="O94" s="64">
        <f>IF($D94="","",COUNTIF(DESIGNAZIONI!O$8:O$1772,$D94))</f>
        <v/>
      </c>
    </row>
    <row r="95">
      <c r="C95" s="224" t="n"/>
      <c r="D95" s="13" t="n"/>
      <c r="E95" s="220" t="n"/>
      <c r="L95" s="64">
        <f>IF($D95="","",SUM(M95:O95))</f>
        <v/>
      </c>
      <c r="M95" s="64">
        <f>IF($D95="","",COUNTIF(DESIGNAZIONI!M$8:M$1772,$D95))</f>
        <v/>
      </c>
      <c r="N95" s="64">
        <f>IF($D95="","",COUNTIF(DESIGNAZIONI!N$8:N$1772,$D95))</f>
        <v/>
      </c>
      <c r="O95" s="64">
        <f>IF($D95="","",COUNTIF(DESIGNAZIONI!O$8:O$1772,$D95))</f>
        <v/>
      </c>
    </row>
    <row r="96">
      <c r="C96" s="224" t="n"/>
      <c r="D96" s="13" t="n"/>
      <c r="E96" s="220" t="n"/>
      <c r="L96" s="64">
        <f>IF($D96="","",SUM(M96:O96))</f>
        <v/>
      </c>
      <c r="M96" s="64">
        <f>IF($D96="","",COUNTIF(DESIGNAZIONI!M$8:M$1772,$D96))</f>
        <v/>
      </c>
      <c r="N96" s="64">
        <f>IF($D96="","",COUNTIF(DESIGNAZIONI!N$8:N$1772,$D96))</f>
        <v/>
      </c>
      <c r="O96" s="64">
        <f>IF($D96="","",COUNTIF(DESIGNAZIONI!O$8:O$1772,$D96))</f>
        <v/>
      </c>
    </row>
    <row r="97">
      <c r="C97" s="224" t="n"/>
      <c r="D97" s="13" t="n"/>
      <c r="E97" s="220" t="n"/>
      <c r="L97" s="64">
        <f>IF($D97="","",SUM(M97:O97))</f>
        <v/>
      </c>
      <c r="M97" s="64">
        <f>IF($D97="","",COUNTIF(DESIGNAZIONI!M$8:M$1772,$D97))</f>
        <v/>
      </c>
      <c r="N97" s="64">
        <f>IF($D97="","",COUNTIF(DESIGNAZIONI!N$8:N$1772,$D97))</f>
        <v/>
      </c>
      <c r="O97" s="64">
        <f>IF($D97="","",COUNTIF(DESIGNAZIONI!O$8:O$1772,$D97))</f>
        <v/>
      </c>
    </row>
    <row r="98">
      <c r="C98" s="224" t="n"/>
      <c r="D98" s="13" t="n"/>
      <c r="E98" s="220" t="n"/>
      <c r="L98" s="64">
        <f>IF($D98="","",SUM(M98:O98))</f>
        <v/>
      </c>
      <c r="M98" s="64">
        <f>IF($D98="","",COUNTIF(DESIGNAZIONI!M$8:M$1772,$D98))</f>
        <v/>
      </c>
      <c r="N98" s="64">
        <f>IF($D98="","",COUNTIF(DESIGNAZIONI!N$8:N$1772,$D98))</f>
        <v/>
      </c>
      <c r="O98" s="64">
        <f>IF($D98="","",COUNTIF(DESIGNAZIONI!O$8:O$1772,$D98))</f>
        <v/>
      </c>
    </row>
    <row r="99">
      <c r="C99" s="224" t="n"/>
      <c r="D99" s="13" t="n"/>
      <c r="E99" s="220" t="n"/>
      <c r="L99" s="64">
        <f>IF($D99="","",SUM(M99:O99))</f>
        <v/>
      </c>
      <c r="M99" s="64">
        <f>IF($D99="","",COUNTIF(DESIGNAZIONI!M$8:M$1772,$D99))</f>
        <v/>
      </c>
      <c r="N99" s="64">
        <f>IF($D99="","",COUNTIF(DESIGNAZIONI!N$8:N$1772,$D99))</f>
        <v/>
      </c>
      <c r="O99" s="64">
        <f>IF($D99="","",COUNTIF(DESIGNAZIONI!O$8:O$1772,$D99))</f>
        <v/>
      </c>
    </row>
    <row r="100">
      <c r="C100" s="224" t="n"/>
      <c r="D100" s="13" t="n"/>
      <c r="E100" s="220" t="n"/>
      <c r="L100" s="64">
        <f>IF($D100="","",SUM(M100:O100))</f>
        <v/>
      </c>
      <c r="M100" s="64">
        <f>IF($D100="","",COUNTIF(DESIGNAZIONI!M$8:M$1772,$D100))</f>
        <v/>
      </c>
      <c r="N100" s="64">
        <f>IF($D100="","",COUNTIF(DESIGNAZIONI!N$8:N$1772,$D100))</f>
        <v/>
      </c>
      <c r="O100" s="64">
        <f>IF($D100="","",COUNTIF(DESIGNAZIONI!O$8:O$1772,$D100))</f>
        <v/>
      </c>
    </row>
    <row r="101">
      <c r="C101" s="224" t="n"/>
      <c r="D101" s="13" t="n"/>
      <c r="E101" s="220" t="n"/>
      <c r="L101" s="64">
        <f>IF($D101="","",SUM(M101:O101))</f>
        <v/>
      </c>
      <c r="M101" s="64">
        <f>IF($D101="","",COUNTIF(DESIGNAZIONI!M$8:M$1772,$D101))</f>
        <v/>
      </c>
      <c r="N101" s="64">
        <f>IF($D101="","",COUNTIF(DESIGNAZIONI!N$8:N$1772,$D101))</f>
        <v/>
      </c>
      <c r="O101" s="64">
        <f>IF($D101="","",COUNTIF(DESIGNAZIONI!O$8:O$1772,$D101))</f>
        <v/>
      </c>
    </row>
    <row r="102">
      <c r="C102" s="224" t="n"/>
      <c r="D102" s="13" t="n"/>
      <c r="E102" s="220" t="n"/>
      <c r="L102" s="64">
        <f>IF($D102="","",SUM(M102:O102))</f>
        <v/>
      </c>
      <c r="M102" s="64">
        <f>IF($D102="","",COUNTIF(DESIGNAZIONI!M$8:M$1772,$D102))</f>
        <v/>
      </c>
      <c r="N102" s="64">
        <f>IF($D102="","",COUNTIF(DESIGNAZIONI!N$8:N$1772,$D102))</f>
        <v/>
      </c>
      <c r="O102" s="64">
        <f>IF($D102="","",COUNTIF(DESIGNAZIONI!O$8:O$1772,$D102))</f>
        <v/>
      </c>
    </row>
    <row r="103">
      <c r="C103" s="224" t="n"/>
      <c r="D103" s="13" t="n"/>
      <c r="E103" s="220" t="n"/>
      <c r="L103" s="64">
        <f>IF($D103="","",SUM(M103:O103))</f>
        <v/>
      </c>
      <c r="M103" s="64">
        <f>IF($D103="","",COUNTIF(DESIGNAZIONI!M$8:M$1772,$D103))</f>
        <v/>
      </c>
      <c r="N103" s="64">
        <f>IF($D103="","",COUNTIF(DESIGNAZIONI!N$8:N$1772,$D103))</f>
        <v/>
      </c>
      <c r="O103" s="64">
        <f>IF($D103="","",COUNTIF(DESIGNAZIONI!O$8:O$1772,$D103))</f>
        <v/>
      </c>
    </row>
    <row r="104">
      <c r="C104" s="141" t="n"/>
      <c r="D104" s="13" t="n"/>
      <c r="E104" s="220" t="n"/>
      <c r="L104" s="64">
        <f>IF($D104="","",SUM(M104:O104))</f>
        <v/>
      </c>
      <c r="M104" s="64">
        <f>IF($D104="","",COUNTIF(DESIGNAZIONI!M$8:M$1772,$D104))</f>
        <v/>
      </c>
      <c r="N104" s="64">
        <f>IF($D104="","",COUNTIF(DESIGNAZIONI!N$8:N$1772,$D104))</f>
        <v/>
      </c>
      <c r="O104" s="64">
        <f>IF($D104="","",COUNTIF(DESIGNAZIONI!O$8:O$1772,$D104))</f>
        <v/>
      </c>
    </row>
  </sheetData>
  <mergeCells count="1">
    <mergeCell ref="C5:C104"/>
  </mergeCells>
  <conditionalFormatting sqref="L5:O1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tabColor rgb="FF00838F"/>
    <outlinePr summaryBelow="1" summaryRight="1"/>
    <pageSetUpPr fitToPage="1"/>
  </sheetPr>
  <dimension ref="A1:O10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constNomeCampionato&amp;""</f>
        <v/>
      </c>
    </row>
    <row r="2">
      <c r="A2" s="219">
        <f>"Ufficiali di campo - Stagione "&amp;constStagionaCampionato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Referto</t>
        </is>
      </c>
      <c r="N4" s="8" t="inlineStr">
        <is>
          <t>Cronometro</t>
        </is>
      </c>
      <c r="O4" s="8" t="inlineStr">
        <is>
          <t>Foglio Tiri</t>
        </is>
      </c>
    </row>
    <row r="5">
      <c r="C5" s="190" t="inlineStr">
        <is>
          <t>UFFICIALI DI CAMPO</t>
        </is>
      </c>
      <c r="D5" s="13" t="n"/>
      <c r="E5" s="220" t="n"/>
      <c r="L5" s="64">
        <f>IF($D5="","",SUM(M5:O5))</f>
        <v/>
      </c>
      <c r="M5" s="64">
        <f>IF($D5="","",COUNTIF(DESIGNAZIONI!P$8:P$1772,$D5))</f>
        <v/>
      </c>
      <c r="N5" s="64">
        <f>IF($D5="","",COUNTIF(DESIGNAZIONI!Q$8:Q$1772,$D5))</f>
        <v/>
      </c>
      <c r="O5" s="64">
        <f>IF($D5="","",COUNTIF(DESIGNAZIONI!R$8:R$1772,$D5))</f>
        <v/>
      </c>
    </row>
    <row r="6">
      <c r="C6" s="224" t="n"/>
      <c r="D6" s="13" t="n"/>
      <c r="E6" s="220" t="n"/>
      <c r="L6" s="64">
        <f>IF($D6="","",SUM(M6:O6))</f>
        <v/>
      </c>
      <c r="M6" s="64">
        <f>IF($D6="","",COUNTIF(DESIGNAZIONI!P$8:P$1772,$D6))</f>
        <v/>
      </c>
      <c r="N6" s="64">
        <f>IF($D6="","",COUNTIF(DESIGNAZIONI!Q$8:Q$1772,$D6))</f>
        <v/>
      </c>
      <c r="O6" s="64">
        <f>IF($D6="","",COUNTIF(DESIGNAZIONI!R$8:R$1772,$D6))</f>
        <v/>
      </c>
    </row>
    <row r="7">
      <c r="C7" s="224" t="n"/>
      <c r="D7" s="13" t="n"/>
      <c r="E7" s="220" t="n"/>
      <c r="L7" s="64">
        <f>IF($D7="","",SUM(M7:O7))</f>
        <v/>
      </c>
      <c r="M7" s="64">
        <f>IF($D7="","",COUNTIF(DESIGNAZIONI!P$8:P$1772,$D7))</f>
        <v/>
      </c>
      <c r="N7" s="64">
        <f>IF($D7="","",COUNTIF(DESIGNAZIONI!Q$8:Q$1772,$D7))</f>
        <v/>
      </c>
      <c r="O7" s="64">
        <f>IF($D7="","",COUNTIF(DESIGNAZIONI!R$8:R$1772,$D7))</f>
        <v/>
      </c>
    </row>
    <row r="8">
      <c r="C8" s="224" t="n"/>
      <c r="D8" s="13" t="n"/>
      <c r="E8" s="220" t="n"/>
      <c r="L8" s="64">
        <f>IF($D8="","",SUM(M8:O8))</f>
        <v/>
      </c>
      <c r="M8" s="64">
        <f>IF($D8="","",COUNTIF(DESIGNAZIONI!P$8:P$1772,$D8))</f>
        <v/>
      </c>
      <c r="N8" s="64">
        <f>IF($D8="","",COUNTIF(DESIGNAZIONI!Q$8:Q$1772,$D8))</f>
        <v/>
      </c>
      <c r="O8" s="64">
        <f>IF($D8="","",COUNTIF(DESIGNAZIONI!R$8:R$1772,$D8))</f>
        <v/>
      </c>
    </row>
    <row r="9">
      <c r="C9" s="224" t="n"/>
      <c r="D9" s="13" t="n"/>
      <c r="E9" s="220" t="n"/>
      <c r="L9" s="64">
        <f>IF($D9="","",SUM(M9:O9))</f>
        <v/>
      </c>
      <c r="M9" s="64">
        <f>IF($D9="","",COUNTIF(DESIGNAZIONI!P$8:P$1772,$D9))</f>
        <v/>
      </c>
      <c r="N9" s="64">
        <f>IF($D9="","",COUNTIF(DESIGNAZIONI!Q$8:Q$1772,$D9))</f>
        <v/>
      </c>
      <c r="O9" s="64">
        <f>IF($D9="","",COUNTIF(DESIGNAZIONI!R$8:R$1772,$D9))</f>
        <v/>
      </c>
    </row>
    <row r="10">
      <c r="C10" s="224" t="n"/>
      <c r="D10" s="13" t="n"/>
      <c r="E10" s="220" t="n"/>
      <c r="L10" s="64">
        <f>IF($D10="","",SUM(M10:O10))</f>
        <v/>
      </c>
      <c r="M10" s="64">
        <f>IF($D10="","",COUNTIF(DESIGNAZIONI!P$8:P$1772,$D10))</f>
        <v/>
      </c>
      <c r="N10" s="64">
        <f>IF($D10="","",COUNTIF(DESIGNAZIONI!Q$8:Q$1772,$D10))</f>
        <v/>
      </c>
      <c r="O10" s="64">
        <f>IF($D10="","",COUNTIF(DESIGNAZIONI!R$8:R$1772,$D10))</f>
        <v/>
      </c>
    </row>
    <row r="11">
      <c r="C11" s="224" t="n"/>
      <c r="D11" s="13" t="n"/>
      <c r="E11" s="220" t="n"/>
      <c r="L11" s="64">
        <f>IF($D11="","",SUM(M11:O11))</f>
        <v/>
      </c>
      <c r="M11" s="64">
        <f>IF($D11="","",COUNTIF(DESIGNAZIONI!P$8:P$1772,$D11))</f>
        <v/>
      </c>
      <c r="N11" s="64">
        <f>IF($D11="","",COUNTIF(DESIGNAZIONI!Q$8:Q$1772,$D11))</f>
        <v/>
      </c>
      <c r="O11" s="64">
        <f>IF($D11="","",COUNTIF(DESIGNAZIONI!R$8:R$1772,$D11))</f>
        <v/>
      </c>
    </row>
    <row r="12">
      <c r="C12" s="224" t="n"/>
      <c r="D12" s="13" t="n"/>
      <c r="E12" s="220" t="n"/>
      <c r="L12" s="64">
        <f>IF($D12="","",SUM(M12:O12))</f>
        <v/>
      </c>
      <c r="M12" s="64">
        <f>IF($D12="","",COUNTIF(DESIGNAZIONI!P$8:P$1772,$D12))</f>
        <v/>
      </c>
      <c r="N12" s="64">
        <f>IF($D12="","",COUNTIF(DESIGNAZIONI!Q$8:Q$1772,$D12))</f>
        <v/>
      </c>
      <c r="O12" s="64">
        <f>IF($D12="","",COUNTIF(DESIGNAZIONI!R$8:R$1772,$D12))</f>
        <v/>
      </c>
    </row>
    <row r="13">
      <c r="C13" s="224" t="n"/>
      <c r="D13" s="13" t="n"/>
      <c r="E13" s="220" t="n"/>
      <c r="L13" s="64">
        <f>IF($D13="","",SUM(M13:O13))</f>
        <v/>
      </c>
      <c r="M13" s="64">
        <f>IF($D13="","",COUNTIF(DESIGNAZIONI!P$8:P$1772,$D13))</f>
        <v/>
      </c>
      <c r="N13" s="64">
        <f>IF($D13="","",COUNTIF(DESIGNAZIONI!Q$8:Q$1772,$D13))</f>
        <v/>
      </c>
      <c r="O13" s="64">
        <f>IF($D13="","",COUNTIF(DESIGNAZIONI!R$8:R$1772,$D13))</f>
        <v/>
      </c>
    </row>
    <row r="14">
      <c r="C14" s="224" t="n"/>
      <c r="D14" s="13" t="n"/>
      <c r="E14" s="220" t="n"/>
      <c r="L14" s="64">
        <f>IF($D14="","",SUM(M14:O14))</f>
        <v/>
      </c>
      <c r="M14" s="64">
        <f>IF($D14="","",COUNTIF(DESIGNAZIONI!P$8:P$1772,$D14))</f>
        <v/>
      </c>
      <c r="N14" s="64">
        <f>IF($D14="","",COUNTIF(DESIGNAZIONI!Q$8:Q$1772,$D14))</f>
        <v/>
      </c>
      <c r="O14" s="64">
        <f>IF($D14="","",COUNTIF(DESIGNAZIONI!R$8:R$1772,$D14))</f>
        <v/>
      </c>
    </row>
    <row r="15">
      <c r="C15" s="224" t="n"/>
      <c r="D15" s="13" t="n"/>
      <c r="E15" s="220" t="n"/>
      <c r="L15" s="64">
        <f>IF($D15="","",SUM(M15:O15))</f>
        <v/>
      </c>
      <c r="M15" s="64">
        <f>IF($D15="","",COUNTIF(DESIGNAZIONI!P$8:P$1772,$D15))</f>
        <v/>
      </c>
      <c r="N15" s="64">
        <f>IF($D15="","",COUNTIF(DESIGNAZIONI!Q$8:Q$1772,$D15))</f>
        <v/>
      </c>
      <c r="O15" s="64">
        <f>IF($D15="","",COUNTIF(DESIGNAZIONI!R$8:R$1772,$D15))</f>
        <v/>
      </c>
    </row>
    <row r="16">
      <c r="C16" s="224" t="n"/>
      <c r="D16" s="13" t="n"/>
      <c r="E16" s="220" t="n"/>
      <c r="L16" s="64">
        <f>IF($D16="","",SUM(M16:O16))</f>
        <v/>
      </c>
      <c r="M16" s="64">
        <f>IF($D16="","",COUNTIF(DESIGNAZIONI!P$8:P$1772,$D16))</f>
        <v/>
      </c>
      <c r="N16" s="64">
        <f>IF($D16="","",COUNTIF(DESIGNAZIONI!Q$8:Q$1772,$D16))</f>
        <v/>
      </c>
      <c r="O16" s="64">
        <f>IF($D16="","",COUNTIF(DESIGNAZIONI!R$8:R$1772,$D16))</f>
        <v/>
      </c>
    </row>
    <row r="17">
      <c r="C17" s="224" t="n"/>
      <c r="D17" s="13" t="n"/>
      <c r="E17" s="220" t="n"/>
      <c r="L17" s="64">
        <f>IF($D17="","",SUM(M17:O17))</f>
        <v/>
      </c>
      <c r="M17" s="64">
        <f>IF($D17="","",COUNTIF(DESIGNAZIONI!P$8:P$1772,$D17))</f>
        <v/>
      </c>
      <c r="N17" s="64">
        <f>IF($D17="","",COUNTIF(DESIGNAZIONI!Q$8:Q$1772,$D17))</f>
        <v/>
      </c>
      <c r="O17" s="64">
        <f>IF($D17="","",COUNTIF(DESIGNAZIONI!R$8:R$1772,$D17))</f>
        <v/>
      </c>
    </row>
    <row r="18">
      <c r="C18" s="224" t="n"/>
      <c r="D18" s="13" t="n"/>
      <c r="E18" s="220" t="n"/>
      <c r="L18" s="64">
        <f>IF($D18="","",SUM(M18:O18))</f>
        <v/>
      </c>
      <c r="M18" s="64">
        <f>IF($D18="","",COUNTIF(DESIGNAZIONI!P$8:P$1772,$D18))</f>
        <v/>
      </c>
      <c r="N18" s="64">
        <f>IF($D18="","",COUNTIF(DESIGNAZIONI!Q$8:Q$1772,$D18))</f>
        <v/>
      </c>
      <c r="O18" s="64">
        <f>IF($D18="","",COUNTIF(DESIGNAZIONI!R$8:R$1772,$D18))</f>
        <v/>
      </c>
    </row>
    <row r="19">
      <c r="C19" s="224" t="n"/>
      <c r="D19" s="13" t="n"/>
      <c r="E19" s="220" t="n"/>
      <c r="L19" s="64">
        <f>IF($D19="","",SUM(M19:O19))</f>
        <v/>
      </c>
      <c r="M19" s="64">
        <f>IF($D19="","",COUNTIF(DESIGNAZIONI!P$8:P$1772,$D19))</f>
        <v/>
      </c>
      <c r="N19" s="64">
        <f>IF($D19="","",COUNTIF(DESIGNAZIONI!Q$8:Q$1772,$D19))</f>
        <v/>
      </c>
      <c r="O19" s="64">
        <f>IF($D19="","",COUNTIF(DESIGNAZIONI!R$8:R$1772,$D19))</f>
        <v/>
      </c>
    </row>
    <row r="20">
      <c r="C20" s="224" t="n"/>
      <c r="D20" s="13" t="n"/>
      <c r="E20" s="220" t="n"/>
      <c r="L20" s="64">
        <f>IF($D20="","",SUM(M20:O20))</f>
        <v/>
      </c>
      <c r="M20" s="64">
        <f>IF($D20="","",COUNTIF(DESIGNAZIONI!P$8:P$1772,$D20))</f>
        <v/>
      </c>
      <c r="N20" s="64">
        <f>IF($D20="","",COUNTIF(DESIGNAZIONI!Q$8:Q$1772,$D20))</f>
        <v/>
      </c>
      <c r="O20" s="64">
        <f>IF($D20="","",COUNTIF(DESIGNAZIONI!R$8:R$1772,$D20))</f>
        <v/>
      </c>
    </row>
    <row r="21">
      <c r="C21" s="224" t="n"/>
      <c r="D21" s="13" t="n"/>
      <c r="E21" s="220" t="n"/>
      <c r="L21" s="64">
        <f>IF($D21="","",SUM(M21:O21))</f>
        <v/>
      </c>
      <c r="M21" s="64">
        <f>IF($D21="","",COUNTIF(DESIGNAZIONI!P$8:P$1772,$D21))</f>
        <v/>
      </c>
      <c r="N21" s="64">
        <f>IF($D21="","",COUNTIF(DESIGNAZIONI!Q$8:Q$1772,$D21))</f>
        <v/>
      </c>
      <c r="O21" s="64">
        <f>IF($D21="","",COUNTIF(DESIGNAZIONI!R$8:R$1772,$D21))</f>
        <v/>
      </c>
    </row>
    <row r="22">
      <c r="C22" s="224" t="n"/>
      <c r="D22" s="13" t="n"/>
      <c r="E22" s="220" t="n"/>
      <c r="L22" s="64">
        <f>IF($D22="","",SUM(M22:O22))</f>
        <v/>
      </c>
      <c r="M22" s="64">
        <f>IF($D22="","",COUNTIF(DESIGNAZIONI!P$8:P$1772,$D22))</f>
        <v/>
      </c>
      <c r="N22" s="64">
        <f>IF($D22="","",COUNTIF(DESIGNAZIONI!Q$8:Q$1772,$D22))</f>
        <v/>
      </c>
      <c r="O22" s="64">
        <f>IF($D22="","",COUNTIF(DESIGNAZIONI!R$8:R$1772,$D22))</f>
        <v/>
      </c>
    </row>
    <row r="23">
      <c r="C23" s="224" t="n"/>
      <c r="D23" s="13" t="n"/>
      <c r="E23" s="220" t="n"/>
      <c r="L23" s="64">
        <f>IF($D23="","",SUM(M23:O23))</f>
        <v/>
      </c>
      <c r="M23" s="64">
        <f>IF($D23="","",COUNTIF(DESIGNAZIONI!P$8:P$1772,$D23))</f>
        <v/>
      </c>
      <c r="N23" s="64">
        <f>IF($D23="","",COUNTIF(DESIGNAZIONI!Q$8:Q$1772,$D23))</f>
        <v/>
      </c>
      <c r="O23" s="64">
        <f>IF($D23="","",COUNTIF(DESIGNAZIONI!R$8:R$1772,$D23))</f>
        <v/>
      </c>
    </row>
    <row r="24">
      <c r="C24" s="224" t="n"/>
      <c r="D24" s="13" t="n"/>
      <c r="E24" s="220" t="n"/>
      <c r="L24" s="64">
        <f>IF($D24="","",SUM(M24:O24))</f>
        <v/>
      </c>
      <c r="M24" s="64">
        <f>IF($D24="","",COUNTIF(DESIGNAZIONI!P$8:P$1772,$D24))</f>
        <v/>
      </c>
      <c r="N24" s="64">
        <f>IF($D24="","",COUNTIF(DESIGNAZIONI!Q$8:Q$1772,$D24))</f>
        <v/>
      </c>
      <c r="O24" s="64">
        <f>IF($D24="","",COUNTIF(DESIGNAZIONI!R$8:R$1772,$D24))</f>
        <v/>
      </c>
    </row>
    <row r="25">
      <c r="C25" s="224" t="n"/>
      <c r="D25" s="13" t="n"/>
      <c r="E25" s="220" t="n"/>
      <c r="L25" s="64">
        <f>IF($D25="","",SUM(M25:O25))</f>
        <v/>
      </c>
      <c r="M25" s="64">
        <f>IF($D25="","",COUNTIF(DESIGNAZIONI!P$8:P$1772,$D25))</f>
        <v/>
      </c>
      <c r="N25" s="64">
        <f>IF($D25="","",COUNTIF(DESIGNAZIONI!Q$8:Q$1772,$D25))</f>
        <v/>
      </c>
      <c r="O25" s="64">
        <f>IF($D25="","",COUNTIF(DESIGNAZIONI!R$8:R$1772,$D25))</f>
        <v/>
      </c>
    </row>
    <row r="26">
      <c r="C26" s="224" t="n"/>
      <c r="D26" s="13" t="n"/>
      <c r="E26" s="220" t="n"/>
      <c r="L26" s="64">
        <f>IF($D26="","",SUM(M26:O26))</f>
        <v/>
      </c>
      <c r="M26" s="64">
        <f>IF($D26="","",COUNTIF(DESIGNAZIONI!P$8:P$1772,$D26))</f>
        <v/>
      </c>
      <c r="N26" s="64">
        <f>IF($D26="","",COUNTIF(DESIGNAZIONI!Q$8:Q$1772,$D26))</f>
        <v/>
      </c>
      <c r="O26" s="64">
        <f>IF($D26="","",COUNTIF(DESIGNAZIONI!R$8:R$1772,$D26))</f>
        <v/>
      </c>
    </row>
    <row r="27">
      <c r="C27" s="224" t="n"/>
      <c r="D27" s="13" t="n"/>
      <c r="E27" s="220" t="n"/>
      <c r="L27" s="64">
        <f>IF($D27="","",SUM(M27:O27))</f>
        <v/>
      </c>
      <c r="M27" s="64">
        <f>IF($D27="","",COUNTIF(DESIGNAZIONI!P$8:P$1772,$D27))</f>
        <v/>
      </c>
      <c r="N27" s="64">
        <f>IF($D27="","",COUNTIF(DESIGNAZIONI!Q$8:Q$1772,$D27))</f>
        <v/>
      </c>
      <c r="O27" s="64">
        <f>IF($D27="","",COUNTIF(DESIGNAZIONI!R$8:R$1772,$D27))</f>
        <v/>
      </c>
    </row>
    <row r="28">
      <c r="C28" s="224" t="n"/>
      <c r="D28" s="13" t="n"/>
      <c r="E28" s="220" t="n"/>
      <c r="L28" s="64">
        <f>IF($D28="","",SUM(M28:O28))</f>
        <v/>
      </c>
      <c r="M28" s="64">
        <f>IF($D28="","",COUNTIF(DESIGNAZIONI!P$8:P$1772,$D28))</f>
        <v/>
      </c>
      <c r="N28" s="64">
        <f>IF($D28="","",COUNTIF(DESIGNAZIONI!Q$8:Q$1772,$D28))</f>
        <v/>
      </c>
      <c r="O28" s="64">
        <f>IF($D28="","",COUNTIF(DESIGNAZIONI!R$8:R$1772,$D28))</f>
        <v/>
      </c>
    </row>
    <row r="29">
      <c r="C29" s="224" t="n"/>
      <c r="D29" s="13" t="n"/>
      <c r="E29" s="220" t="n"/>
      <c r="L29" s="64">
        <f>IF($D29="","",SUM(M29:O29))</f>
        <v/>
      </c>
      <c r="M29" s="64">
        <f>IF($D29="","",COUNTIF(DESIGNAZIONI!P$8:P$1772,$D29))</f>
        <v/>
      </c>
      <c r="N29" s="64">
        <f>IF($D29="","",COUNTIF(DESIGNAZIONI!Q$8:Q$1772,$D29))</f>
        <v/>
      </c>
      <c r="O29" s="64">
        <f>IF($D29="","",COUNTIF(DESIGNAZIONI!R$8:R$1772,$D29))</f>
        <v/>
      </c>
    </row>
    <row r="30">
      <c r="C30" s="224" t="n"/>
      <c r="D30" s="13" t="n"/>
      <c r="E30" s="220" t="n"/>
      <c r="L30" s="64">
        <f>IF($D30="","",SUM(M30:O30))</f>
        <v/>
      </c>
      <c r="M30" s="64">
        <f>IF($D30="","",COUNTIF(DESIGNAZIONI!P$8:P$1772,$D30))</f>
        <v/>
      </c>
      <c r="N30" s="64">
        <f>IF($D30="","",COUNTIF(DESIGNAZIONI!Q$8:Q$1772,$D30))</f>
        <v/>
      </c>
      <c r="O30" s="64">
        <f>IF($D30="","",COUNTIF(DESIGNAZIONI!R$8:R$1772,$D30))</f>
        <v/>
      </c>
    </row>
    <row r="31">
      <c r="C31" s="224" t="n"/>
      <c r="D31" s="13" t="n"/>
      <c r="E31" s="220" t="n"/>
      <c r="L31" s="64">
        <f>IF($D31="","",SUM(M31:O31))</f>
        <v/>
      </c>
      <c r="M31" s="64">
        <f>IF($D31="","",COUNTIF(DESIGNAZIONI!P$8:P$1772,$D31))</f>
        <v/>
      </c>
      <c r="N31" s="64">
        <f>IF($D31="","",COUNTIF(DESIGNAZIONI!Q$8:Q$1772,$D31))</f>
        <v/>
      </c>
      <c r="O31" s="64">
        <f>IF($D31="","",COUNTIF(DESIGNAZIONI!R$8:R$1772,$D31))</f>
        <v/>
      </c>
    </row>
    <row r="32">
      <c r="C32" s="224" t="n"/>
      <c r="D32" s="13" t="n"/>
      <c r="E32" s="220" t="n"/>
      <c r="L32" s="64">
        <f>IF($D32="","",SUM(M32:O32))</f>
        <v/>
      </c>
      <c r="M32" s="64">
        <f>IF($D32="","",COUNTIF(DESIGNAZIONI!P$8:P$1772,$D32))</f>
        <v/>
      </c>
      <c r="N32" s="64">
        <f>IF($D32="","",COUNTIF(DESIGNAZIONI!Q$8:Q$1772,$D32))</f>
        <v/>
      </c>
      <c r="O32" s="64">
        <f>IF($D32="","",COUNTIF(DESIGNAZIONI!R$8:R$1772,$D32))</f>
        <v/>
      </c>
    </row>
    <row r="33">
      <c r="C33" s="224" t="n"/>
      <c r="D33" s="13" t="n"/>
      <c r="E33" s="220" t="n"/>
      <c r="L33" s="64">
        <f>IF($D33="","",SUM(M33:O33))</f>
        <v/>
      </c>
      <c r="M33" s="64">
        <f>IF($D33="","",COUNTIF(DESIGNAZIONI!P$8:P$1772,$D33))</f>
        <v/>
      </c>
      <c r="N33" s="64">
        <f>IF($D33="","",COUNTIF(DESIGNAZIONI!Q$8:Q$1772,$D33))</f>
        <v/>
      </c>
      <c r="O33" s="64">
        <f>IF($D33="","",COUNTIF(DESIGNAZIONI!R$8:R$1772,$D33))</f>
        <v/>
      </c>
    </row>
    <row r="34">
      <c r="C34" s="224" t="n"/>
      <c r="D34" s="13" t="n"/>
      <c r="E34" s="220" t="n"/>
      <c r="L34" s="64">
        <f>IF($D34="","",SUM(M34:O34))</f>
        <v/>
      </c>
      <c r="M34" s="64">
        <f>IF($D34="","",COUNTIF(DESIGNAZIONI!P$8:P$1772,$D34))</f>
        <v/>
      </c>
      <c r="N34" s="64">
        <f>IF($D34="","",COUNTIF(DESIGNAZIONI!Q$8:Q$1772,$D34))</f>
        <v/>
      </c>
      <c r="O34" s="64">
        <f>IF($D34="","",COUNTIF(DESIGNAZIONI!R$8:R$1772,$D34))</f>
        <v/>
      </c>
    </row>
    <row r="35">
      <c r="C35" s="224" t="n"/>
      <c r="D35" s="13" t="n"/>
      <c r="E35" s="220" t="n"/>
      <c r="L35" s="64">
        <f>IF($D35="","",SUM(M35:O35))</f>
        <v/>
      </c>
      <c r="M35" s="64">
        <f>IF($D35="","",COUNTIF(DESIGNAZIONI!P$8:P$1772,$D35))</f>
        <v/>
      </c>
      <c r="N35" s="64">
        <f>IF($D35="","",COUNTIF(DESIGNAZIONI!Q$8:Q$1772,$D35))</f>
        <v/>
      </c>
      <c r="O35" s="64">
        <f>IF($D35="","",COUNTIF(DESIGNAZIONI!R$8:R$1772,$D35))</f>
        <v/>
      </c>
    </row>
    <row r="36">
      <c r="C36" s="224" t="n"/>
      <c r="D36" s="13" t="n"/>
      <c r="E36" s="220" t="n"/>
      <c r="L36" s="64">
        <f>IF($D36="","",SUM(M36:O36))</f>
        <v/>
      </c>
      <c r="M36" s="64">
        <f>IF($D36="","",COUNTIF(DESIGNAZIONI!P$8:P$1772,$D36))</f>
        <v/>
      </c>
      <c r="N36" s="64">
        <f>IF($D36="","",COUNTIF(DESIGNAZIONI!Q$8:Q$1772,$D36))</f>
        <v/>
      </c>
      <c r="O36" s="64">
        <f>IF($D36="","",COUNTIF(DESIGNAZIONI!R$8:R$1772,$D36))</f>
        <v/>
      </c>
    </row>
    <row r="37">
      <c r="C37" s="224" t="n"/>
      <c r="D37" s="13" t="n"/>
      <c r="E37" s="220" t="n"/>
      <c r="L37" s="64">
        <f>IF($D37="","",SUM(M37:O37))</f>
        <v/>
      </c>
      <c r="M37" s="64">
        <f>IF($D37="","",COUNTIF(DESIGNAZIONI!P$8:P$1772,$D37))</f>
        <v/>
      </c>
      <c r="N37" s="64">
        <f>IF($D37="","",COUNTIF(DESIGNAZIONI!Q$8:Q$1772,$D37))</f>
        <v/>
      </c>
      <c r="O37" s="64">
        <f>IF($D37="","",COUNTIF(DESIGNAZIONI!R$8:R$1772,$D37))</f>
        <v/>
      </c>
    </row>
    <row r="38">
      <c r="C38" s="224" t="n"/>
      <c r="D38" s="13" t="n"/>
      <c r="E38" s="220" t="n"/>
      <c r="L38" s="64">
        <f>IF($D38="","",SUM(M38:O38))</f>
        <v/>
      </c>
      <c r="M38" s="64">
        <f>IF($D38="","",COUNTIF(DESIGNAZIONI!P$8:P$1772,$D38))</f>
        <v/>
      </c>
      <c r="N38" s="64">
        <f>IF($D38="","",COUNTIF(DESIGNAZIONI!Q$8:Q$1772,$D38))</f>
        <v/>
      </c>
      <c r="O38" s="64">
        <f>IF($D38="","",COUNTIF(DESIGNAZIONI!R$8:R$1772,$D38))</f>
        <v/>
      </c>
    </row>
    <row r="39">
      <c r="C39" s="224" t="n"/>
      <c r="D39" s="13" t="n"/>
      <c r="E39" s="220" t="n"/>
      <c r="L39" s="64">
        <f>IF($D39="","",SUM(M39:O39))</f>
        <v/>
      </c>
      <c r="M39" s="64">
        <f>IF($D39="","",COUNTIF(DESIGNAZIONI!P$8:P$1772,$D39))</f>
        <v/>
      </c>
      <c r="N39" s="64">
        <f>IF($D39="","",COUNTIF(DESIGNAZIONI!Q$8:Q$1772,$D39))</f>
        <v/>
      </c>
      <c r="O39" s="64">
        <f>IF($D39="","",COUNTIF(DESIGNAZIONI!R$8:R$1772,$D39))</f>
        <v/>
      </c>
    </row>
    <row r="40">
      <c r="C40" s="224" t="n"/>
      <c r="D40" s="13" t="n"/>
      <c r="E40" s="220" t="n"/>
      <c r="L40" s="64">
        <f>IF($D40="","",SUM(M40:O40))</f>
        <v/>
      </c>
      <c r="M40" s="64">
        <f>IF($D40="","",COUNTIF(DESIGNAZIONI!P$8:P$1772,$D40))</f>
        <v/>
      </c>
      <c r="N40" s="64">
        <f>IF($D40="","",COUNTIF(DESIGNAZIONI!Q$8:Q$1772,$D40))</f>
        <v/>
      </c>
      <c r="O40" s="64">
        <f>IF($D40="","",COUNTIF(DESIGNAZIONI!R$8:R$1772,$D40))</f>
        <v/>
      </c>
    </row>
    <row r="41">
      <c r="C41" s="224" t="n"/>
      <c r="D41" s="13" t="n"/>
      <c r="E41" s="220" t="n"/>
      <c r="L41" s="64">
        <f>IF($D41="","",SUM(M41:O41))</f>
        <v/>
      </c>
      <c r="M41" s="64">
        <f>IF($D41="","",COUNTIF(DESIGNAZIONI!P$8:P$1772,$D41))</f>
        <v/>
      </c>
      <c r="N41" s="64">
        <f>IF($D41="","",COUNTIF(DESIGNAZIONI!Q$8:Q$1772,$D41))</f>
        <v/>
      </c>
      <c r="O41" s="64">
        <f>IF($D41="","",COUNTIF(DESIGNAZIONI!R$8:R$1772,$D41))</f>
        <v/>
      </c>
    </row>
    <row r="42">
      <c r="C42" s="224" t="n"/>
      <c r="D42" s="13" t="n"/>
      <c r="E42" s="220" t="n"/>
      <c r="L42" s="64">
        <f>IF($D42="","",SUM(M42:O42))</f>
        <v/>
      </c>
      <c r="M42" s="64">
        <f>IF($D42="","",COUNTIF(DESIGNAZIONI!P$8:P$1772,$D42))</f>
        <v/>
      </c>
      <c r="N42" s="64">
        <f>IF($D42="","",COUNTIF(DESIGNAZIONI!Q$8:Q$1772,$D42))</f>
        <v/>
      </c>
      <c r="O42" s="64">
        <f>IF($D42="","",COUNTIF(DESIGNAZIONI!R$8:R$1772,$D42))</f>
        <v/>
      </c>
    </row>
    <row r="43">
      <c r="C43" s="224" t="n"/>
      <c r="D43" s="13" t="n"/>
      <c r="E43" s="220" t="n"/>
      <c r="L43" s="64">
        <f>IF($D43="","",SUM(M43:O43))</f>
        <v/>
      </c>
      <c r="M43" s="64">
        <f>IF($D43="","",COUNTIF(DESIGNAZIONI!P$8:P$1772,$D43))</f>
        <v/>
      </c>
      <c r="N43" s="64">
        <f>IF($D43="","",COUNTIF(DESIGNAZIONI!Q$8:Q$1772,$D43))</f>
        <v/>
      </c>
      <c r="O43" s="64">
        <f>IF($D43="","",COUNTIF(DESIGNAZIONI!R$8:R$1772,$D43))</f>
        <v/>
      </c>
    </row>
    <row r="44">
      <c r="C44" s="224" t="n"/>
      <c r="D44" s="13" t="n"/>
      <c r="E44" s="220" t="n"/>
      <c r="L44" s="64">
        <f>IF($D44="","",SUM(M44:O44))</f>
        <v/>
      </c>
      <c r="M44" s="64">
        <f>IF($D44="","",COUNTIF(DESIGNAZIONI!P$8:P$1772,$D44))</f>
        <v/>
      </c>
      <c r="N44" s="64">
        <f>IF($D44="","",COUNTIF(DESIGNAZIONI!Q$8:Q$1772,$D44))</f>
        <v/>
      </c>
      <c r="O44" s="64">
        <f>IF($D44="","",COUNTIF(DESIGNAZIONI!R$8:R$1772,$D44))</f>
        <v/>
      </c>
    </row>
    <row r="45">
      <c r="C45" s="224" t="n"/>
      <c r="D45" s="13" t="n"/>
      <c r="E45" s="220" t="n"/>
      <c r="L45" s="64">
        <f>IF($D45="","",SUM(M45:O45))</f>
        <v/>
      </c>
      <c r="M45" s="64">
        <f>IF($D45="","",COUNTIF(DESIGNAZIONI!P$8:P$1772,$D45))</f>
        <v/>
      </c>
      <c r="N45" s="64">
        <f>IF($D45="","",COUNTIF(DESIGNAZIONI!Q$8:Q$1772,$D45))</f>
        <v/>
      </c>
      <c r="O45" s="64">
        <f>IF($D45="","",COUNTIF(DESIGNAZIONI!R$8:R$1772,$D45))</f>
        <v/>
      </c>
    </row>
    <row r="46">
      <c r="C46" s="224" t="n"/>
      <c r="D46" s="13" t="n"/>
      <c r="E46" s="220" t="n"/>
      <c r="L46" s="64">
        <f>IF($D46="","",SUM(M46:O46))</f>
        <v/>
      </c>
      <c r="M46" s="64">
        <f>IF($D46="","",COUNTIF(DESIGNAZIONI!P$8:P$1772,$D46))</f>
        <v/>
      </c>
      <c r="N46" s="64">
        <f>IF($D46="","",COUNTIF(DESIGNAZIONI!Q$8:Q$1772,$D46))</f>
        <v/>
      </c>
      <c r="O46" s="64">
        <f>IF($D46="","",COUNTIF(DESIGNAZIONI!R$8:R$1772,$D46))</f>
        <v/>
      </c>
    </row>
    <row r="47">
      <c r="C47" s="224" t="n"/>
      <c r="D47" s="13" t="n"/>
      <c r="E47" s="220" t="n"/>
      <c r="L47" s="64">
        <f>IF($D47="","",SUM(M47:O47))</f>
        <v/>
      </c>
      <c r="M47" s="64">
        <f>IF($D47="","",COUNTIF(DESIGNAZIONI!P$8:P$1772,$D47))</f>
        <v/>
      </c>
      <c r="N47" s="64">
        <f>IF($D47="","",COUNTIF(DESIGNAZIONI!Q$8:Q$1772,$D47))</f>
        <v/>
      </c>
      <c r="O47" s="64">
        <f>IF($D47="","",COUNTIF(DESIGNAZIONI!R$8:R$1772,$D47))</f>
        <v/>
      </c>
    </row>
    <row r="48">
      <c r="C48" s="224" t="n"/>
      <c r="D48" s="13" t="n"/>
      <c r="E48" s="220" t="n"/>
      <c r="L48" s="64">
        <f>IF($D48="","",SUM(M48:O48))</f>
        <v/>
      </c>
      <c r="M48" s="64">
        <f>IF($D48="","",COUNTIF(DESIGNAZIONI!P$8:P$1772,$D48))</f>
        <v/>
      </c>
      <c r="N48" s="64">
        <f>IF($D48="","",COUNTIF(DESIGNAZIONI!Q$8:Q$1772,$D48))</f>
        <v/>
      </c>
      <c r="O48" s="64">
        <f>IF($D48="","",COUNTIF(DESIGNAZIONI!R$8:R$1772,$D48))</f>
        <v/>
      </c>
    </row>
    <row r="49">
      <c r="C49" s="224" t="n"/>
      <c r="D49" s="13" t="n"/>
      <c r="E49" s="220" t="n"/>
      <c r="L49" s="64">
        <f>IF($D49="","",SUM(M49:O49))</f>
        <v/>
      </c>
      <c r="M49" s="64">
        <f>IF($D49="","",COUNTIF(DESIGNAZIONI!P$8:P$1772,$D49))</f>
        <v/>
      </c>
      <c r="N49" s="64">
        <f>IF($D49="","",COUNTIF(DESIGNAZIONI!Q$8:Q$1772,$D49))</f>
        <v/>
      </c>
      <c r="O49" s="64">
        <f>IF($D49="","",COUNTIF(DESIGNAZIONI!R$8:R$1772,$D49))</f>
        <v/>
      </c>
    </row>
    <row r="50">
      <c r="C50" s="224" t="n"/>
      <c r="D50" s="13" t="n"/>
      <c r="E50" s="220" t="n"/>
      <c r="L50" s="64">
        <f>IF($D50="","",SUM(M50:O50))</f>
        <v/>
      </c>
      <c r="M50" s="64">
        <f>IF($D50="","",COUNTIF(DESIGNAZIONI!P$8:P$1772,$D50))</f>
        <v/>
      </c>
      <c r="N50" s="64">
        <f>IF($D50="","",COUNTIF(DESIGNAZIONI!Q$8:Q$1772,$D50))</f>
        <v/>
      </c>
      <c r="O50" s="64">
        <f>IF($D50="","",COUNTIF(DESIGNAZIONI!R$8:R$1772,$D50))</f>
        <v/>
      </c>
    </row>
    <row r="51">
      <c r="C51" s="224" t="n"/>
      <c r="D51" s="13" t="n"/>
      <c r="E51" s="220" t="n"/>
      <c r="L51" s="64">
        <f>IF($D51="","",SUM(M51:O51))</f>
        <v/>
      </c>
      <c r="M51" s="64">
        <f>IF($D51="","",COUNTIF(DESIGNAZIONI!P$8:P$1772,$D51))</f>
        <v/>
      </c>
      <c r="N51" s="64">
        <f>IF($D51="","",COUNTIF(DESIGNAZIONI!Q$8:Q$1772,$D51))</f>
        <v/>
      </c>
      <c r="O51" s="64">
        <f>IF($D51="","",COUNTIF(DESIGNAZIONI!R$8:R$1772,$D51))</f>
        <v/>
      </c>
    </row>
    <row r="52">
      <c r="C52" s="224" t="n"/>
      <c r="D52" s="13" t="n"/>
      <c r="E52" s="220" t="n"/>
      <c r="L52" s="64">
        <f>IF($D52="","",SUM(M52:O52))</f>
        <v/>
      </c>
      <c r="M52" s="64">
        <f>IF($D52="","",COUNTIF(DESIGNAZIONI!P$8:P$1772,$D52))</f>
        <v/>
      </c>
      <c r="N52" s="64">
        <f>IF($D52="","",COUNTIF(DESIGNAZIONI!Q$8:Q$1772,$D52))</f>
        <v/>
      </c>
      <c r="O52" s="64">
        <f>IF($D52="","",COUNTIF(DESIGNAZIONI!R$8:R$1772,$D52))</f>
        <v/>
      </c>
    </row>
    <row r="53">
      <c r="C53" s="224" t="n"/>
      <c r="D53" s="13" t="n"/>
      <c r="E53" s="220" t="n"/>
      <c r="L53" s="64">
        <f>IF($D53="","",SUM(M53:O53))</f>
        <v/>
      </c>
      <c r="M53" s="64">
        <f>IF($D53="","",COUNTIF(DESIGNAZIONI!P$8:P$1772,$D53))</f>
        <v/>
      </c>
      <c r="N53" s="64">
        <f>IF($D53="","",COUNTIF(DESIGNAZIONI!Q$8:Q$1772,$D53))</f>
        <v/>
      </c>
      <c r="O53" s="64">
        <f>IF($D53="","",COUNTIF(DESIGNAZIONI!R$8:R$1772,$D53))</f>
        <v/>
      </c>
    </row>
    <row r="54">
      <c r="C54" s="224" t="n"/>
      <c r="D54" s="13" t="n"/>
      <c r="E54" s="220" t="n"/>
      <c r="L54" s="64">
        <f>IF($D54="","",SUM(M54:O54))</f>
        <v/>
      </c>
      <c r="M54" s="64">
        <f>IF($D54="","",COUNTIF(DESIGNAZIONI!P$8:P$1772,$D54))</f>
        <v/>
      </c>
      <c r="N54" s="64">
        <f>IF($D54="","",COUNTIF(DESIGNAZIONI!Q$8:Q$1772,$D54))</f>
        <v/>
      </c>
      <c r="O54" s="64">
        <f>IF($D54="","",COUNTIF(DESIGNAZIONI!R$8:R$1772,$D54))</f>
        <v/>
      </c>
    </row>
    <row r="55">
      <c r="C55" s="224" t="n"/>
      <c r="D55" s="13" t="n"/>
      <c r="E55" s="220" t="n"/>
      <c r="L55" s="64">
        <f>IF($D55="","",SUM(M55:O55))</f>
        <v/>
      </c>
      <c r="M55" s="64">
        <f>IF($D55="","",COUNTIF(DESIGNAZIONI!P$8:P$1772,$D55))</f>
        <v/>
      </c>
      <c r="N55" s="64">
        <f>IF($D55="","",COUNTIF(DESIGNAZIONI!Q$8:Q$1772,$D55))</f>
        <v/>
      </c>
      <c r="O55" s="64">
        <f>IF($D55="","",COUNTIF(DESIGNAZIONI!R$8:R$1772,$D55))</f>
        <v/>
      </c>
    </row>
    <row r="56">
      <c r="C56" s="224" t="n"/>
      <c r="D56" s="13" t="n"/>
      <c r="E56" s="220" t="n"/>
      <c r="L56" s="64">
        <f>IF($D56="","",SUM(M56:O56))</f>
        <v/>
      </c>
      <c r="M56" s="64">
        <f>IF($D56="","",COUNTIF(DESIGNAZIONI!P$8:P$1772,$D56))</f>
        <v/>
      </c>
      <c r="N56" s="64">
        <f>IF($D56="","",COUNTIF(DESIGNAZIONI!Q$8:Q$1772,$D56))</f>
        <v/>
      </c>
      <c r="O56" s="64">
        <f>IF($D56="","",COUNTIF(DESIGNAZIONI!R$8:R$1772,$D56))</f>
        <v/>
      </c>
    </row>
    <row r="57">
      <c r="C57" s="224" t="n"/>
      <c r="D57" s="13" t="n"/>
      <c r="E57" s="220" t="n"/>
      <c r="L57" s="64">
        <f>IF($D57="","",SUM(M57:O57))</f>
        <v/>
      </c>
      <c r="M57" s="64">
        <f>IF($D57="","",COUNTIF(DESIGNAZIONI!P$8:P$1772,$D57))</f>
        <v/>
      </c>
      <c r="N57" s="64">
        <f>IF($D57="","",COUNTIF(DESIGNAZIONI!Q$8:Q$1772,$D57))</f>
        <v/>
      </c>
      <c r="O57" s="64">
        <f>IF($D57="","",COUNTIF(DESIGNAZIONI!R$8:R$1772,$D57))</f>
        <v/>
      </c>
    </row>
    <row r="58">
      <c r="C58" s="224" t="n"/>
      <c r="D58" s="13" t="n"/>
      <c r="E58" s="220" t="n"/>
      <c r="L58" s="64">
        <f>IF($D58="","",SUM(M58:O58))</f>
        <v/>
      </c>
      <c r="M58" s="64">
        <f>IF($D58="","",COUNTIF(DESIGNAZIONI!P$8:P$1772,$D58))</f>
        <v/>
      </c>
      <c r="N58" s="64">
        <f>IF($D58="","",COUNTIF(DESIGNAZIONI!Q$8:Q$1772,$D58))</f>
        <v/>
      </c>
      <c r="O58" s="64">
        <f>IF($D58="","",COUNTIF(DESIGNAZIONI!R$8:R$1772,$D58))</f>
        <v/>
      </c>
    </row>
    <row r="59">
      <c r="C59" s="224" t="n"/>
      <c r="D59" s="13" t="n"/>
      <c r="E59" s="220" t="n"/>
      <c r="L59" s="64">
        <f>IF($D59="","",SUM(M59:O59))</f>
        <v/>
      </c>
      <c r="M59" s="64">
        <f>IF($D59="","",COUNTIF(DESIGNAZIONI!P$8:P$1772,$D59))</f>
        <v/>
      </c>
      <c r="N59" s="64">
        <f>IF($D59="","",COUNTIF(DESIGNAZIONI!Q$8:Q$1772,$D59))</f>
        <v/>
      </c>
      <c r="O59" s="64">
        <f>IF($D59="","",COUNTIF(DESIGNAZIONI!R$8:R$1772,$D59))</f>
        <v/>
      </c>
    </row>
    <row r="60">
      <c r="C60" s="224" t="n"/>
      <c r="D60" s="13" t="n"/>
      <c r="E60" s="220" t="n"/>
      <c r="L60" s="64">
        <f>IF($D60="","",SUM(M60:O60))</f>
        <v/>
      </c>
      <c r="M60" s="64">
        <f>IF($D60="","",COUNTIF(DESIGNAZIONI!P$8:P$1772,$D60))</f>
        <v/>
      </c>
      <c r="N60" s="64">
        <f>IF($D60="","",COUNTIF(DESIGNAZIONI!Q$8:Q$1772,$D60))</f>
        <v/>
      </c>
      <c r="O60" s="64">
        <f>IF($D60="","",COUNTIF(DESIGNAZIONI!R$8:R$1772,$D60))</f>
        <v/>
      </c>
    </row>
    <row r="61">
      <c r="C61" s="224" t="n"/>
      <c r="D61" s="13" t="n"/>
      <c r="E61" s="220" t="n"/>
      <c r="L61" s="64">
        <f>IF($D61="","",SUM(M61:O61))</f>
        <v/>
      </c>
      <c r="M61" s="64">
        <f>IF($D61="","",COUNTIF(DESIGNAZIONI!P$8:P$1772,$D61))</f>
        <v/>
      </c>
      <c r="N61" s="64">
        <f>IF($D61="","",COUNTIF(DESIGNAZIONI!Q$8:Q$1772,$D61))</f>
        <v/>
      </c>
      <c r="O61" s="64">
        <f>IF($D61="","",COUNTIF(DESIGNAZIONI!R$8:R$1772,$D61))</f>
        <v/>
      </c>
    </row>
    <row r="62">
      <c r="C62" s="224" t="n"/>
      <c r="D62" s="13" t="n"/>
      <c r="E62" s="220" t="n"/>
      <c r="L62" s="64">
        <f>IF($D62="","",SUM(M62:O62))</f>
        <v/>
      </c>
      <c r="M62" s="64">
        <f>IF($D62="","",COUNTIF(DESIGNAZIONI!P$8:P$1772,$D62))</f>
        <v/>
      </c>
      <c r="N62" s="64">
        <f>IF($D62="","",COUNTIF(DESIGNAZIONI!Q$8:Q$1772,$D62))</f>
        <v/>
      </c>
      <c r="O62" s="64">
        <f>IF($D62="","",COUNTIF(DESIGNAZIONI!R$8:R$1772,$D62))</f>
        <v/>
      </c>
    </row>
    <row r="63">
      <c r="C63" s="224" t="n"/>
      <c r="D63" s="13" t="n"/>
      <c r="E63" s="220" t="n"/>
      <c r="L63" s="64">
        <f>IF($D63="","",SUM(M63:O63))</f>
        <v/>
      </c>
      <c r="M63" s="64">
        <f>IF($D63="","",COUNTIF(DESIGNAZIONI!P$8:P$1772,$D63))</f>
        <v/>
      </c>
      <c r="N63" s="64">
        <f>IF($D63="","",COUNTIF(DESIGNAZIONI!Q$8:Q$1772,$D63))</f>
        <v/>
      </c>
      <c r="O63" s="64">
        <f>IF($D63="","",COUNTIF(DESIGNAZIONI!R$8:R$1772,$D63))</f>
        <v/>
      </c>
    </row>
    <row r="64">
      <c r="C64" s="224" t="n"/>
      <c r="D64" s="13" t="n"/>
      <c r="E64" s="220" t="n"/>
      <c r="L64" s="64">
        <f>IF($D64="","",SUM(M64:O64))</f>
        <v/>
      </c>
      <c r="M64" s="64">
        <f>IF($D64="","",COUNTIF(DESIGNAZIONI!P$8:P$1772,$D64))</f>
        <v/>
      </c>
      <c r="N64" s="64">
        <f>IF($D64="","",COUNTIF(DESIGNAZIONI!Q$8:Q$1772,$D64))</f>
        <v/>
      </c>
      <c r="O64" s="64">
        <f>IF($D64="","",COUNTIF(DESIGNAZIONI!R$8:R$1772,$D64))</f>
        <v/>
      </c>
    </row>
    <row r="65">
      <c r="C65" s="224" t="n"/>
      <c r="D65" s="13" t="n"/>
      <c r="E65" s="220" t="n"/>
      <c r="L65" s="64">
        <f>IF($D65="","",SUM(M65:O65))</f>
        <v/>
      </c>
      <c r="M65" s="64">
        <f>IF($D65="","",COUNTIF(DESIGNAZIONI!P$8:P$1772,$D65))</f>
        <v/>
      </c>
      <c r="N65" s="64">
        <f>IF($D65="","",COUNTIF(DESIGNAZIONI!Q$8:Q$1772,$D65))</f>
        <v/>
      </c>
      <c r="O65" s="64">
        <f>IF($D65="","",COUNTIF(DESIGNAZIONI!R$8:R$1772,$D65))</f>
        <v/>
      </c>
    </row>
    <row r="66">
      <c r="C66" s="224" t="n"/>
      <c r="D66" s="13" t="n"/>
      <c r="E66" s="220" t="n"/>
      <c r="L66" s="64">
        <f>IF($D66="","",SUM(M66:O66))</f>
        <v/>
      </c>
      <c r="M66" s="64">
        <f>IF($D66="","",COUNTIF(DESIGNAZIONI!P$8:P$1772,$D66))</f>
        <v/>
      </c>
      <c r="N66" s="64">
        <f>IF($D66="","",COUNTIF(DESIGNAZIONI!Q$8:Q$1772,$D66))</f>
        <v/>
      </c>
      <c r="O66" s="64">
        <f>IF($D66="","",COUNTIF(DESIGNAZIONI!R$8:R$1772,$D66))</f>
        <v/>
      </c>
    </row>
    <row r="67">
      <c r="C67" s="224" t="n"/>
      <c r="D67" s="13" t="n"/>
      <c r="E67" s="220" t="n"/>
      <c r="L67" s="64">
        <f>IF($D67="","",SUM(M67:O67))</f>
        <v/>
      </c>
      <c r="M67" s="64">
        <f>IF($D67="","",COUNTIF(DESIGNAZIONI!P$8:P$1772,$D67))</f>
        <v/>
      </c>
      <c r="N67" s="64">
        <f>IF($D67="","",COUNTIF(DESIGNAZIONI!Q$8:Q$1772,$D67))</f>
        <v/>
      </c>
      <c r="O67" s="64">
        <f>IF($D67="","",COUNTIF(DESIGNAZIONI!R$8:R$1772,$D67))</f>
        <v/>
      </c>
    </row>
    <row r="68">
      <c r="C68" s="224" t="n"/>
      <c r="D68" s="13" t="n"/>
      <c r="E68" s="220" t="n"/>
      <c r="L68" s="64">
        <f>IF($D68="","",SUM(M68:O68))</f>
        <v/>
      </c>
      <c r="M68" s="64">
        <f>IF($D68="","",COUNTIF(DESIGNAZIONI!P$8:P$1772,$D68))</f>
        <v/>
      </c>
      <c r="N68" s="64">
        <f>IF($D68="","",COUNTIF(DESIGNAZIONI!Q$8:Q$1772,$D68))</f>
        <v/>
      </c>
      <c r="O68" s="64">
        <f>IF($D68="","",COUNTIF(DESIGNAZIONI!R$8:R$1772,$D68))</f>
        <v/>
      </c>
    </row>
    <row r="69">
      <c r="C69" s="224" t="n"/>
      <c r="D69" s="13" t="n"/>
      <c r="E69" s="220" t="n"/>
      <c r="L69" s="64">
        <f>IF($D69="","",SUM(M69:O69))</f>
        <v/>
      </c>
      <c r="M69" s="64">
        <f>IF($D69="","",COUNTIF(DESIGNAZIONI!P$8:P$1772,$D69))</f>
        <v/>
      </c>
      <c r="N69" s="64">
        <f>IF($D69="","",COUNTIF(DESIGNAZIONI!Q$8:Q$1772,$D69))</f>
        <v/>
      </c>
      <c r="O69" s="64">
        <f>IF($D69="","",COUNTIF(DESIGNAZIONI!R$8:R$1772,$D69))</f>
        <v/>
      </c>
    </row>
    <row r="70">
      <c r="C70" s="224" t="n"/>
      <c r="D70" s="13" t="n"/>
      <c r="E70" s="220" t="n"/>
      <c r="L70" s="64">
        <f>IF($D70="","",SUM(M70:O70))</f>
        <v/>
      </c>
      <c r="M70" s="64">
        <f>IF($D70="","",COUNTIF(DESIGNAZIONI!P$8:P$1772,$D70))</f>
        <v/>
      </c>
      <c r="N70" s="64">
        <f>IF($D70="","",COUNTIF(DESIGNAZIONI!Q$8:Q$1772,$D70))</f>
        <v/>
      </c>
      <c r="O70" s="64">
        <f>IF($D70="","",COUNTIF(DESIGNAZIONI!R$8:R$1772,$D70))</f>
        <v/>
      </c>
    </row>
    <row r="71">
      <c r="C71" s="224" t="n"/>
      <c r="D71" s="13" t="n"/>
      <c r="E71" s="220" t="n"/>
      <c r="L71" s="64">
        <f>IF($D71="","",SUM(M71:O71))</f>
        <v/>
      </c>
      <c r="M71" s="64">
        <f>IF($D71="","",COUNTIF(DESIGNAZIONI!P$8:P$1772,$D71))</f>
        <v/>
      </c>
      <c r="N71" s="64">
        <f>IF($D71="","",COUNTIF(DESIGNAZIONI!Q$8:Q$1772,$D71))</f>
        <v/>
      </c>
      <c r="O71" s="64">
        <f>IF($D71="","",COUNTIF(DESIGNAZIONI!R$8:R$1772,$D71))</f>
        <v/>
      </c>
    </row>
    <row r="72">
      <c r="C72" s="224" t="n"/>
      <c r="D72" s="13" t="n"/>
      <c r="E72" s="220" t="n"/>
      <c r="L72" s="64">
        <f>IF($D72="","",SUM(M72:O72))</f>
        <v/>
      </c>
      <c r="M72" s="64">
        <f>IF($D72="","",COUNTIF(DESIGNAZIONI!P$8:P$1772,$D72))</f>
        <v/>
      </c>
      <c r="N72" s="64">
        <f>IF($D72="","",COUNTIF(DESIGNAZIONI!Q$8:Q$1772,$D72))</f>
        <v/>
      </c>
      <c r="O72" s="64">
        <f>IF($D72="","",COUNTIF(DESIGNAZIONI!R$8:R$1772,$D72))</f>
        <v/>
      </c>
    </row>
    <row r="73">
      <c r="C73" s="224" t="n"/>
      <c r="D73" s="13" t="n"/>
      <c r="E73" s="220" t="n"/>
      <c r="L73" s="64">
        <f>IF($D73="","",SUM(M73:O73))</f>
        <v/>
      </c>
      <c r="M73" s="64">
        <f>IF($D73="","",COUNTIF(DESIGNAZIONI!P$8:P$1772,$D73))</f>
        <v/>
      </c>
      <c r="N73" s="64">
        <f>IF($D73="","",COUNTIF(DESIGNAZIONI!Q$8:Q$1772,$D73))</f>
        <v/>
      </c>
      <c r="O73" s="64">
        <f>IF($D73="","",COUNTIF(DESIGNAZIONI!R$8:R$1772,$D73))</f>
        <v/>
      </c>
    </row>
    <row r="74">
      <c r="C74" s="224" t="n"/>
      <c r="D74" s="13" t="n"/>
      <c r="E74" s="220" t="n"/>
      <c r="L74" s="64">
        <f>IF($D74="","",SUM(M74:O74))</f>
        <v/>
      </c>
      <c r="M74" s="64">
        <f>IF($D74="","",COUNTIF(DESIGNAZIONI!P$8:P$1772,$D74))</f>
        <v/>
      </c>
      <c r="N74" s="64">
        <f>IF($D74="","",COUNTIF(DESIGNAZIONI!Q$8:Q$1772,$D74))</f>
        <v/>
      </c>
      <c r="O74" s="64">
        <f>IF($D74="","",COUNTIF(DESIGNAZIONI!R$8:R$1772,$D74))</f>
        <v/>
      </c>
    </row>
    <row r="75">
      <c r="C75" s="224" t="n"/>
      <c r="D75" s="13" t="n"/>
      <c r="E75" s="220" t="n"/>
      <c r="L75" s="64">
        <f>IF($D75="","",SUM(M75:O75))</f>
        <v/>
      </c>
      <c r="M75" s="64">
        <f>IF($D75="","",COUNTIF(DESIGNAZIONI!P$8:P$1772,$D75))</f>
        <v/>
      </c>
      <c r="N75" s="64">
        <f>IF($D75="","",COUNTIF(DESIGNAZIONI!Q$8:Q$1772,$D75))</f>
        <v/>
      </c>
      <c r="O75" s="64">
        <f>IF($D75="","",COUNTIF(DESIGNAZIONI!R$8:R$1772,$D75))</f>
        <v/>
      </c>
    </row>
    <row r="76">
      <c r="C76" s="224" t="n"/>
      <c r="D76" s="13" t="n"/>
      <c r="E76" s="220" t="n"/>
      <c r="L76" s="64">
        <f>IF($D76="","",SUM(M76:O76))</f>
        <v/>
      </c>
      <c r="M76" s="64">
        <f>IF($D76="","",COUNTIF(DESIGNAZIONI!P$8:P$1772,$D76))</f>
        <v/>
      </c>
      <c r="N76" s="64">
        <f>IF($D76="","",COUNTIF(DESIGNAZIONI!Q$8:Q$1772,$D76))</f>
        <v/>
      </c>
      <c r="O76" s="64">
        <f>IF($D76="","",COUNTIF(DESIGNAZIONI!R$8:R$1772,$D76))</f>
        <v/>
      </c>
    </row>
    <row r="77">
      <c r="C77" s="224" t="n"/>
      <c r="D77" s="13" t="n"/>
      <c r="E77" s="220" t="n"/>
      <c r="L77" s="64">
        <f>IF($D77="","",SUM(M77:O77))</f>
        <v/>
      </c>
      <c r="M77" s="64">
        <f>IF($D77="","",COUNTIF(DESIGNAZIONI!P$8:P$1772,$D77))</f>
        <v/>
      </c>
      <c r="N77" s="64">
        <f>IF($D77="","",COUNTIF(DESIGNAZIONI!Q$8:Q$1772,$D77))</f>
        <v/>
      </c>
      <c r="O77" s="64">
        <f>IF($D77="","",COUNTIF(DESIGNAZIONI!R$8:R$1772,$D77))</f>
        <v/>
      </c>
    </row>
    <row r="78">
      <c r="C78" s="224" t="n"/>
      <c r="D78" s="13" t="n"/>
      <c r="E78" s="220" t="n"/>
      <c r="L78" s="64">
        <f>IF($D78="","",SUM(M78:O78))</f>
        <v/>
      </c>
      <c r="M78" s="64">
        <f>IF($D78="","",COUNTIF(DESIGNAZIONI!P$8:P$1772,$D78))</f>
        <v/>
      </c>
      <c r="N78" s="64">
        <f>IF($D78="","",COUNTIF(DESIGNAZIONI!Q$8:Q$1772,$D78))</f>
        <v/>
      </c>
      <c r="O78" s="64">
        <f>IF($D78="","",COUNTIF(DESIGNAZIONI!R$8:R$1772,$D78))</f>
        <v/>
      </c>
    </row>
    <row r="79">
      <c r="C79" s="224" t="n"/>
      <c r="D79" s="13" t="n"/>
      <c r="E79" s="220" t="n"/>
      <c r="L79" s="64">
        <f>IF($D79="","",SUM(M79:O79))</f>
        <v/>
      </c>
      <c r="M79" s="64">
        <f>IF($D79="","",COUNTIF(DESIGNAZIONI!P$8:P$1772,$D79))</f>
        <v/>
      </c>
      <c r="N79" s="64">
        <f>IF($D79="","",COUNTIF(DESIGNAZIONI!Q$8:Q$1772,$D79))</f>
        <v/>
      </c>
      <c r="O79" s="64">
        <f>IF($D79="","",COUNTIF(DESIGNAZIONI!R$8:R$1772,$D79))</f>
        <v/>
      </c>
    </row>
    <row r="80">
      <c r="C80" s="224" t="n"/>
      <c r="D80" s="13" t="n"/>
      <c r="E80" s="220" t="n"/>
      <c r="L80" s="64">
        <f>IF($D80="","",SUM(M80:O80))</f>
        <v/>
      </c>
      <c r="M80" s="64">
        <f>IF($D80="","",COUNTIF(DESIGNAZIONI!P$8:P$1772,$D80))</f>
        <v/>
      </c>
      <c r="N80" s="64">
        <f>IF($D80="","",COUNTIF(DESIGNAZIONI!Q$8:Q$1772,$D80))</f>
        <v/>
      </c>
      <c r="O80" s="64">
        <f>IF($D80="","",COUNTIF(DESIGNAZIONI!R$8:R$1772,$D80))</f>
        <v/>
      </c>
    </row>
    <row r="81">
      <c r="C81" s="224" t="n"/>
      <c r="D81" s="13" t="n"/>
      <c r="E81" s="220" t="n"/>
      <c r="L81" s="64">
        <f>IF($D81="","",SUM(M81:O81))</f>
        <v/>
      </c>
      <c r="M81" s="64">
        <f>IF($D81="","",COUNTIF(DESIGNAZIONI!P$8:P$1772,$D81))</f>
        <v/>
      </c>
      <c r="N81" s="64">
        <f>IF($D81="","",COUNTIF(DESIGNAZIONI!Q$8:Q$1772,$D81))</f>
        <v/>
      </c>
      <c r="O81" s="64">
        <f>IF($D81="","",COUNTIF(DESIGNAZIONI!R$8:R$1772,$D81))</f>
        <v/>
      </c>
    </row>
    <row r="82">
      <c r="C82" s="224" t="n"/>
      <c r="D82" s="13" t="n"/>
      <c r="E82" s="220" t="n"/>
      <c r="L82" s="64">
        <f>IF($D82="","",SUM(M82:O82))</f>
        <v/>
      </c>
      <c r="M82" s="64">
        <f>IF($D82="","",COUNTIF(DESIGNAZIONI!P$8:P$1772,$D82))</f>
        <v/>
      </c>
      <c r="N82" s="64">
        <f>IF($D82="","",COUNTIF(DESIGNAZIONI!Q$8:Q$1772,$D82))</f>
        <v/>
      </c>
      <c r="O82" s="64">
        <f>IF($D82="","",COUNTIF(DESIGNAZIONI!R$8:R$1772,$D82))</f>
        <v/>
      </c>
    </row>
    <row r="83">
      <c r="C83" s="224" t="n"/>
      <c r="D83" s="13" t="n"/>
      <c r="E83" s="220" t="n"/>
      <c r="L83" s="64">
        <f>IF($D83="","",SUM(M83:O83))</f>
        <v/>
      </c>
      <c r="M83" s="64">
        <f>IF($D83="","",COUNTIF(DESIGNAZIONI!P$8:P$1772,$D83))</f>
        <v/>
      </c>
      <c r="N83" s="64">
        <f>IF($D83="","",COUNTIF(DESIGNAZIONI!Q$8:Q$1772,$D83))</f>
        <v/>
      </c>
      <c r="O83" s="64">
        <f>IF($D83="","",COUNTIF(DESIGNAZIONI!R$8:R$1772,$D83))</f>
        <v/>
      </c>
    </row>
    <row r="84">
      <c r="C84" s="224" t="n"/>
      <c r="D84" s="13" t="n"/>
      <c r="E84" s="220" t="n"/>
      <c r="L84" s="64">
        <f>IF($D84="","",SUM(M84:O84))</f>
        <v/>
      </c>
      <c r="M84" s="64">
        <f>IF($D84="","",COUNTIF(DESIGNAZIONI!P$8:P$1772,$D84))</f>
        <v/>
      </c>
      <c r="N84" s="64">
        <f>IF($D84="","",COUNTIF(DESIGNAZIONI!Q$8:Q$1772,$D84))</f>
        <v/>
      </c>
      <c r="O84" s="64">
        <f>IF($D84="","",COUNTIF(DESIGNAZIONI!R$8:R$1772,$D84))</f>
        <v/>
      </c>
    </row>
    <row r="85">
      <c r="C85" s="224" t="n"/>
      <c r="D85" s="13" t="n"/>
      <c r="E85" s="220" t="n"/>
      <c r="L85" s="64">
        <f>IF($D85="","",SUM(M85:O85))</f>
        <v/>
      </c>
      <c r="M85" s="64">
        <f>IF($D85="","",COUNTIF(DESIGNAZIONI!P$8:P$1772,$D85))</f>
        <v/>
      </c>
      <c r="N85" s="64">
        <f>IF($D85="","",COUNTIF(DESIGNAZIONI!Q$8:Q$1772,$D85))</f>
        <v/>
      </c>
      <c r="O85" s="64">
        <f>IF($D85="","",COUNTIF(DESIGNAZIONI!R$8:R$1772,$D85))</f>
        <v/>
      </c>
    </row>
    <row r="86">
      <c r="C86" s="224" t="n"/>
      <c r="D86" s="13" t="n"/>
      <c r="E86" s="220" t="n"/>
      <c r="L86" s="64">
        <f>IF($D86="","",SUM(M86:O86))</f>
        <v/>
      </c>
      <c r="M86" s="64">
        <f>IF($D86="","",COUNTIF(DESIGNAZIONI!P$8:P$1772,$D86))</f>
        <v/>
      </c>
      <c r="N86" s="64">
        <f>IF($D86="","",COUNTIF(DESIGNAZIONI!Q$8:Q$1772,$D86))</f>
        <v/>
      </c>
      <c r="O86" s="64">
        <f>IF($D86="","",COUNTIF(DESIGNAZIONI!R$8:R$1772,$D86))</f>
        <v/>
      </c>
    </row>
    <row r="87">
      <c r="C87" s="224" t="n"/>
      <c r="D87" s="13" t="n"/>
      <c r="E87" s="220" t="n"/>
      <c r="L87" s="64">
        <f>IF($D87="","",SUM(M87:O87))</f>
        <v/>
      </c>
      <c r="M87" s="64">
        <f>IF($D87="","",COUNTIF(DESIGNAZIONI!P$8:P$1772,$D87))</f>
        <v/>
      </c>
      <c r="N87" s="64">
        <f>IF($D87="","",COUNTIF(DESIGNAZIONI!Q$8:Q$1772,$D87))</f>
        <v/>
      </c>
      <c r="O87" s="64">
        <f>IF($D87="","",COUNTIF(DESIGNAZIONI!R$8:R$1772,$D87))</f>
        <v/>
      </c>
    </row>
    <row r="88">
      <c r="C88" s="224" t="n"/>
      <c r="D88" s="13" t="n"/>
      <c r="E88" s="220" t="n"/>
      <c r="L88" s="64">
        <f>IF($D88="","",SUM(M88:O88))</f>
        <v/>
      </c>
      <c r="M88" s="64">
        <f>IF($D88="","",COUNTIF(DESIGNAZIONI!P$8:P$1772,$D88))</f>
        <v/>
      </c>
      <c r="N88" s="64">
        <f>IF($D88="","",COUNTIF(DESIGNAZIONI!Q$8:Q$1772,$D88))</f>
        <v/>
      </c>
      <c r="O88" s="64">
        <f>IF($D88="","",COUNTIF(DESIGNAZIONI!R$8:R$1772,$D88))</f>
        <v/>
      </c>
    </row>
    <row r="89">
      <c r="C89" s="224" t="n"/>
      <c r="D89" s="13" t="n"/>
      <c r="E89" s="220" t="n"/>
      <c r="L89" s="64">
        <f>IF($D89="","",SUM(M89:O89))</f>
        <v/>
      </c>
      <c r="M89" s="64">
        <f>IF($D89="","",COUNTIF(DESIGNAZIONI!P$8:P$1772,$D89))</f>
        <v/>
      </c>
      <c r="N89" s="64">
        <f>IF($D89="","",COUNTIF(DESIGNAZIONI!Q$8:Q$1772,$D89))</f>
        <v/>
      </c>
      <c r="O89" s="64">
        <f>IF($D89="","",COUNTIF(DESIGNAZIONI!R$8:R$1772,$D89))</f>
        <v/>
      </c>
    </row>
    <row r="90">
      <c r="C90" s="224" t="n"/>
      <c r="D90" s="13" t="n"/>
      <c r="E90" s="220" t="n"/>
      <c r="L90" s="64">
        <f>IF($D90="","",SUM(M90:O90))</f>
        <v/>
      </c>
      <c r="M90" s="64">
        <f>IF($D90="","",COUNTIF(DESIGNAZIONI!P$8:P$1772,$D90))</f>
        <v/>
      </c>
      <c r="N90" s="64">
        <f>IF($D90="","",COUNTIF(DESIGNAZIONI!Q$8:Q$1772,$D90))</f>
        <v/>
      </c>
      <c r="O90" s="64">
        <f>IF($D90="","",COUNTIF(DESIGNAZIONI!R$8:R$1772,$D90))</f>
        <v/>
      </c>
    </row>
    <row r="91">
      <c r="C91" s="224" t="n"/>
      <c r="D91" s="13" t="n"/>
      <c r="E91" s="220" t="n"/>
      <c r="L91" s="64">
        <f>IF($D91="","",SUM(M91:O91))</f>
        <v/>
      </c>
      <c r="M91" s="64">
        <f>IF($D91="","",COUNTIF(DESIGNAZIONI!P$8:P$1772,$D91))</f>
        <v/>
      </c>
      <c r="N91" s="64">
        <f>IF($D91="","",COUNTIF(DESIGNAZIONI!Q$8:Q$1772,$D91))</f>
        <v/>
      </c>
      <c r="O91" s="64">
        <f>IF($D91="","",COUNTIF(DESIGNAZIONI!R$8:R$1772,$D91))</f>
        <v/>
      </c>
    </row>
    <row r="92">
      <c r="C92" s="224" t="n"/>
      <c r="D92" s="13" t="n"/>
      <c r="E92" s="220" t="n"/>
      <c r="L92" s="64">
        <f>IF($D92="","",SUM(M92:O92))</f>
        <v/>
      </c>
      <c r="M92" s="64">
        <f>IF($D92="","",COUNTIF(DESIGNAZIONI!P$8:P$1772,$D92))</f>
        <v/>
      </c>
      <c r="N92" s="64">
        <f>IF($D92="","",COUNTIF(DESIGNAZIONI!Q$8:Q$1772,$D92))</f>
        <v/>
      </c>
      <c r="O92" s="64">
        <f>IF($D92="","",COUNTIF(DESIGNAZIONI!R$8:R$1772,$D92))</f>
        <v/>
      </c>
    </row>
    <row r="93">
      <c r="C93" s="224" t="n"/>
      <c r="D93" s="13" t="n"/>
      <c r="E93" s="220" t="n"/>
      <c r="L93" s="64">
        <f>IF($D93="","",SUM(M93:O93))</f>
        <v/>
      </c>
      <c r="M93" s="64">
        <f>IF($D93="","",COUNTIF(DESIGNAZIONI!P$8:P$1772,$D93))</f>
        <v/>
      </c>
      <c r="N93" s="64">
        <f>IF($D93="","",COUNTIF(DESIGNAZIONI!Q$8:Q$1772,$D93))</f>
        <v/>
      </c>
      <c r="O93" s="64">
        <f>IF($D93="","",COUNTIF(DESIGNAZIONI!R$8:R$1772,$D93))</f>
        <v/>
      </c>
    </row>
    <row r="94">
      <c r="C94" s="224" t="n"/>
      <c r="D94" s="13" t="n"/>
      <c r="E94" s="220" t="n"/>
      <c r="L94" s="64">
        <f>IF($D94="","",SUM(M94:O94))</f>
        <v/>
      </c>
      <c r="M94" s="64">
        <f>IF($D94="","",COUNTIF(DESIGNAZIONI!P$8:P$1772,$D94))</f>
        <v/>
      </c>
      <c r="N94" s="64">
        <f>IF($D94="","",COUNTIF(DESIGNAZIONI!Q$8:Q$1772,$D94))</f>
        <v/>
      </c>
      <c r="O94" s="64">
        <f>IF($D94="","",COUNTIF(DESIGNAZIONI!R$8:R$1772,$D94))</f>
        <v/>
      </c>
    </row>
    <row r="95">
      <c r="C95" s="224" t="n"/>
      <c r="D95" s="13" t="n"/>
      <c r="E95" s="220" t="n"/>
      <c r="L95" s="64">
        <f>IF($D95="","",SUM(M95:O95))</f>
        <v/>
      </c>
      <c r="M95" s="64">
        <f>IF($D95="","",COUNTIF(DESIGNAZIONI!P$8:P$1772,$D95))</f>
        <v/>
      </c>
      <c r="N95" s="64">
        <f>IF($D95="","",COUNTIF(DESIGNAZIONI!Q$8:Q$1772,$D95))</f>
        <v/>
      </c>
      <c r="O95" s="64">
        <f>IF($D95="","",COUNTIF(DESIGNAZIONI!R$8:R$1772,$D95))</f>
        <v/>
      </c>
    </row>
    <row r="96">
      <c r="C96" s="224" t="n"/>
      <c r="D96" s="13" t="n"/>
      <c r="E96" s="220" t="n"/>
      <c r="L96" s="64">
        <f>IF($D96="","",SUM(M96:O96))</f>
        <v/>
      </c>
      <c r="M96" s="64">
        <f>IF($D96="","",COUNTIF(DESIGNAZIONI!P$8:P$1772,$D96))</f>
        <v/>
      </c>
      <c r="N96" s="64">
        <f>IF($D96="","",COUNTIF(DESIGNAZIONI!Q$8:Q$1772,$D96))</f>
        <v/>
      </c>
      <c r="O96" s="64">
        <f>IF($D96="","",COUNTIF(DESIGNAZIONI!R$8:R$1772,$D96))</f>
        <v/>
      </c>
    </row>
    <row r="97">
      <c r="C97" s="224" t="n"/>
      <c r="D97" s="13" t="n"/>
      <c r="E97" s="220" t="n"/>
      <c r="L97" s="64">
        <f>IF($D97="","",SUM(M97:O97))</f>
        <v/>
      </c>
      <c r="M97" s="64">
        <f>IF($D97="","",COUNTIF(DESIGNAZIONI!P$8:P$1772,$D97))</f>
        <v/>
      </c>
      <c r="N97" s="64">
        <f>IF($D97="","",COUNTIF(DESIGNAZIONI!Q$8:Q$1772,$D97))</f>
        <v/>
      </c>
      <c r="O97" s="64">
        <f>IF($D97="","",COUNTIF(DESIGNAZIONI!R$8:R$1772,$D97))</f>
        <v/>
      </c>
    </row>
    <row r="98">
      <c r="C98" s="224" t="n"/>
      <c r="D98" s="13" t="n"/>
      <c r="E98" s="220" t="n"/>
      <c r="L98" s="64">
        <f>IF($D98="","",SUM(M98:O98))</f>
        <v/>
      </c>
      <c r="M98" s="64">
        <f>IF($D98="","",COUNTIF(DESIGNAZIONI!P$8:P$1772,$D98))</f>
        <v/>
      </c>
      <c r="N98" s="64">
        <f>IF($D98="","",COUNTIF(DESIGNAZIONI!Q$8:Q$1772,$D98))</f>
        <v/>
      </c>
      <c r="O98" s="64">
        <f>IF($D98="","",COUNTIF(DESIGNAZIONI!R$8:R$1772,$D98))</f>
        <v/>
      </c>
    </row>
    <row r="99">
      <c r="C99" s="224" t="n"/>
      <c r="D99" s="13" t="n"/>
      <c r="E99" s="220" t="n"/>
      <c r="L99" s="64">
        <f>IF($D99="","",SUM(M99:O99))</f>
        <v/>
      </c>
      <c r="M99" s="64">
        <f>IF($D99="","",COUNTIF(DESIGNAZIONI!P$8:P$1772,$D99))</f>
        <v/>
      </c>
      <c r="N99" s="64">
        <f>IF($D99="","",COUNTIF(DESIGNAZIONI!Q$8:Q$1772,$D99))</f>
        <v/>
      </c>
      <c r="O99" s="64">
        <f>IF($D99="","",COUNTIF(DESIGNAZIONI!R$8:R$1772,$D99))</f>
        <v/>
      </c>
    </row>
    <row r="100">
      <c r="C100" s="224" t="n"/>
      <c r="D100" s="13" t="n"/>
      <c r="E100" s="220" t="n"/>
      <c r="L100" s="64">
        <f>IF($D100="","",SUM(M100:O100))</f>
        <v/>
      </c>
      <c r="M100" s="64">
        <f>IF($D100="","",COUNTIF(DESIGNAZIONI!P$8:P$1772,$D100))</f>
        <v/>
      </c>
      <c r="N100" s="64">
        <f>IF($D100="","",COUNTIF(DESIGNAZIONI!Q$8:Q$1772,$D100))</f>
        <v/>
      </c>
      <c r="O100" s="64">
        <f>IF($D100="","",COUNTIF(DESIGNAZIONI!R$8:R$1772,$D100))</f>
        <v/>
      </c>
    </row>
    <row r="101">
      <c r="C101" s="224" t="n"/>
      <c r="D101" s="13" t="n"/>
      <c r="E101" s="220" t="n"/>
      <c r="L101" s="64">
        <f>IF($D101="","",SUM(M101:O101))</f>
        <v/>
      </c>
      <c r="M101" s="64">
        <f>IF($D101="","",COUNTIF(DESIGNAZIONI!P$8:P$1772,$D101))</f>
        <v/>
      </c>
      <c r="N101" s="64">
        <f>IF($D101="","",COUNTIF(DESIGNAZIONI!Q$8:Q$1772,$D101))</f>
        <v/>
      </c>
      <c r="O101" s="64">
        <f>IF($D101="","",COUNTIF(DESIGNAZIONI!R$8:R$1772,$D101))</f>
        <v/>
      </c>
    </row>
    <row r="102">
      <c r="C102" s="224" t="n"/>
      <c r="D102" s="13" t="n"/>
      <c r="E102" s="220" t="n"/>
      <c r="L102" s="64">
        <f>IF($D102="","",SUM(M102:O102))</f>
        <v/>
      </c>
      <c r="M102" s="64">
        <f>IF($D102="","",COUNTIF(DESIGNAZIONI!P$8:P$1772,$D102))</f>
        <v/>
      </c>
      <c r="N102" s="64">
        <f>IF($D102="","",COUNTIF(DESIGNAZIONI!Q$8:Q$1772,$D102))</f>
        <v/>
      </c>
      <c r="O102" s="64">
        <f>IF($D102="","",COUNTIF(DESIGNAZIONI!R$8:R$1772,$D102))</f>
        <v/>
      </c>
    </row>
    <row r="103">
      <c r="C103" s="224" t="n"/>
      <c r="D103" s="13" t="n"/>
      <c r="E103" s="220" t="n"/>
      <c r="L103" s="64">
        <f>IF($D103="","",SUM(M103:O103))</f>
        <v/>
      </c>
      <c r="M103" s="64">
        <f>IF($D103="","",COUNTIF(DESIGNAZIONI!P$8:P$1772,$D103))</f>
        <v/>
      </c>
      <c r="N103" s="64">
        <f>IF($D103="","",COUNTIF(DESIGNAZIONI!Q$8:Q$1772,$D103))</f>
        <v/>
      </c>
      <c r="O103" s="64">
        <f>IF($D103="","",COUNTIF(DESIGNAZIONI!R$8:R$1772,$D103))</f>
        <v/>
      </c>
    </row>
    <row r="104">
      <c r="C104" s="141" t="n"/>
      <c r="D104" s="13" t="n"/>
      <c r="E104" s="220" t="n"/>
      <c r="L104" s="64">
        <f>IF($D104="","",SUM(M104:O104))</f>
        <v/>
      </c>
      <c r="M104" s="64">
        <f>IF($D104="","",COUNTIF(DESIGNAZIONI!P$8:P$1772,$D104))</f>
        <v/>
      </c>
      <c r="N104" s="64">
        <f>IF($D104="","",COUNTIF(DESIGNAZIONI!Q$8:Q$1772,$D104))</f>
        <v/>
      </c>
      <c r="O104" s="64">
        <f>IF($D104="","",COUNTIF(DESIGNAZIONI!R$8:R$1772,$D104))</f>
        <v/>
      </c>
    </row>
  </sheetData>
  <mergeCells count="1">
    <mergeCell ref="C5:C104"/>
  </mergeCells>
  <conditionalFormatting sqref="L5:O1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tabColor rgb="FF9E9D24"/>
    <outlinePr summaryBelow="1" summaryRight="1"/>
    <pageSetUpPr fitToPage="1"/>
  </sheetPr>
  <dimension ref="A1:A35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2" t="inlineStr">
        <is>
          <t>MEMO - MODELLO VUOTO</t>
        </is>
      </c>
    </row>
    <row r="3">
      <c r="A3" s="225" t="inlineStr">
        <is>
          <t>* File MODELLO: griglia completamente vuota. Struttura, formule, formattazione, convalide e formattazione condizionale sono gia' pronte.</t>
        </is>
      </c>
    </row>
    <row r="4">
      <c r="A4" s="226" t="inlineStr">
        <is>
          <t>COSA COMPILARE, nell'ordine:</t>
        </is>
      </c>
    </row>
    <row r="5">
      <c r="A5" s="225" t="inlineStr">
        <is>
          <t>1) Foglio Campionato, celle D2-D11 (blocco PARAMETRI): nome campionato, link loghi, elenco gironi separati da virgola (es. A,B,C,D), nomi dei gironi per la stampa (facoltativi, cella D11), stagione e punteggi (vittoria/sconfitta/forfait).</t>
        </is>
      </c>
    </row>
    <row r="6">
      <c r="A6" s="225" t="inlineStr">
        <is>
          <t>2) Foglio Campionato, colonna C righe 14-113 (blocco SQUADRE): i nomi squadra nel formato 'Nome-Citta PR'. La lettera in colonna E decide il girone: cambiandola la squadra cambia girone, ma vanno poi sistemati a mano il calendario e i colori.</t>
        </is>
      </c>
    </row>
    <row r="7">
      <c r="A7" s="225" t="inlineStr">
        <is>
          <t>3) Foglio Campionato, blocco CAMPI: righe 117-216 nome e link mappa del campo di ogni squadra; righe 217-224 gli otto campi neutri PO1-PO8 per la fase a eliminazione diretta.</t>
        </is>
      </c>
    </row>
    <row r="8">
      <c r="A8" s="225" t="inlineStr">
        <is>
          <t>4) Fogli Calendario A-J: per ogni gara i codici squadra (colonne C ed E), la data con orario (colonna F) e il codice campo (colonna I della riga sottostante).</t>
        </is>
      </c>
    </row>
    <row r="9">
      <c r="A9" s="225" t="inlineStr">
        <is>
          <t>5) Fogli Arbitri e UdC, colonna D righe 5-104: i nominativi che alimentano gli elenchi a discesa delle designazioni.</t>
        </is>
      </c>
    </row>
    <row r="10">
      <c r="A10" s="225" t="inlineStr">
        <is>
          <t>6) Foglio DESIGNAZIONI: arbitri e ufficiali di campo, scelti dagli elenchi a discesa.</t>
        </is>
      </c>
    </row>
    <row r="11">
      <c r="A11" s="225" t="inlineStr">
        <is>
          <t>* Durante la stagione si inseriscono solo i punteggi nelle colonne Risultato dei fogli Calendario e Playoff: tutto il resto si aggiorna da solo.</t>
        </is>
      </c>
    </row>
    <row r="12">
      <c r="A12" s="225" t="inlineStr">
        <is>
          <t>* Modello dimostrativo: tutti i nomi di squadra, campo, arbitro e ufficiale di campo sono di fantasia.</t>
        </is>
      </c>
    </row>
    <row r="13">
      <c r="A13" s="225" t="inlineStr">
        <is>
          <t>* Capienza del modello: fino a 100 squadre distribuite su un massimo di 10 gironi (A-J) da 10 squadre ciascuno.</t>
        </is>
      </c>
    </row>
    <row r="14">
      <c r="A14" s="225" t="inlineStr">
        <is>
          <t>* Nome squadra: se contiene un trattino (es. Nome-Citta PR) nei calendari compare la parte prima del trattino, altrimenti il nome per intero.</t>
        </is>
      </c>
    </row>
    <row r="15">
      <c r="A15" s="225" t="inlineStr">
        <is>
          <t>* Il girone di una squadra dipende SOLO dalla lettera in colonna E del foglio Campionato, non dalla riga in cui si trova.</t>
        </is>
      </c>
    </row>
    <row r="16">
      <c r="A16" s="225" t="inlineStr">
        <is>
          <t>* I gironi si elencano separati da virgola nella cella dei parametri (es. A,B,C,D): cosi' si possono usare anche lettere non consecutive.</t>
        </is>
      </c>
    </row>
    <row r="17">
      <c r="A17" s="225" t="inlineStr">
        <is>
          <t>* La colonna E ha un elenco a discesa con le lettere di girone previste.</t>
        </is>
      </c>
    </row>
    <row r="18">
      <c r="A18" s="225" t="inlineStr">
        <is>
          <t>* Cambiando la lettera in colonna E la squadra passa di girone in classifica; calendario e colori vanno poi sistemati a mano.</t>
        </is>
      </c>
    </row>
    <row r="19">
      <c r="A19" s="225" t="inlineStr">
        <is>
          <t>* Gironi A-H competitivi: le prime due di ognuno accedono ai playoff. Gironi I e J non competitivi: calendario e classifica si', playoff no.</t>
        </is>
      </c>
    </row>
    <row r="20">
      <c r="A20" s="225" t="inlineStr">
        <is>
          <t>* Ogni girone ha il proprio foglio calendario ('Calendario A' ... 'Calendario J') e un colore identificativo.</t>
        </is>
      </c>
    </row>
    <row r="21">
      <c r="A21" s="225" t="inlineStr">
        <is>
          <t>* Calendario di sola andata generato con il metodo del girone all'italiana (Berger): 9 giornate da 5 gare, 45 gare per girone.</t>
        </is>
      </c>
    </row>
    <row r="22">
      <c r="A22" s="225" t="inlineStr">
        <is>
          <t>* Ogni giornata e' un concentramento unico: 5 gare consecutive (09:30, 11:00, 14:30, 16:00, 17:30) sullo stesso campo.</t>
        </is>
      </c>
    </row>
    <row r="23">
      <c r="A23" s="225" t="inlineStr">
        <is>
          <t>* L'ospitalita' ruota fra le squadre del girone: la squadra ospitante della giornata determina il campo.</t>
        </is>
      </c>
    </row>
    <row r="24">
      <c r="A24" s="225" t="inlineStr">
        <is>
          <t>* Il foglio nascosto 'Dati' consolida le righe di servizio dei dieci calendari: le classifiche cercano li' per nome squadra.</t>
        </is>
      </c>
    </row>
    <row r="25">
      <c r="A25" s="225" t="inlineStr">
        <is>
          <t>* Playoff: ottavi 1A-2H, 1B-2G, 1C-2F, 1D-2E, 1E-2D, 1F-2C, 1G-2B, 1H-2A; poi quarti, semifinali e finali.</t>
        </is>
      </c>
    </row>
    <row r="26">
      <c r="A26" s="225" t="inlineStr">
        <is>
          <t>* Gli accoppiamenti di quarti, semifinali e finali si aggiornano da soli inserendo i risultati del turno precedente.</t>
        </is>
      </c>
    </row>
    <row r="27">
      <c r="A27" s="225" t="inlineStr">
        <is>
          <t>* Per usare meno squadre basta lasciare vuota la colonna C delle righe non utilizzate: classifiche e calendari si adeguano.</t>
        </is>
      </c>
    </row>
    <row r="28">
      <c r="A28" s="225" t="inlineStr">
        <is>
          <t>* Le classifiche si popolano automaticamente inserendo i punteggi nelle colonne Risultato dei fogli calendario.</t>
        </is>
      </c>
    </row>
    <row r="29">
      <c r="A29" s="225" t="inlineStr">
        <is>
          <t>* Il punteggio di forfait e' parametrico (foglio Campionato, cella D9): il valore predefinito e' 40-0.</t>
        </is>
      </c>
    </row>
    <row r="30">
      <c r="A30" s="225" t="inlineStr">
        <is>
          <t>* Foglio DESIGNAZIONI: convalida a elenco e formattazione condizionale anti-duplicato attive su TUTTE le righe predisposte.</t>
        </is>
      </c>
    </row>
    <row r="31">
      <c r="A31" s="225" t="inlineStr">
        <is>
          <t>* La formattazione condizionale evidenzia in rosa la stessa persona designata due volte nella stessa gara.</t>
        </is>
      </c>
    </row>
    <row r="32">
      <c r="A32" s="225" t="inlineStr">
        <is>
          <t>* Nomi dei gironi per la stampa: cella D11 del foglio Campionato (facoltativa), nomi separati da virgola nello stesso ordine dei gironi (es. Gold,Silver,Bronze,Platinum). Cambiano solo i titoli stampati dei fogli Calendario (es. GIRONE GOLD): i fogli restano 'Calendario A' ... 'Calendario J'. Se la cella e' vuota, o manca un nome, si usa la lettera.</t>
        </is>
      </c>
    </row>
    <row r="33">
      <c r="A33" s="225" t="inlineStr">
        <is>
          <t>* Loghi: i link ai due loghi (URL pubblico di un'immagine) vanno nelle celle D3 e D4 del foglio Campionato. Compaiono, con la funzione IMAGE, nelle intestazioni di Calendario A-J, Playoff, Classifica, Classifica Finale e DESIGNAZIONI. Funziona in Google Sheets; in Excel serve la versione 365.</t>
        </is>
      </c>
    </row>
    <row r="34">
      <c r="A34" s="225" t="inlineStr">
        <is>
          <t>* Colori dei gironi A-D: A oro (Gold), B argento (Silver), C bronzo (Bronze), D platino (Platinum). I gironi E-J mantengono i loro colori.</t>
        </is>
      </c>
    </row>
    <row r="35">
      <c r="A35" s="225" t="inlineStr">
        <is>
          <t>* Foglio REGOLAMENTO (in fondo): pagine del regolamento, inserite solo per riferimento.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</sheetData>
  <pageMargins left="0.4" right="0.4" top="0.5" bottom="0.5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tabColor rgb="FF757575"/>
    <outlinePr summaryBelow="1" summaryRight="1"/>
    <pageSetUpPr/>
  </sheetPr>
  <dimension ref="A1:I46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42" customWidth="1" min="2" max="2"/>
    <col width="12" customWidth="1" min="3" max="3"/>
    <col width="10" customWidth="1" min="4" max="4"/>
    <col width="12" customWidth="1" min="5" max="5"/>
    <col width="10" customWidth="1" min="6" max="6"/>
    <col width="46" customWidth="1" min="7" max="7"/>
    <col width="40" customWidth="1" min="8" max="8"/>
    <col width="30" customWidth="1" min="9" max="9"/>
  </cols>
  <sheetData>
    <row r="1">
      <c r="A1" s="68">
        <f>"BEGIN:VCALENDAR
VERSION:2.0
PRODID:ClaudeCoworkBaskin
CALSCALE:GREGORIAN
BEGIN:VTIMEZONE
TZID:Europe/Rome
END:VTIMEZONE"</f>
        <v/>
      </c>
      <c r="B1" s="54" t="inlineStr">
        <is>
          <t>Titolo</t>
        </is>
      </c>
      <c r="C1" s="54" t="inlineStr">
        <is>
          <t>Data inizio</t>
        </is>
      </c>
      <c r="D1" s="54" t="inlineStr">
        <is>
          <t>Ora Inizio</t>
        </is>
      </c>
      <c r="E1" s="54" t="inlineStr">
        <is>
          <t>Data Fine</t>
        </is>
      </c>
      <c r="F1" s="54" t="inlineStr">
        <is>
          <t>Ora Fine</t>
        </is>
      </c>
      <c r="G1" s="54" t="inlineStr">
        <is>
          <t>Luogo</t>
        </is>
      </c>
      <c r="H1" s="54" t="inlineStr">
        <is>
          <t>Descrizione</t>
        </is>
      </c>
      <c r="I1" s="54" t="inlineStr">
        <is>
          <t>Collegamento</t>
        </is>
      </c>
    </row>
    <row r="2">
      <c r="A2" s="68">
        <f>IF($B2="","","BEGIN:VEVENT
DTSTAMP:"&amp;TEXT(NOW(),"yyyymmdd")&amp;"T000001Z
UID:evt1@ClaudeCoworkBaskin
DTSTART;TZID=Europe/Rome:"&amp;TEXT($C2,"yyyymmdd")&amp;"T"&amp;TEXT($D2,"hhmmss")&amp;"
DTEND;TZID=Europe/Rome:"&amp;TEXT($E2,"yyyymmdd")&amp;"T"&amp;TEXT($F2,"hhmmss")&amp;"
SUMMARY:"&amp;$B2&amp;"
LOCATION:"&amp;$G2&amp;"
DESCRIPTION:"&amp;$H2&amp;"
END:VEVENT")</f>
        <v/>
      </c>
      <c r="B2" s="68">
        <f>IF('Calendario A'!$B10="","",'Calendario A'!$B10&amp;" vs "&amp;'Calendario A'!$D10&amp;" "&amp;'Calendario A'!$AC10)</f>
        <v/>
      </c>
      <c r="C2" s="222">
        <f>IF($B2="","",DATE(YEAR('Calendario A'!$F10),MONTH('Calendario A'!$F10),DAY('Calendario A'!$F10)))</f>
        <v/>
      </c>
      <c r="D2" s="223">
        <f>IF($B2="","",TIME(HOUR('Calendario A'!$F10),MINUTE('Calendario A'!$F10),0))</f>
        <v/>
      </c>
      <c r="E2" s="222">
        <f>IF($B2="","",DATE(YEAR('Calendario A'!$F10),MONTH('Calendario A'!$F10),DAY('Calendario A'!$F10)))</f>
        <v/>
      </c>
      <c r="F2" s="223">
        <f>IF($B2="","",TIME(HOUR('Calendario A'!$F10)+2,MINUTE('Calendario A'!$F10),0))</f>
        <v/>
      </c>
      <c r="G2" s="68">
        <f>IF($B2="","",'Calendario A'!$B11)</f>
        <v/>
      </c>
      <c r="H2" s="68">
        <f>IF($B2="","",Campionato!$D$2&amp;" "&amp;Campionato!$D$6)</f>
        <v/>
      </c>
      <c r="I2" s="68" t="inlineStr"/>
    </row>
    <row r="3">
      <c r="A3" s="68">
        <f>IF($B3="","","BEGIN:VEVENT
DTSTAMP:"&amp;TEXT(NOW(),"yyyymmdd")&amp;"T000001Z
UID:evt2@ClaudeCoworkBaskin
DTSTART;TZID=Europe/Rome:"&amp;TEXT($C3,"yyyymmdd")&amp;"T"&amp;TEXT($D3,"hhmmss")&amp;"
DTEND;TZID=Europe/Rome:"&amp;TEXT($E3,"yyyymmdd")&amp;"T"&amp;TEXT($F3,"hhmmss")&amp;"
SUMMARY:"&amp;$B3&amp;"
LOCATION:"&amp;$G3&amp;"
DESCRIPTION:"&amp;$H3&amp;"
END:VEVENT")</f>
        <v/>
      </c>
      <c r="B3" s="68">
        <f>IF('Calendario A'!$B13="","",'Calendario A'!$B13&amp;" vs "&amp;'Calendario A'!$D13&amp;" "&amp;'Calendario A'!$AC13)</f>
        <v/>
      </c>
      <c r="C3" s="222">
        <f>IF($B3="","",DATE(YEAR('Calendario A'!$F13),MONTH('Calendario A'!$F13),DAY('Calendario A'!$F13)))</f>
        <v/>
      </c>
      <c r="D3" s="223">
        <f>IF($B3="","",TIME(HOUR('Calendario A'!$F13),MINUTE('Calendario A'!$F13),0))</f>
        <v/>
      </c>
      <c r="E3" s="222">
        <f>IF($B3="","",DATE(YEAR('Calendario A'!$F13),MONTH('Calendario A'!$F13),DAY('Calendario A'!$F13)))</f>
        <v/>
      </c>
      <c r="F3" s="223">
        <f>IF($B3="","",TIME(HOUR('Calendario A'!$F13)+2,MINUTE('Calendario A'!$F13),0))</f>
        <v/>
      </c>
      <c r="G3" s="68">
        <f>IF($B3="","",'Calendario A'!$B14)</f>
        <v/>
      </c>
      <c r="H3" s="68">
        <f>IF($B3="","",Campionato!$D$2&amp;" "&amp;Campionato!$D$6)</f>
        <v/>
      </c>
      <c r="I3" s="68" t="inlineStr"/>
    </row>
    <row r="4">
      <c r="A4" s="68">
        <f>IF($B4="","","BEGIN:VEVENT
DTSTAMP:"&amp;TEXT(NOW(),"yyyymmdd")&amp;"T000001Z
UID:evt3@ClaudeCoworkBaskin
DTSTART;TZID=Europe/Rome:"&amp;TEXT($C4,"yyyymmdd")&amp;"T"&amp;TEXT($D4,"hhmmss")&amp;"
DTEND;TZID=Europe/Rome:"&amp;TEXT($E4,"yyyymmdd")&amp;"T"&amp;TEXT($F4,"hhmmss")&amp;"
SUMMARY:"&amp;$B4&amp;"
LOCATION:"&amp;$G4&amp;"
DESCRIPTION:"&amp;$H4&amp;"
END:VEVENT")</f>
        <v/>
      </c>
      <c r="B4" s="68">
        <f>IF('Calendario A'!$B16="","",'Calendario A'!$B16&amp;" vs "&amp;'Calendario A'!$D16&amp;" "&amp;'Calendario A'!$AC16)</f>
        <v/>
      </c>
      <c r="C4" s="222">
        <f>IF($B4="","",DATE(YEAR('Calendario A'!$F16),MONTH('Calendario A'!$F16),DAY('Calendario A'!$F16)))</f>
        <v/>
      </c>
      <c r="D4" s="223">
        <f>IF($B4="","",TIME(HOUR('Calendario A'!$F16),MINUTE('Calendario A'!$F16),0))</f>
        <v/>
      </c>
      <c r="E4" s="222">
        <f>IF($B4="","",DATE(YEAR('Calendario A'!$F16),MONTH('Calendario A'!$F16),DAY('Calendario A'!$F16)))</f>
        <v/>
      </c>
      <c r="F4" s="223">
        <f>IF($B4="","",TIME(HOUR('Calendario A'!$F16)+2,MINUTE('Calendario A'!$F16),0))</f>
        <v/>
      </c>
      <c r="G4" s="68">
        <f>IF($B4="","",'Calendario A'!$B17)</f>
        <v/>
      </c>
      <c r="H4" s="68">
        <f>IF($B4="","",Campionato!$D$2&amp;" "&amp;Campionato!$D$6)</f>
        <v/>
      </c>
      <c r="I4" s="68" t="inlineStr"/>
    </row>
    <row r="5">
      <c r="A5" s="68">
        <f>IF($B5="","","BEGIN:VEVENT
DTSTAMP:"&amp;TEXT(NOW(),"yyyymmdd")&amp;"T000001Z
UID:evt4@ClaudeCoworkBaskin
DTSTART;TZID=Europe/Rome:"&amp;TEXT($C5,"yyyymmdd")&amp;"T"&amp;TEXT($D5,"hhmmss")&amp;"
DTEND;TZID=Europe/Rome:"&amp;TEXT($E5,"yyyymmdd")&amp;"T"&amp;TEXT($F5,"hhmmss")&amp;"
SUMMARY:"&amp;$B5&amp;"
LOCATION:"&amp;$G5&amp;"
DESCRIPTION:"&amp;$H5&amp;"
END:VEVENT")</f>
        <v/>
      </c>
      <c r="B5" s="68">
        <f>IF('Calendario A'!$B19="","",'Calendario A'!$B19&amp;" vs "&amp;'Calendario A'!$D19&amp;" "&amp;'Calendario A'!$AC19)</f>
        <v/>
      </c>
      <c r="C5" s="222">
        <f>IF($B5="","",DATE(YEAR('Calendario A'!$F19),MONTH('Calendario A'!$F19),DAY('Calendario A'!$F19)))</f>
        <v/>
      </c>
      <c r="D5" s="223">
        <f>IF($B5="","",TIME(HOUR('Calendario A'!$F19),MINUTE('Calendario A'!$F19),0))</f>
        <v/>
      </c>
      <c r="E5" s="222">
        <f>IF($B5="","",DATE(YEAR('Calendario A'!$F19),MONTH('Calendario A'!$F19),DAY('Calendario A'!$F19)))</f>
        <v/>
      </c>
      <c r="F5" s="223">
        <f>IF($B5="","",TIME(HOUR('Calendario A'!$F19)+2,MINUTE('Calendario A'!$F19),0))</f>
        <v/>
      </c>
      <c r="G5" s="68">
        <f>IF($B5="","",'Calendario A'!$B20)</f>
        <v/>
      </c>
      <c r="H5" s="68">
        <f>IF($B5="","",Campionato!$D$2&amp;" "&amp;Campionato!$D$6)</f>
        <v/>
      </c>
      <c r="I5" s="68" t="inlineStr"/>
    </row>
    <row r="6">
      <c r="A6" s="68">
        <f>IF($B6="","","BEGIN:VEVENT
DTSTAMP:"&amp;TEXT(NOW(),"yyyymmdd")&amp;"T000001Z
UID:evt5@ClaudeCoworkBaskin
DTSTART;TZID=Europe/Rome:"&amp;TEXT($C6,"yyyymmdd")&amp;"T"&amp;TEXT($D6,"hhmmss")&amp;"
DTEND;TZID=Europe/Rome:"&amp;TEXT($E6,"yyyymmdd")&amp;"T"&amp;TEXT($F6,"hhmmss")&amp;"
SUMMARY:"&amp;$B6&amp;"
LOCATION:"&amp;$G6&amp;"
DESCRIPTION:"&amp;$H6&amp;"
END:VEVENT")</f>
        <v/>
      </c>
      <c r="B6" s="68">
        <f>IF('Calendario A'!$B22="","",'Calendario A'!$B22&amp;" vs "&amp;'Calendario A'!$D22&amp;" "&amp;'Calendario A'!$AC22)</f>
        <v/>
      </c>
      <c r="C6" s="222">
        <f>IF($B6="","",DATE(YEAR('Calendario A'!$F22),MONTH('Calendario A'!$F22),DAY('Calendario A'!$F22)))</f>
        <v/>
      </c>
      <c r="D6" s="223">
        <f>IF($B6="","",TIME(HOUR('Calendario A'!$F22),MINUTE('Calendario A'!$F22),0))</f>
        <v/>
      </c>
      <c r="E6" s="222">
        <f>IF($B6="","",DATE(YEAR('Calendario A'!$F22),MONTH('Calendario A'!$F22),DAY('Calendario A'!$F22)))</f>
        <v/>
      </c>
      <c r="F6" s="223">
        <f>IF($B6="","",TIME(HOUR('Calendario A'!$F22)+2,MINUTE('Calendario A'!$F22),0))</f>
        <v/>
      </c>
      <c r="G6" s="68">
        <f>IF($B6="","",'Calendario A'!$B23)</f>
        <v/>
      </c>
      <c r="H6" s="68">
        <f>IF($B6="","",Campionato!$D$2&amp;" "&amp;Campionato!$D$6)</f>
        <v/>
      </c>
      <c r="I6" s="68" t="inlineStr"/>
    </row>
    <row r="7">
      <c r="A7" s="68">
        <f>IF($B7="","","BEGIN:VEVENT
DTSTAMP:"&amp;TEXT(NOW(),"yyyymmdd")&amp;"T000001Z
UID:evt6@ClaudeCoworkBaskin
DTSTART;TZID=Europe/Rome:"&amp;TEXT($C7,"yyyymmdd")&amp;"T"&amp;TEXT($D7,"hhmmss")&amp;"
DTEND;TZID=Europe/Rome:"&amp;TEXT($E7,"yyyymmdd")&amp;"T"&amp;TEXT($F7,"hhmmss")&amp;"
SUMMARY:"&amp;$B7&amp;"
LOCATION:"&amp;$G7&amp;"
DESCRIPTION:"&amp;$H7&amp;"
END:VEVENT")</f>
        <v/>
      </c>
      <c r="B7" s="68">
        <f>IF('Calendario A'!$B27="","",'Calendario A'!$B27&amp;" vs "&amp;'Calendario A'!$D27&amp;" "&amp;'Calendario A'!$AC27)</f>
        <v/>
      </c>
      <c r="C7" s="222">
        <f>IF($B7="","",DATE(YEAR('Calendario A'!$F27),MONTH('Calendario A'!$F27),DAY('Calendario A'!$F27)))</f>
        <v/>
      </c>
      <c r="D7" s="223">
        <f>IF($B7="","",TIME(HOUR('Calendario A'!$F27),MINUTE('Calendario A'!$F27),0))</f>
        <v/>
      </c>
      <c r="E7" s="222">
        <f>IF($B7="","",DATE(YEAR('Calendario A'!$F27),MONTH('Calendario A'!$F27),DAY('Calendario A'!$F27)))</f>
        <v/>
      </c>
      <c r="F7" s="223">
        <f>IF($B7="","",TIME(HOUR('Calendario A'!$F27)+2,MINUTE('Calendario A'!$F27),0))</f>
        <v/>
      </c>
      <c r="G7" s="68">
        <f>IF($B7="","",'Calendario A'!$B28)</f>
        <v/>
      </c>
      <c r="H7" s="68">
        <f>IF($B7="","",Campionato!$D$2&amp;" "&amp;Campionato!$D$6)</f>
        <v/>
      </c>
      <c r="I7" s="68" t="inlineStr"/>
    </row>
    <row r="8">
      <c r="A8" s="68">
        <f>IF($B8="","","BEGIN:VEVENT
DTSTAMP:"&amp;TEXT(NOW(),"yyyymmdd")&amp;"T000001Z
UID:evt7@ClaudeCoworkBaskin
DTSTART;TZID=Europe/Rome:"&amp;TEXT($C8,"yyyymmdd")&amp;"T"&amp;TEXT($D8,"hhmmss")&amp;"
DTEND;TZID=Europe/Rome:"&amp;TEXT($E8,"yyyymmdd")&amp;"T"&amp;TEXT($F8,"hhmmss")&amp;"
SUMMARY:"&amp;$B8&amp;"
LOCATION:"&amp;$G8&amp;"
DESCRIPTION:"&amp;$H8&amp;"
END:VEVENT")</f>
        <v/>
      </c>
      <c r="B8" s="68">
        <f>IF('Calendario A'!$B30="","",'Calendario A'!$B30&amp;" vs "&amp;'Calendario A'!$D30&amp;" "&amp;'Calendario A'!$AC30)</f>
        <v/>
      </c>
      <c r="C8" s="222">
        <f>IF($B8="","",DATE(YEAR('Calendario A'!$F30),MONTH('Calendario A'!$F30),DAY('Calendario A'!$F30)))</f>
        <v/>
      </c>
      <c r="D8" s="223">
        <f>IF($B8="","",TIME(HOUR('Calendario A'!$F30),MINUTE('Calendario A'!$F30),0))</f>
        <v/>
      </c>
      <c r="E8" s="222">
        <f>IF($B8="","",DATE(YEAR('Calendario A'!$F30),MONTH('Calendario A'!$F30),DAY('Calendario A'!$F30)))</f>
        <v/>
      </c>
      <c r="F8" s="223">
        <f>IF($B8="","",TIME(HOUR('Calendario A'!$F30)+2,MINUTE('Calendario A'!$F30),0))</f>
        <v/>
      </c>
      <c r="G8" s="68">
        <f>IF($B8="","",'Calendario A'!$B31)</f>
        <v/>
      </c>
      <c r="H8" s="68">
        <f>IF($B8="","",Campionato!$D$2&amp;" "&amp;Campionato!$D$6)</f>
        <v/>
      </c>
      <c r="I8" s="68" t="inlineStr"/>
    </row>
    <row r="9">
      <c r="A9" s="68">
        <f>IF($B9="","","BEGIN:VEVENT
DTSTAMP:"&amp;TEXT(NOW(),"yyyymmdd")&amp;"T000001Z
UID:evt8@ClaudeCoworkBaskin
DTSTART;TZID=Europe/Rome:"&amp;TEXT($C9,"yyyymmdd")&amp;"T"&amp;TEXT($D9,"hhmmss")&amp;"
DTEND;TZID=Europe/Rome:"&amp;TEXT($E9,"yyyymmdd")&amp;"T"&amp;TEXT($F9,"hhmmss")&amp;"
SUMMARY:"&amp;$B9&amp;"
LOCATION:"&amp;$G9&amp;"
DESCRIPTION:"&amp;$H9&amp;"
END:VEVENT")</f>
        <v/>
      </c>
      <c r="B9" s="68">
        <f>IF('Calendario A'!$B33="","",'Calendario A'!$B33&amp;" vs "&amp;'Calendario A'!$D33&amp;" "&amp;'Calendario A'!$AC33)</f>
        <v/>
      </c>
      <c r="C9" s="222">
        <f>IF($B9="","",DATE(YEAR('Calendario A'!$F33),MONTH('Calendario A'!$F33),DAY('Calendario A'!$F33)))</f>
        <v/>
      </c>
      <c r="D9" s="223">
        <f>IF($B9="","",TIME(HOUR('Calendario A'!$F33),MINUTE('Calendario A'!$F33),0))</f>
        <v/>
      </c>
      <c r="E9" s="222">
        <f>IF($B9="","",DATE(YEAR('Calendario A'!$F33),MONTH('Calendario A'!$F33),DAY('Calendario A'!$F33)))</f>
        <v/>
      </c>
      <c r="F9" s="223">
        <f>IF($B9="","",TIME(HOUR('Calendario A'!$F33)+2,MINUTE('Calendario A'!$F33),0))</f>
        <v/>
      </c>
      <c r="G9" s="68">
        <f>IF($B9="","",'Calendario A'!$B34)</f>
        <v/>
      </c>
      <c r="H9" s="68">
        <f>IF($B9="","",Campionato!$D$2&amp;" "&amp;Campionato!$D$6)</f>
        <v/>
      </c>
      <c r="I9" s="68" t="inlineStr"/>
    </row>
    <row r="10">
      <c r="A10" s="68">
        <f>IF($B10="","","BEGIN:VEVENT
DTSTAMP:"&amp;TEXT(NOW(),"yyyymmdd")&amp;"T000001Z
UID:evt9@ClaudeCoworkBaskin
DTSTART;TZID=Europe/Rome:"&amp;TEXT($C10,"yyyymmdd")&amp;"T"&amp;TEXT($D10,"hhmmss")&amp;"
DTEND;TZID=Europe/Rome:"&amp;TEXT($E10,"yyyymmdd")&amp;"T"&amp;TEXT($F10,"hhmmss")&amp;"
SUMMARY:"&amp;$B10&amp;"
LOCATION:"&amp;$G10&amp;"
DESCRIPTION:"&amp;$H10&amp;"
END:VEVENT")</f>
        <v/>
      </c>
      <c r="B10" s="68">
        <f>IF('Calendario A'!$B36="","",'Calendario A'!$B36&amp;" vs "&amp;'Calendario A'!$D36&amp;" "&amp;'Calendario A'!$AC36)</f>
        <v/>
      </c>
      <c r="C10" s="222">
        <f>IF($B10="","",DATE(YEAR('Calendario A'!$F36),MONTH('Calendario A'!$F36),DAY('Calendario A'!$F36)))</f>
        <v/>
      </c>
      <c r="D10" s="223">
        <f>IF($B10="","",TIME(HOUR('Calendario A'!$F36),MINUTE('Calendario A'!$F36),0))</f>
        <v/>
      </c>
      <c r="E10" s="222">
        <f>IF($B10="","",DATE(YEAR('Calendario A'!$F36),MONTH('Calendario A'!$F36),DAY('Calendario A'!$F36)))</f>
        <v/>
      </c>
      <c r="F10" s="223">
        <f>IF($B10="","",TIME(HOUR('Calendario A'!$F36)+2,MINUTE('Calendario A'!$F36),0))</f>
        <v/>
      </c>
      <c r="G10" s="68">
        <f>IF($B10="","",'Calendario A'!$B37)</f>
        <v/>
      </c>
      <c r="H10" s="68">
        <f>IF($B10="","",Campionato!$D$2&amp;" "&amp;Campionato!$D$6)</f>
        <v/>
      </c>
      <c r="I10" s="68" t="inlineStr"/>
    </row>
    <row r="11">
      <c r="A11" s="68">
        <f>IF($B11="","","BEGIN:VEVENT
DTSTAMP:"&amp;TEXT(NOW(),"yyyymmdd")&amp;"T000001Z
UID:evt10@ClaudeCoworkBaskin
DTSTART;TZID=Europe/Rome:"&amp;TEXT($C11,"yyyymmdd")&amp;"T"&amp;TEXT($D11,"hhmmss")&amp;"
DTEND;TZID=Europe/Rome:"&amp;TEXT($E11,"yyyymmdd")&amp;"T"&amp;TEXT($F11,"hhmmss")&amp;"
SUMMARY:"&amp;$B11&amp;"
LOCATION:"&amp;$G11&amp;"
DESCRIPTION:"&amp;$H11&amp;"
END:VEVENT")</f>
        <v/>
      </c>
      <c r="B11" s="68">
        <f>IF('Calendario A'!$B39="","",'Calendario A'!$B39&amp;" vs "&amp;'Calendario A'!$D39&amp;" "&amp;'Calendario A'!$AC39)</f>
        <v/>
      </c>
      <c r="C11" s="222">
        <f>IF($B11="","",DATE(YEAR('Calendario A'!$F39),MONTH('Calendario A'!$F39),DAY('Calendario A'!$F39)))</f>
        <v/>
      </c>
      <c r="D11" s="223">
        <f>IF($B11="","",TIME(HOUR('Calendario A'!$F39),MINUTE('Calendario A'!$F39),0))</f>
        <v/>
      </c>
      <c r="E11" s="222">
        <f>IF($B11="","",DATE(YEAR('Calendario A'!$F39),MONTH('Calendario A'!$F39),DAY('Calendario A'!$F39)))</f>
        <v/>
      </c>
      <c r="F11" s="223">
        <f>IF($B11="","",TIME(HOUR('Calendario A'!$F39)+2,MINUTE('Calendario A'!$F39),0))</f>
        <v/>
      </c>
      <c r="G11" s="68">
        <f>IF($B11="","",'Calendario A'!$B40)</f>
        <v/>
      </c>
      <c r="H11" s="68">
        <f>IF($B11="","",Campionato!$D$2&amp;" "&amp;Campionato!$D$6)</f>
        <v/>
      </c>
      <c r="I11" s="68" t="inlineStr"/>
    </row>
    <row r="12">
      <c r="A12" s="68">
        <f>IF($B12="","","BEGIN:VEVENT
DTSTAMP:"&amp;TEXT(NOW(),"yyyymmdd")&amp;"T000001Z
UID:evt11@ClaudeCoworkBaskin
DTSTART;TZID=Europe/Rome:"&amp;TEXT($C12,"yyyymmdd")&amp;"T"&amp;TEXT($D12,"hhmmss")&amp;"
DTEND;TZID=Europe/Rome:"&amp;TEXT($E12,"yyyymmdd")&amp;"T"&amp;TEXT($F12,"hhmmss")&amp;"
SUMMARY:"&amp;$B12&amp;"
LOCATION:"&amp;$G12&amp;"
DESCRIPTION:"&amp;$H12&amp;"
END:VEVENT")</f>
        <v/>
      </c>
      <c r="B12" s="68">
        <f>IF('Calendario A'!$B44="","",'Calendario A'!$B44&amp;" vs "&amp;'Calendario A'!$D44&amp;" "&amp;'Calendario A'!$AC44)</f>
        <v/>
      </c>
      <c r="C12" s="222">
        <f>IF($B12="","",DATE(YEAR('Calendario A'!$F44),MONTH('Calendario A'!$F44),DAY('Calendario A'!$F44)))</f>
        <v/>
      </c>
      <c r="D12" s="223">
        <f>IF($B12="","",TIME(HOUR('Calendario A'!$F44),MINUTE('Calendario A'!$F44),0))</f>
        <v/>
      </c>
      <c r="E12" s="222">
        <f>IF($B12="","",DATE(YEAR('Calendario A'!$F44),MONTH('Calendario A'!$F44),DAY('Calendario A'!$F44)))</f>
        <v/>
      </c>
      <c r="F12" s="223">
        <f>IF($B12="","",TIME(HOUR('Calendario A'!$F44)+2,MINUTE('Calendario A'!$F44),0))</f>
        <v/>
      </c>
      <c r="G12" s="68">
        <f>IF($B12="","",'Calendario A'!$B45)</f>
        <v/>
      </c>
      <c r="H12" s="68">
        <f>IF($B12="","",Campionato!$D$2&amp;" "&amp;Campionato!$D$6)</f>
        <v/>
      </c>
      <c r="I12" s="68" t="inlineStr"/>
    </row>
    <row r="13">
      <c r="A13" s="68">
        <f>IF($B13="","","BEGIN:VEVENT
DTSTAMP:"&amp;TEXT(NOW(),"yyyymmdd")&amp;"T000001Z
UID:evt12@ClaudeCoworkBaskin
DTSTART;TZID=Europe/Rome:"&amp;TEXT($C13,"yyyymmdd")&amp;"T"&amp;TEXT($D13,"hhmmss")&amp;"
DTEND;TZID=Europe/Rome:"&amp;TEXT($E13,"yyyymmdd")&amp;"T"&amp;TEXT($F13,"hhmmss")&amp;"
SUMMARY:"&amp;$B13&amp;"
LOCATION:"&amp;$G13&amp;"
DESCRIPTION:"&amp;$H13&amp;"
END:VEVENT")</f>
        <v/>
      </c>
      <c r="B13" s="68">
        <f>IF('Calendario A'!$B47="","",'Calendario A'!$B47&amp;" vs "&amp;'Calendario A'!$D47&amp;" "&amp;'Calendario A'!$AC47)</f>
        <v/>
      </c>
      <c r="C13" s="222">
        <f>IF($B13="","",DATE(YEAR('Calendario A'!$F47),MONTH('Calendario A'!$F47),DAY('Calendario A'!$F47)))</f>
        <v/>
      </c>
      <c r="D13" s="223">
        <f>IF($B13="","",TIME(HOUR('Calendario A'!$F47),MINUTE('Calendario A'!$F47),0))</f>
        <v/>
      </c>
      <c r="E13" s="222">
        <f>IF($B13="","",DATE(YEAR('Calendario A'!$F47),MONTH('Calendario A'!$F47),DAY('Calendario A'!$F47)))</f>
        <v/>
      </c>
      <c r="F13" s="223">
        <f>IF($B13="","",TIME(HOUR('Calendario A'!$F47)+2,MINUTE('Calendario A'!$F47),0))</f>
        <v/>
      </c>
      <c r="G13" s="68">
        <f>IF($B13="","",'Calendario A'!$B48)</f>
        <v/>
      </c>
      <c r="H13" s="68">
        <f>IF($B13="","",Campionato!$D$2&amp;" "&amp;Campionato!$D$6)</f>
        <v/>
      </c>
      <c r="I13" s="68" t="inlineStr"/>
    </row>
    <row r="14">
      <c r="A14" s="68">
        <f>IF($B14="","","BEGIN:VEVENT
DTSTAMP:"&amp;TEXT(NOW(),"yyyymmdd")&amp;"T000001Z
UID:evt13@ClaudeCoworkBaskin
DTSTART;TZID=Europe/Rome:"&amp;TEXT($C14,"yyyymmdd")&amp;"T"&amp;TEXT($D14,"hhmmss")&amp;"
DTEND;TZID=Europe/Rome:"&amp;TEXT($E14,"yyyymmdd")&amp;"T"&amp;TEXT($F14,"hhmmss")&amp;"
SUMMARY:"&amp;$B14&amp;"
LOCATION:"&amp;$G14&amp;"
DESCRIPTION:"&amp;$H14&amp;"
END:VEVENT")</f>
        <v/>
      </c>
      <c r="B14" s="68">
        <f>IF('Calendario A'!$B50="","",'Calendario A'!$B50&amp;" vs "&amp;'Calendario A'!$D50&amp;" "&amp;'Calendario A'!$AC50)</f>
        <v/>
      </c>
      <c r="C14" s="222">
        <f>IF($B14="","",DATE(YEAR('Calendario A'!$F50),MONTH('Calendario A'!$F50),DAY('Calendario A'!$F50)))</f>
        <v/>
      </c>
      <c r="D14" s="223">
        <f>IF($B14="","",TIME(HOUR('Calendario A'!$F50),MINUTE('Calendario A'!$F50),0))</f>
        <v/>
      </c>
      <c r="E14" s="222">
        <f>IF($B14="","",DATE(YEAR('Calendario A'!$F50),MONTH('Calendario A'!$F50),DAY('Calendario A'!$F50)))</f>
        <v/>
      </c>
      <c r="F14" s="223">
        <f>IF($B14="","",TIME(HOUR('Calendario A'!$F50)+2,MINUTE('Calendario A'!$F50),0))</f>
        <v/>
      </c>
      <c r="G14" s="68">
        <f>IF($B14="","",'Calendario A'!$B51)</f>
        <v/>
      </c>
      <c r="H14" s="68">
        <f>IF($B14="","",Campionato!$D$2&amp;" "&amp;Campionato!$D$6)</f>
        <v/>
      </c>
      <c r="I14" s="68" t="inlineStr"/>
    </row>
    <row r="15">
      <c r="A15" s="68">
        <f>IF($B15="","","BEGIN:VEVENT
DTSTAMP:"&amp;TEXT(NOW(),"yyyymmdd")&amp;"T000001Z
UID:evt14@ClaudeCoworkBaskin
DTSTART;TZID=Europe/Rome:"&amp;TEXT($C15,"yyyymmdd")&amp;"T"&amp;TEXT($D15,"hhmmss")&amp;"
DTEND;TZID=Europe/Rome:"&amp;TEXT($E15,"yyyymmdd")&amp;"T"&amp;TEXT($F15,"hhmmss")&amp;"
SUMMARY:"&amp;$B15&amp;"
LOCATION:"&amp;$G15&amp;"
DESCRIPTION:"&amp;$H15&amp;"
END:VEVENT")</f>
        <v/>
      </c>
      <c r="B15" s="68">
        <f>IF('Calendario A'!$B53="","",'Calendario A'!$B53&amp;" vs "&amp;'Calendario A'!$D53&amp;" "&amp;'Calendario A'!$AC53)</f>
        <v/>
      </c>
      <c r="C15" s="222">
        <f>IF($B15="","",DATE(YEAR('Calendario A'!$F53),MONTH('Calendario A'!$F53),DAY('Calendario A'!$F53)))</f>
        <v/>
      </c>
      <c r="D15" s="223">
        <f>IF($B15="","",TIME(HOUR('Calendario A'!$F53),MINUTE('Calendario A'!$F53),0))</f>
        <v/>
      </c>
      <c r="E15" s="222">
        <f>IF($B15="","",DATE(YEAR('Calendario A'!$F53),MONTH('Calendario A'!$F53),DAY('Calendario A'!$F53)))</f>
        <v/>
      </c>
      <c r="F15" s="223">
        <f>IF($B15="","",TIME(HOUR('Calendario A'!$F53)+2,MINUTE('Calendario A'!$F53),0))</f>
        <v/>
      </c>
      <c r="G15" s="68">
        <f>IF($B15="","",'Calendario A'!$B54)</f>
        <v/>
      </c>
      <c r="H15" s="68">
        <f>IF($B15="","",Campionato!$D$2&amp;" "&amp;Campionato!$D$6)</f>
        <v/>
      </c>
      <c r="I15" s="68" t="inlineStr"/>
    </row>
    <row r="16">
      <c r="A16" s="68">
        <f>IF($B16="","","BEGIN:VEVENT
DTSTAMP:"&amp;TEXT(NOW(),"yyyymmdd")&amp;"T000001Z
UID:evt15@ClaudeCoworkBaskin
DTSTART;TZID=Europe/Rome:"&amp;TEXT($C16,"yyyymmdd")&amp;"T"&amp;TEXT($D16,"hhmmss")&amp;"
DTEND;TZID=Europe/Rome:"&amp;TEXT($E16,"yyyymmdd")&amp;"T"&amp;TEXT($F16,"hhmmss")&amp;"
SUMMARY:"&amp;$B16&amp;"
LOCATION:"&amp;$G16&amp;"
DESCRIPTION:"&amp;$H16&amp;"
END:VEVENT")</f>
        <v/>
      </c>
      <c r="B16" s="68">
        <f>IF('Calendario A'!$B56="","",'Calendario A'!$B56&amp;" vs "&amp;'Calendario A'!$D56&amp;" "&amp;'Calendario A'!$AC56)</f>
        <v/>
      </c>
      <c r="C16" s="222">
        <f>IF($B16="","",DATE(YEAR('Calendario A'!$F56),MONTH('Calendario A'!$F56),DAY('Calendario A'!$F56)))</f>
        <v/>
      </c>
      <c r="D16" s="223">
        <f>IF($B16="","",TIME(HOUR('Calendario A'!$F56),MINUTE('Calendario A'!$F56),0))</f>
        <v/>
      </c>
      <c r="E16" s="222">
        <f>IF($B16="","",DATE(YEAR('Calendario A'!$F56),MONTH('Calendario A'!$F56),DAY('Calendario A'!$F56)))</f>
        <v/>
      </c>
      <c r="F16" s="223">
        <f>IF($B16="","",TIME(HOUR('Calendario A'!$F56)+2,MINUTE('Calendario A'!$F56),0))</f>
        <v/>
      </c>
      <c r="G16" s="68">
        <f>IF($B16="","",'Calendario A'!$B57)</f>
        <v/>
      </c>
      <c r="H16" s="68">
        <f>IF($B16="","",Campionato!$D$2&amp;" "&amp;Campionato!$D$6)</f>
        <v/>
      </c>
      <c r="I16" s="68" t="inlineStr"/>
    </row>
    <row r="17">
      <c r="A17" s="68">
        <f>IF($B17="","","BEGIN:VEVENT
DTSTAMP:"&amp;TEXT(NOW(),"yyyymmdd")&amp;"T000001Z
UID:evt16@ClaudeCoworkBaskin
DTSTART;TZID=Europe/Rome:"&amp;TEXT($C17,"yyyymmdd")&amp;"T"&amp;TEXT($D17,"hhmmss")&amp;"
DTEND;TZID=Europe/Rome:"&amp;TEXT($E17,"yyyymmdd")&amp;"T"&amp;TEXT($F17,"hhmmss")&amp;"
SUMMARY:"&amp;$B17&amp;"
LOCATION:"&amp;$G17&amp;"
DESCRIPTION:"&amp;$H17&amp;"
END:VEVENT")</f>
        <v/>
      </c>
      <c r="B17" s="68">
        <f>IF('Calendario A'!$B61="","",'Calendario A'!$B61&amp;" vs "&amp;'Calendario A'!$D61&amp;" "&amp;'Calendario A'!$AC61)</f>
        <v/>
      </c>
      <c r="C17" s="222">
        <f>IF($B17="","",DATE(YEAR('Calendario A'!$F61),MONTH('Calendario A'!$F61),DAY('Calendario A'!$F61)))</f>
        <v/>
      </c>
      <c r="D17" s="223">
        <f>IF($B17="","",TIME(HOUR('Calendario A'!$F61),MINUTE('Calendario A'!$F61),0))</f>
        <v/>
      </c>
      <c r="E17" s="222">
        <f>IF($B17="","",DATE(YEAR('Calendario A'!$F61),MONTH('Calendario A'!$F61),DAY('Calendario A'!$F61)))</f>
        <v/>
      </c>
      <c r="F17" s="223">
        <f>IF($B17="","",TIME(HOUR('Calendario A'!$F61)+2,MINUTE('Calendario A'!$F61),0))</f>
        <v/>
      </c>
      <c r="G17" s="68">
        <f>IF($B17="","",'Calendario A'!$B62)</f>
        <v/>
      </c>
      <c r="H17" s="68">
        <f>IF($B17="","",Campionato!$D$2&amp;" "&amp;Campionato!$D$6)</f>
        <v/>
      </c>
      <c r="I17" s="68" t="inlineStr"/>
    </row>
    <row r="18">
      <c r="A18" s="68">
        <f>IF($B18="","","BEGIN:VEVENT
DTSTAMP:"&amp;TEXT(NOW(),"yyyymmdd")&amp;"T000001Z
UID:evt17@ClaudeCoworkBaskin
DTSTART;TZID=Europe/Rome:"&amp;TEXT($C18,"yyyymmdd")&amp;"T"&amp;TEXT($D18,"hhmmss")&amp;"
DTEND;TZID=Europe/Rome:"&amp;TEXT($E18,"yyyymmdd")&amp;"T"&amp;TEXT($F18,"hhmmss")&amp;"
SUMMARY:"&amp;$B18&amp;"
LOCATION:"&amp;$G18&amp;"
DESCRIPTION:"&amp;$H18&amp;"
END:VEVENT")</f>
        <v/>
      </c>
      <c r="B18" s="68">
        <f>IF('Calendario A'!$B64="","",'Calendario A'!$B64&amp;" vs "&amp;'Calendario A'!$D64&amp;" "&amp;'Calendario A'!$AC64)</f>
        <v/>
      </c>
      <c r="C18" s="222">
        <f>IF($B18="","",DATE(YEAR('Calendario A'!$F64),MONTH('Calendario A'!$F64),DAY('Calendario A'!$F64)))</f>
        <v/>
      </c>
      <c r="D18" s="223">
        <f>IF($B18="","",TIME(HOUR('Calendario A'!$F64),MINUTE('Calendario A'!$F64),0))</f>
        <v/>
      </c>
      <c r="E18" s="222">
        <f>IF($B18="","",DATE(YEAR('Calendario A'!$F64),MONTH('Calendario A'!$F64),DAY('Calendario A'!$F64)))</f>
        <v/>
      </c>
      <c r="F18" s="223">
        <f>IF($B18="","",TIME(HOUR('Calendario A'!$F64)+2,MINUTE('Calendario A'!$F64),0))</f>
        <v/>
      </c>
      <c r="G18" s="68">
        <f>IF($B18="","",'Calendario A'!$B65)</f>
        <v/>
      </c>
      <c r="H18" s="68">
        <f>IF($B18="","",Campionato!$D$2&amp;" "&amp;Campionato!$D$6)</f>
        <v/>
      </c>
      <c r="I18" s="68" t="inlineStr"/>
    </row>
    <row r="19">
      <c r="A19" s="68">
        <f>IF($B19="","","BEGIN:VEVENT
DTSTAMP:"&amp;TEXT(NOW(),"yyyymmdd")&amp;"T000001Z
UID:evt18@ClaudeCoworkBaskin
DTSTART;TZID=Europe/Rome:"&amp;TEXT($C19,"yyyymmdd")&amp;"T"&amp;TEXT($D19,"hhmmss")&amp;"
DTEND;TZID=Europe/Rome:"&amp;TEXT($E19,"yyyymmdd")&amp;"T"&amp;TEXT($F19,"hhmmss")&amp;"
SUMMARY:"&amp;$B19&amp;"
LOCATION:"&amp;$G19&amp;"
DESCRIPTION:"&amp;$H19&amp;"
END:VEVENT")</f>
        <v/>
      </c>
      <c r="B19" s="68">
        <f>IF('Calendario A'!$B67="","",'Calendario A'!$B67&amp;" vs "&amp;'Calendario A'!$D67&amp;" "&amp;'Calendario A'!$AC67)</f>
        <v/>
      </c>
      <c r="C19" s="222">
        <f>IF($B19="","",DATE(YEAR('Calendario A'!$F67),MONTH('Calendario A'!$F67),DAY('Calendario A'!$F67)))</f>
        <v/>
      </c>
      <c r="D19" s="223">
        <f>IF($B19="","",TIME(HOUR('Calendario A'!$F67),MINUTE('Calendario A'!$F67),0))</f>
        <v/>
      </c>
      <c r="E19" s="222">
        <f>IF($B19="","",DATE(YEAR('Calendario A'!$F67),MONTH('Calendario A'!$F67),DAY('Calendario A'!$F67)))</f>
        <v/>
      </c>
      <c r="F19" s="223">
        <f>IF($B19="","",TIME(HOUR('Calendario A'!$F67)+2,MINUTE('Calendario A'!$F67),0))</f>
        <v/>
      </c>
      <c r="G19" s="68">
        <f>IF($B19="","",'Calendario A'!$B68)</f>
        <v/>
      </c>
      <c r="H19" s="68">
        <f>IF($B19="","",Campionato!$D$2&amp;" "&amp;Campionato!$D$6)</f>
        <v/>
      </c>
      <c r="I19" s="68" t="inlineStr"/>
    </row>
    <row r="20">
      <c r="A20" s="68">
        <f>IF($B20="","","BEGIN:VEVENT
DTSTAMP:"&amp;TEXT(NOW(),"yyyymmdd")&amp;"T000001Z
UID:evt19@ClaudeCoworkBaskin
DTSTART;TZID=Europe/Rome:"&amp;TEXT($C20,"yyyymmdd")&amp;"T"&amp;TEXT($D20,"hhmmss")&amp;"
DTEND;TZID=Europe/Rome:"&amp;TEXT($E20,"yyyymmdd")&amp;"T"&amp;TEXT($F20,"hhmmss")&amp;"
SUMMARY:"&amp;$B20&amp;"
LOCATION:"&amp;$G20&amp;"
DESCRIPTION:"&amp;$H20&amp;"
END:VEVENT")</f>
        <v/>
      </c>
      <c r="B20" s="68">
        <f>IF('Calendario A'!$B70="","",'Calendario A'!$B70&amp;" vs "&amp;'Calendario A'!$D70&amp;" "&amp;'Calendario A'!$AC70)</f>
        <v/>
      </c>
      <c r="C20" s="222">
        <f>IF($B20="","",DATE(YEAR('Calendario A'!$F70),MONTH('Calendario A'!$F70),DAY('Calendario A'!$F70)))</f>
        <v/>
      </c>
      <c r="D20" s="223">
        <f>IF($B20="","",TIME(HOUR('Calendario A'!$F70),MINUTE('Calendario A'!$F70),0))</f>
        <v/>
      </c>
      <c r="E20" s="222">
        <f>IF($B20="","",DATE(YEAR('Calendario A'!$F70),MONTH('Calendario A'!$F70),DAY('Calendario A'!$F70)))</f>
        <v/>
      </c>
      <c r="F20" s="223">
        <f>IF($B20="","",TIME(HOUR('Calendario A'!$F70)+2,MINUTE('Calendario A'!$F70),0))</f>
        <v/>
      </c>
      <c r="G20" s="68">
        <f>IF($B20="","",'Calendario A'!$B71)</f>
        <v/>
      </c>
      <c r="H20" s="68">
        <f>IF($B20="","",Campionato!$D$2&amp;" "&amp;Campionato!$D$6)</f>
        <v/>
      </c>
      <c r="I20" s="68" t="inlineStr"/>
    </row>
    <row r="21">
      <c r="A21" s="68">
        <f>IF($B21="","","BEGIN:VEVENT
DTSTAMP:"&amp;TEXT(NOW(),"yyyymmdd")&amp;"T000001Z
UID:evt20@ClaudeCoworkBaskin
DTSTART;TZID=Europe/Rome:"&amp;TEXT($C21,"yyyymmdd")&amp;"T"&amp;TEXT($D21,"hhmmss")&amp;"
DTEND;TZID=Europe/Rome:"&amp;TEXT($E21,"yyyymmdd")&amp;"T"&amp;TEXT($F21,"hhmmss")&amp;"
SUMMARY:"&amp;$B21&amp;"
LOCATION:"&amp;$G21&amp;"
DESCRIPTION:"&amp;$H21&amp;"
END:VEVENT")</f>
        <v/>
      </c>
      <c r="B21" s="68">
        <f>IF('Calendario A'!$B73="","",'Calendario A'!$B73&amp;" vs "&amp;'Calendario A'!$D73&amp;" "&amp;'Calendario A'!$AC73)</f>
        <v/>
      </c>
      <c r="C21" s="222">
        <f>IF($B21="","",DATE(YEAR('Calendario A'!$F73),MONTH('Calendario A'!$F73),DAY('Calendario A'!$F73)))</f>
        <v/>
      </c>
      <c r="D21" s="223">
        <f>IF($B21="","",TIME(HOUR('Calendario A'!$F73),MINUTE('Calendario A'!$F73),0))</f>
        <v/>
      </c>
      <c r="E21" s="222">
        <f>IF($B21="","",DATE(YEAR('Calendario A'!$F73),MONTH('Calendario A'!$F73),DAY('Calendario A'!$F73)))</f>
        <v/>
      </c>
      <c r="F21" s="223">
        <f>IF($B21="","",TIME(HOUR('Calendario A'!$F73)+2,MINUTE('Calendario A'!$F73),0))</f>
        <v/>
      </c>
      <c r="G21" s="68">
        <f>IF($B21="","",'Calendario A'!$B74)</f>
        <v/>
      </c>
      <c r="H21" s="68">
        <f>IF($B21="","",Campionato!$D$2&amp;" "&amp;Campionato!$D$6)</f>
        <v/>
      </c>
      <c r="I21" s="68" t="inlineStr"/>
    </row>
    <row r="22">
      <c r="A22" s="68">
        <f>IF($B22="","","BEGIN:VEVENT
DTSTAMP:"&amp;TEXT(NOW(),"yyyymmdd")&amp;"T000001Z
UID:evt21@ClaudeCoworkBaskin
DTSTART;TZID=Europe/Rome:"&amp;TEXT($C22,"yyyymmdd")&amp;"T"&amp;TEXT($D22,"hhmmss")&amp;"
DTEND;TZID=Europe/Rome:"&amp;TEXT($E22,"yyyymmdd")&amp;"T"&amp;TEXT($F22,"hhmmss")&amp;"
SUMMARY:"&amp;$B22&amp;"
LOCATION:"&amp;$G22&amp;"
DESCRIPTION:"&amp;$H22&amp;"
END:VEVENT")</f>
        <v/>
      </c>
      <c r="B22" s="68">
        <f>IF('Calendario A'!$B78="","",'Calendario A'!$B78&amp;" vs "&amp;'Calendario A'!$D78&amp;" "&amp;'Calendario A'!$AC78)</f>
        <v/>
      </c>
      <c r="C22" s="222">
        <f>IF($B22="","",DATE(YEAR('Calendario A'!$F78),MONTH('Calendario A'!$F78),DAY('Calendario A'!$F78)))</f>
        <v/>
      </c>
      <c r="D22" s="223">
        <f>IF($B22="","",TIME(HOUR('Calendario A'!$F78),MINUTE('Calendario A'!$F78),0))</f>
        <v/>
      </c>
      <c r="E22" s="222">
        <f>IF($B22="","",DATE(YEAR('Calendario A'!$F78),MONTH('Calendario A'!$F78),DAY('Calendario A'!$F78)))</f>
        <v/>
      </c>
      <c r="F22" s="223">
        <f>IF($B22="","",TIME(HOUR('Calendario A'!$F78)+2,MINUTE('Calendario A'!$F78),0))</f>
        <v/>
      </c>
      <c r="G22" s="68">
        <f>IF($B22="","",'Calendario A'!$B79)</f>
        <v/>
      </c>
      <c r="H22" s="68">
        <f>IF($B22="","",Campionato!$D$2&amp;" "&amp;Campionato!$D$6)</f>
        <v/>
      </c>
      <c r="I22" s="68" t="inlineStr"/>
    </row>
    <row r="23">
      <c r="A23" s="68">
        <f>IF($B23="","","BEGIN:VEVENT
DTSTAMP:"&amp;TEXT(NOW(),"yyyymmdd")&amp;"T000001Z
UID:evt22@ClaudeCoworkBaskin
DTSTART;TZID=Europe/Rome:"&amp;TEXT($C23,"yyyymmdd")&amp;"T"&amp;TEXT($D23,"hhmmss")&amp;"
DTEND;TZID=Europe/Rome:"&amp;TEXT($E23,"yyyymmdd")&amp;"T"&amp;TEXT($F23,"hhmmss")&amp;"
SUMMARY:"&amp;$B23&amp;"
LOCATION:"&amp;$G23&amp;"
DESCRIPTION:"&amp;$H23&amp;"
END:VEVENT")</f>
        <v/>
      </c>
      <c r="B23" s="68">
        <f>IF('Calendario A'!$B81="","",'Calendario A'!$B81&amp;" vs "&amp;'Calendario A'!$D81&amp;" "&amp;'Calendario A'!$AC81)</f>
        <v/>
      </c>
      <c r="C23" s="222">
        <f>IF($B23="","",DATE(YEAR('Calendario A'!$F81),MONTH('Calendario A'!$F81),DAY('Calendario A'!$F81)))</f>
        <v/>
      </c>
      <c r="D23" s="223">
        <f>IF($B23="","",TIME(HOUR('Calendario A'!$F81),MINUTE('Calendario A'!$F81),0))</f>
        <v/>
      </c>
      <c r="E23" s="222">
        <f>IF($B23="","",DATE(YEAR('Calendario A'!$F81),MONTH('Calendario A'!$F81),DAY('Calendario A'!$F81)))</f>
        <v/>
      </c>
      <c r="F23" s="223">
        <f>IF($B23="","",TIME(HOUR('Calendario A'!$F81)+2,MINUTE('Calendario A'!$F81),0))</f>
        <v/>
      </c>
      <c r="G23" s="68">
        <f>IF($B23="","",'Calendario A'!$B82)</f>
        <v/>
      </c>
      <c r="H23" s="68">
        <f>IF($B23="","",Campionato!$D$2&amp;" "&amp;Campionato!$D$6)</f>
        <v/>
      </c>
      <c r="I23" s="68" t="inlineStr"/>
    </row>
    <row r="24">
      <c r="A24" s="68">
        <f>IF($B24="","","BEGIN:VEVENT
DTSTAMP:"&amp;TEXT(NOW(),"yyyymmdd")&amp;"T000001Z
UID:evt23@ClaudeCoworkBaskin
DTSTART;TZID=Europe/Rome:"&amp;TEXT($C24,"yyyymmdd")&amp;"T"&amp;TEXT($D24,"hhmmss")&amp;"
DTEND;TZID=Europe/Rome:"&amp;TEXT($E24,"yyyymmdd")&amp;"T"&amp;TEXT($F24,"hhmmss")&amp;"
SUMMARY:"&amp;$B24&amp;"
LOCATION:"&amp;$G24&amp;"
DESCRIPTION:"&amp;$H24&amp;"
END:VEVENT")</f>
        <v/>
      </c>
      <c r="B24" s="68">
        <f>IF('Calendario A'!$B84="","",'Calendario A'!$B84&amp;" vs "&amp;'Calendario A'!$D84&amp;" "&amp;'Calendario A'!$AC84)</f>
        <v/>
      </c>
      <c r="C24" s="222">
        <f>IF($B24="","",DATE(YEAR('Calendario A'!$F84),MONTH('Calendario A'!$F84),DAY('Calendario A'!$F84)))</f>
        <v/>
      </c>
      <c r="D24" s="223">
        <f>IF($B24="","",TIME(HOUR('Calendario A'!$F84),MINUTE('Calendario A'!$F84),0))</f>
        <v/>
      </c>
      <c r="E24" s="222">
        <f>IF($B24="","",DATE(YEAR('Calendario A'!$F84),MONTH('Calendario A'!$F84),DAY('Calendario A'!$F84)))</f>
        <v/>
      </c>
      <c r="F24" s="223">
        <f>IF($B24="","",TIME(HOUR('Calendario A'!$F84)+2,MINUTE('Calendario A'!$F84),0))</f>
        <v/>
      </c>
      <c r="G24" s="68">
        <f>IF($B24="","",'Calendario A'!$B85)</f>
        <v/>
      </c>
      <c r="H24" s="68">
        <f>IF($B24="","",Campionato!$D$2&amp;" "&amp;Campionato!$D$6)</f>
        <v/>
      </c>
      <c r="I24" s="68" t="inlineStr"/>
    </row>
    <row r="25">
      <c r="A25" s="68">
        <f>IF($B25="","","BEGIN:VEVENT
DTSTAMP:"&amp;TEXT(NOW(),"yyyymmdd")&amp;"T000001Z
UID:evt24@ClaudeCoworkBaskin
DTSTART;TZID=Europe/Rome:"&amp;TEXT($C25,"yyyymmdd")&amp;"T"&amp;TEXT($D25,"hhmmss")&amp;"
DTEND;TZID=Europe/Rome:"&amp;TEXT($E25,"yyyymmdd")&amp;"T"&amp;TEXT($F25,"hhmmss")&amp;"
SUMMARY:"&amp;$B25&amp;"
LOCATION:"&amp;$G25&amp;"
DESCRIPTION:"&amp;$H25&amp;"
END:VEVENT")</f>
        <v/>
      </c>
      <c r="B25" s="68">
        <f>IF('Calendario A'!$B87="","",'Calendario A'!$B87&amp;" vs "&amp;'Calendario A'!$D87&amp;" "&amp;'Calendario A'!$AC87)</f>
        <v/>
      </c>
      <c r="C25" s="222">
        <f>IF($B25="","",DATE(YEAR('Calendario A'!$F87),MONTH('Calendario A'!$F87),DAY('Calendario A'!$F87)))</f>
        <v/>
      </c>
      <c r="D25" s="223">
        <f>IF($B25="","",TIME(HOUR('Calendario A'!$F87),MINUTE('Calendario A'!$F87),0))</f>
        <v/>
      </c>
      <c r="E25" s="222">
        <f>IF($B25="","",DATE(YEAR('Calendario A'!$F87),MONTH('Calendario A'!$F87),DAY('Calendario A'!$F87)))</f>
        <v/>
      </c>
      <c r="F25" s="223">
        <f>IF($B25="","",TIME(HOUR('Calendario A'!$F87)+2,MINUTE('Calendario A'!$F87),0))</f>
        <v/>
      </c>
      <c r="G25" s="68">
        <f>IF($B25="","",'Calendario A'!$B88)</f>
        <v/>
      </c>
      <c r="H25" s="68">
        <f>IF($B25="","",Campionato!$D$2&amp;" "&amp;Campionato!$D$6)</f>
        <v/>
      </c>
      <c r="I25" s="68" t="inlineStr"/>
    </row>
    <row r="26">
      <c r="A26" s="68">
        <f>IF($B26="","","BEGIN:VEVENT
DTSTAMP:"&amp;TEXT(NOW(),"yyyymmdd")&amp;"T000001Z
UID:evt25@ClaudeCoworkBaskin
DTSTART;TZID=Europe/Rome:"&amp;TEXT($C26,"yyyymmdd")&amp;"T"&amp;TEXT($D26,"hhmmss")&amp;"
DTEND;TZID=Europe/Rome:"&amp;TEXT($E26,"yyyymmdd")&amp;"T"&amp;TEXT($F26,"hhmmss")&amp;"
SUMMARY:"&amp;$B26&amp;"
LOCATION:"&amp;$G26&amp;"
DESCRIPTION:"&amp;$H26&amp;"
END:VEVENT")</f>
        <v/>
      </c>
      <c r="B26" s="68">
        <f>IF('Calendario A'!$B90="","",'Calendario A'!$B90&amp;" vs "&amp;'Calendario A'!$D90&amp;" "&amp;'Calendario A'!$AC90)</f>
        <v/>
      </c>
      <c r="C26" s="222">
        <f>IF($B26="","",DATE(YEAR('Calendario A'!$F90),MONTH('Calendario A'!$F90),DAY('Calendario A'!$F90)))</f>
        <v/>
      </c>
      <c r="D26" s="223">
        <f>IF($B26="","",TIME(HOUR('Calendario A'!$F90),MINUTE('Calendario A'!$F90),0))</f>
        <v/>
      </c>
      <c r="E26" s="222">
        <f>IF($B26="","",DATE(YEAR('Calendario A'!$F90),MONTH('Calendario A'!$F90),DAY('Calendario A'!$F90)))</f>
        <v/>
      </c>
      <c r="F26" s="223">
        <f>IF($B26="","",TIME(HOUR('Calendario A'!$F90)+2,MINUTE('Calendario A'!$F90),0))</f>
        <v/>
      </c>
      <c r="G26" s="68">
        <f>IF($B26="","",'Calendario A'!$B91)</f>
        <v/>
      </c>
      <c r="H26" s="68">
        <f>IF($B26="","",Campionato!$D$2&amp;" "&amp;Campionato!$D$6)</f>
        <v/>
      </c>
      <c r="I26" s="68" t="inlineStr"/>
    </row>
    <row r="27">
      <c r="A27" s="68">
        <f>IF($B27="","","BEGIN:VEVENT
DTSTAMP:"&amp;TEXT(NOW(),"yyyymmdd")&amp;"T000001Z
UID:evt26@ClaudeCoworkBaskin
DTSTART;TZID=Europe/Rome:"&amp;TEXT($C27,"yyyymmdd")&amp;"T"&amp;TEXT($D27,"hhmmss")&amp;"
DTEND;TZID=Europe/Rome:"&amp;TEXT($E27,"yyyymmdd")&amp;"T"&amp;TEXT($F27,"hhmmss")&amp;"
SUMMARY:"&amp;$B27&amp;"
LOCATION:"&amp;$G27&amp;"
DESCRIPTION:"&amp;$H27&amp;"
END:VEVENT")</f>
        <v/>
      </c>
      <c r="B27" s="68">
        <f>IF('Calendario A'!$B95="","",'Calendario A'!$B95&amp;" vs "&amp;'Calendario A'!$D95&amp;" "&amp;'Calendario A'!$AC95)</f>
        <v/>
      </c>
      <c r="C27" s="222">
        <f>IF($B27="","",DATE(YEAR('Calendario A'!$F95),MONTH('Calendario A'!$F95),DAY('Calendario A'!$F95)))</f>
        <v/>
      </c>
      <c r="D27" s="223">
        <f>IF($B27="","",TIME(HOUR('Calendario A'!$F95),MINUTE('Calendario A'!$F95),0))</f>
        <v/>
      </c>
      <c r="E27" s="222">
        <f>IF($B27="","",DATE(YEAR('Calendario A'!$F95),MONTH('Calendario A'!$F95),DAY('Calendario A'!$F95)))</f>
        <v/>
      </c>
      <c r="F27" s="223">
        <f>IF($B27="","",TIME(HOUR('Calendario A'!$F95)+2,MINUTE('Calendario A'!$F95),0))</f>
        <v/>
      </c>
      <c r="G27" s="68">
        <f>IF($B27="","",'Calendario A'!$B96)</f>
        <v/>
      </c>
      <c r="H27" s="68">
        <f>IF($B27="","",Campionato!$D$2&amp;" "&amp;Campionato!$D$6)</f>
        <v/>
      </c>
      <c r="I27" s="68" t="inlineStr"/>
    </row>
    <row r="28">
      <c r="A28" s="68">
        <f>IF($B28="","","BEGIN:VEVENT
DTSTAMP:"&amp;TEXT(NOW(),"yyyymmdd")&amp;"T000001Z
UID:evt27@ClaudeCoworkBaskin
DTSTART;TZID=Europe/Rome:"&amp;TEXT($C28,"yyyymmdd")&amp;"T"&amp;TEXT($D28,"hhmmss")&amp;"
DTEND;TZID=Europe/Rome:"&amp;TEXT($E28,"yyyymmdd")&amp;"T"&amp;TEXT($F28,"hhmmss")&amp;"
SUMMARY:"&amp;$B28&amp;"
LOCATION:"&amp;$G28&amp;"
DESCRIPTION:"&amp;$H28&amp;"
END:VEVENT")</f>
        <v/>
      </c>
      <c r="B28" s="68">
        <f>IF('Calendario A'!$B98="","",'Calendario A'!$B98&amp;" vs "&amp;'Calendario A'!$D98&amp;" "&amp;'Calendario A'!$AC98)</f>
        <v/>
      </c>
      <c r="C28" s="222">
        <f>IF($B28="","",DATE(YEAR('Calendario A'!$F98),MONTH('Calendario A'!$F98),DAY('Calendario A'!$F98)))</f>
        <v/>
      </c>
      <c r="D28" s="223">
        <f>IF($B28="","",TIME(HOUR('Calendario A'!$F98),MINUTE('Calendario A'!$F98),0))</f>
        <v/>
      </c>
      <c r="E28" s="222">
        <f>IF($B28="","",DATE(YEAR('Calendario A'!$F98),MONTH('Calendario A'!$F98),DAY('Calendario A'!$F98)))</f>
        <v/>
      </c>
      <c r="F28" s="223">
        <f>IF($B28="","",TIME(HOUR('Calendario A'!$F98)+2,MINUTE('Calendario A'!$F98),0))</f>
        <v/>
      </c>
      <c r="G28" s="68">
        <f>IF($B28="","",'Calendario A'!$B99)</f>
        <v/>
      </c>
      <c r="H28" s="68">
        <f>IF($B28="","",Campionato!$D$2&amp;" "&amp;Campionato!$D$6)</f>
        <v/>
      </c>
      <c r="I28" s="68" t="inlineStr"/>
    </row>
    <row r="29">
      <c r="A29" s="68">
        <f>IF($B29="","","BEGIN:VEVENT
DTSTAMP:"&amp;TEXT(NOW(),"yyyymmdd")&amp;"T000001Z
UID:evt28@ClaudeCoworkBaskin
DTSTART;TZID=Europe/Rome:"&amp;TEXT($C29,"yyyymmdd")&amp;"T"&amp;TEXT($D29,"hhmmss")&amp;"
DTEND;TZID=Europe/Rome:"&amp;TEXT($E29,"yyyymmdd")&amp;"T"&amp;TEXT($F29,"hhmmss")&amp;"
SUMMARY:"&amp;$B29&amp;"
LOCATION:"&amp;$G29&amp;"
DESCRIPTION:"&amp;$H29&amp;"
END:VEVENT")</f>
        <v/>
      </c>
      <c r="B29" s="68">
        <f>IF('Calendario A'!$B101="","",'Calendario A'!$B101&amp;" vs "&amp;'Calendario A'!$D101&amp;" "&amp;'Calendario A'!$AC101)</f>
        <v/>
      </c>
      <c r="C29" s="222">
        <f>IF($B29="","",DATE(YEAR('Calendario A'!$F101),MONTH('Calendario A'!$F101),DAY('Calendario A'!$F101)))</f>
        <v/>
      </c>
      <c r="D29" s="223">
        <f>IF($B29="","",TIME(HOUR('Calendario A'!$F101),MINUTE('Calendario A'!$F101),0))</f>
        <v/>
      </c>
      <c r="E29" s="222">
        <f>IF($B29="","",DATE(YEAR('Calendario A'!$F101),MONTH('Calendario A'!$F101),DAY('Calendario A'!$F101)))</f>
        <v/>
      </c>
      <c r="F29" s="223">
        <f>IF($B29="","",TIME(HOUR('Calendario A'!$F101)+2,MINUTE('Calendario A'!$F101),0))</f>
        <v/>
      </c>
      <c r="G29" s="68">
        <f>IF($B29="","",'Calendario A'!$B102)</f>
        <v/>
      </c>
      <c r="H29" s="68">
        <f>IF($B29="","",Campionato!$D$2&amp;" "&amp;Campionato!$D$6)</f>
        <v/>
      </c>
      <c r="I29" s="68" t="inlineStr"/>
    </row>
    <row r="30">
      <c r="A30" s="68">
        <f>IF($B30="","","BEGIN:VEVENT
DTSTAMP:"&amp;TEXT(NOW(),"yyyymmdd")&amp;"T000001Z
UID:evt29@ClaudeCoworkBaskin
DTSTART;TZID=Europe/Rome:"&amp;TEXT($C30,"yyyymmdd")&amp;"T"&amp;TEXT($D30,"hhmmss")&amp;"
DTEND;TZID=Europe/Rome:"&amp;TEXT($E30,"yyyymmdd")&amp;"T"&amp;TEXT($F30,"hhmmss")&amp;"
SUMMARY:"&amp;$B30&amp;"
LOCATION:"&amp;$G30&amp;"
DESCRIPTION:"&amp;$H30&amp;"
END:VEVENT")</f>
        <v/>
      </c>
      <c r="B30" s="68">
        <f>IF('Calendario A'!$B104="","",'Calendario A'!$B104&amp;" vs "&amp;'Calendario A'!$D104&amp;" "&amp;'Calendario A'!$AC104)</f>
        <v/>
      </c>
      <c r="C30" s="222">
        <f>IF($B30="","",DATE(YEAR('Calendario A'!$F104),MONTH('Calendario A'!$F104),DAY('Calendario A'!$F104)))</f>
        <v/>
      </c>
      <c r="D30" s="223">
        <f>IF($B30="","",TIME(HOUR('Calendario A'!$F104),MINUTE('Calendario A'!$F104),0))</f>
        <v/>
      </c>
      <c r="E30" s="222">
        <f>IF($B30="","",DATE(YEAR('Calendario A'!$F104),MONTH('Calendario A'!$F104),DAY('Calendario A'!$F104)))</f>
        <v/>
      </c>
      <c r="F30" s="223">
        <f>IF($B30="","",TIME(HOUR('Calendario A'!$F104)+2,MINUTE('Calendario A'!$F104),0))</f>
        <v/>
      </c>
      <c r="G30" s="68">
        <f>IF($B30="","",'Calendario A'!$B105)</f>
        <v/>
      </c>
      <c r="H30" s="68">
        <f>IF($B30="","",Campionato!$D$2&amp;" "&amp;Campionato!$D$6)</f>
        <v/>
      </c>
      <c r="I30" s="68" t="inlineStr"/>
    </row>
    <row r="31">
      <c r="A31" s="68">
        <f>IF($B31="","","BEGIN:VEVENT
DTSTAMP:"&amp;TEXT(NOW(),"yyyymmdd")&amp;"T000001Z
UID:evt30@ClaudeCoworkBaskin
DTSTART;TZID=Europe/Rome:"&amp;TEXT($C31,"yyyymmdd")&amp;"T"&amp;TEXT($D31,"hhmmss")&amp;"
DTEND;TZID=Europe/Rome:"&amp;TEXT($E31,"yyyymmdd")&amp;"T"&amp;TEXT($F31,"hhmmss")&amp;"
SUMMARY:"&amp;$B31&amp;"
LOCATION:"&amp;$G31&amp;"
DESCRIPTION:"&amp;$H31&amp;"
END:VEVENT")</f>
        <v/>
      </c>
      <c r="B31" s="68">
        <f>IF('Calendario A'!$B107="","",'Calendario A'!$B107&amp;" vs "&amp;'Calendario A'!$D107&amp;" "&amp;'Calendario A'!$AC107)</f>
        <v/>
      </c>
      <c r="C31" s="222">
        <f>IF($B31="","",DATE(YEAR('Calendario A'!$F107),MONTH('Calendario A'!$F107),DAY('Calendario A'!$F107)))</f>
        <v/>
      </c>
      <c r="D31" s="223">
        <f>IF($B31="","",TIME(HOUR('Calendario A'!$F107),MINUTE('Calendario A'!$F107),0))</f>
        <v/>
      </c>
      <c r="E31" s="222">
        <f>IF($B31="","",DATE(YEAR('Calendario A'!$F107),MONTH('Calendario A'!$F107),DAY('Calendario A'!$F107)))</f>
        <v/>
      </c>
      <c r="F31" s="223">
        <f>IF($B31="","",TIME(HOUR('Calendario A'!$F107)+2,MINUTE('Calendario A'!$F107),0))</f>
        <v/>
      </c>
      <c r="G31" s="68">
        <f>IF($B31="","",'Calendario A'!$B108)</f>
        <v/>
      </c>
      <c r="H31" s="68">
        <f>IF($B31="","",Campionato!$D$2&amp;" "&amp;Campionato!$D$6)</f>
        <v/>
      </c>
      <c r="I31" s="68" t="inlineStr"/>
    </row>
    <row r="32">
      <c r="A32" s="68">
        <f>IF($B32="","","BEGIN:VEVENT
DTSTAMP:"&amp;TEXT(NOW(),"yyyymmdd")&amp;"T000001Z
UID:evt31@ClaudeCoworkBaskin
DTSTART;TZID=Europe/Rome:"&amp;TEXT($C32,"yyyymmdd")&amp;"T"&amp;TEXT($D32,"hhmmss")&amp;"
DTEND;TZID=Europe/Rome:"&amp;TEXT($E32,"yyyymmdd")&amp;"T"&amp;TEXT($F32,"hhmmss")&amp;"
SUMMARY:"&amp;$B32&amp;"
LOCATION:"&amp;$G32&amp;"
DESCRIPTION:"&amp;$H32&amp;"
END:VEVENT")</f>
        <v/>
      </c>
      <c r="B32" s="68">
        <f>IF('Calendario A'!$B112="","",'Calendario A'!$B112&amp;" vs "&amp;'Calendario A'!$D112&amp;" "&amp;'Calendario A'!$AC112)</f>
        <v/>
      </c>
      <c r="C32" s="222">
        <f>IF($B32="","",DATE(YEAR('Calendario A'!$F112),MONTH('Calendario A'!$F112),DAY('Calendario A'!$F112)))</f>
        <v/>
      </c>
      <c r="D32" s="223">
        <f>IF($B32="","",TIME(HOUR('Calendario A'!$F112),MINUTE('Calendario A'!$F112),0))</f>
        <v/>
      </c>
      <c r="E32" s="222">
        <f>IF($B32="","",DATE(YEAR('Calendario A'!$F112),MONTH('Calendario A'!$F112),DAY('Calendario A'!$F112)))</f>
        <v/>
      </c>
      <c r="F32" s="223">
        <f>IF($B32="","",TIME(HOUR('Calendario A'!$F112)+2,MINUTE('Calendario A'!$F112),0))</f>
        <v/>
      </c>
      <c r="G32" s="68">
        <f>IF($B32="","",'Calendario A'!$B113)</f>
        <v/>
      </c>
      <c r="H32" s="68">
        <f>IF($B32="","",Campionato!$D$2&amp;" "&amp;Campionato!$D$6)</f>
        <v/>
      </c>
      <c r="I32" s="68" t="inlineStr"/>
    </row>
    <row r="33">
      <c r="A33" s="68">
        <f>IF($B33="","","BEGIN:VEVENT
DTSTAMP:"&amp;TEXT(NOW(),"yyyymmdd")&amp;"T000001Z
UID:evt32@ClaudeCoworkBaskin
DTSTART;TZID=Europe/Rome:"&amp;TEXT($C33,"yyyymmdd")&amp;"T"&amp;TEXT($D33,"hhmmss")&amp;"
DTEND;TZID=Europe/Rome:"&amp;TEXT($E33,"yyyymmdd")&amp;"T"&amp;TEXT($F33,"hhmmss")&amp;"
SUMMARY:"&amp;$B33&amp;"
LOCATION:"&amp;$G33&amp;"
DESCRIPTION:"&amp;$H33&amp;"
END:VEVENT")</f>
        <v/>
      </c>
      <c r="B33" s="68">
        <f>IF('Calendario A'!$B115="","",'Calendario A'!$B115&amp;" vs "&amp;'Calendario A'!$D115&amp;" "&amp;'Calendario A'!$AC115)</f>
        <v/>
      </c>
      <c r="C33" s="222">
        <f>IF($B33="","",DATE(YEAR('Calendario A'!$F115),MONTH('Calendario A'!$F115),DAY('Calendario A'!$F115)))</f>
        <v/>
      </c>
      <c r="D33" s="223">
        <f>IF($B33="","",TIME(HOUR('Calendario A'!$F115),MINUTE('Calendario A'!$F115),0))</f>
        <v/>
      </c>
      <c r="E33" s="222">
        <f>IF($B33="","",DATE(YEAR('Calendario A'!$F115),MONTH('Calendario A'!$F115),DAY('Calendario A'!$F115)))</f>
        <v/>
      </c>
      <c r="F33" s="223">
        <f>IF($B33="","",TIME(HOUR('Calendario A'!$F115)+2,MINUTE('Calendario A'!$F115),0))</f>
        <v/>
      </c>
      <c r="G33" s="68">
        <f>IF($B33="","",'Calendario A'!$B116)</f>
        <v/>
      </c>
      <c r="H33" s="68">
        <f>IF($B33="","",Campionato!$D$2&amp;" "&amp;Campionato!$D$6)</f>
        <v/>
      </c>
      <c r="I33" s="68" t="inlineStr"/>
    </row>
    <row r="34">
      <c r="A34" s="68">
        <f>IF($B34="","","BEGIN:VEVENT
DTSTAMP:"&amp;TEXT(NOW(),"yyyymmdd")&amp;"T000001Z
UID:evt33@ClaudeCoworkBaskin
DTSTART;TZID=Europe/Rome:"&amp;TEXT($C34,"yyyymmdd")&amp;"T"&amp;TEXT($D34,"hhmmss")&amp;"
DTEND;TZID=Europe/Rome:"&amp;TEXT($E34,"yyyymmdd")&amp;"T"&amp;TEXT($F34,"hhmmss")&amp;"
SUMMARY:"&amp;$B34&amp;"
LOCATION:"&amp;$G34&amp;"
DESCRIPTION:"&amp;$H34&amp;"
END:VEVENT")</f>
        <v/>
      </c>
      <c r="B34" s="68">
        <f>IF('Calendario A'!$B118="","",'Calendario A'!$B118&amp;" vs "&amp;'Calendario A'!$D118&amp;" "&amp;'Calendario A'!$AC118)</f>
        <v/>
      </c>
      <c r="C34" s="222">
        <f>IF($B34="","",DATE(YEAR('Calendario A'!$F118),MONTH('Calendario A'!$F118),DAY('Calendario A'!$F118)))</f>
        <v/>
      </c>
      <c r="D34" s="223">
        <f>IF($B34="","",TIME(HOUR('Calendario A'!$F118),MINUTE('Calendario A'!$F118),0))</f>
        <v/>
      </c>
      <c r="E34" s="222">
        <f>IF($B34="","",DATE(YEAR('Calendario A'!$F118),MONTH('Calendario A'!$F118),DAY('Calendario A'!$F118)))</f>
        <v/>
      </c>
      <c r="F34" s="223">
        <f>IF($B34="","",TIME(HOUR('Calendario A'!$F118)+2,MINUTE('Calendario A'!$F118),0))</f>
        <v/>
      </c>
      <c r="G34" s="68">
        <f>IF($B34="","",'Calendario A'!$B119)</f>
        <v/>
      </c>
      <c r="H34" s="68">
        <f>IF($B34="","",Campionato!$D$2&amp;" "&amp;Campionato!$D$6)</f>
        <v/>
      </c>
      <c r="I34" s="68" t="inlineStr"/>
    </row>
    <row r="35">
      <c r="A35" s="68">
        <f>IF($B35="","","BEGIN:VEVENT
DTSTAMP:"&amp;TEXT(NOW(),"yyyymmdd")&amp;"T000001Z
UID:evt34@ClaudeCoworkBaskin
DTSTART;TZID=Europe/Rome:"&amp;TEXT($C35,"yyyymmdd")&amp;"T"&amp;TEXT($D35,"hhmmss")&amp;"
DTEND;TZID=Europe/Rome:"&amp;TEXT($E35,"yyyymmdd")&amp;"T"&amp;TEXT($F35,"hhmmss")&amp;"
SUMMARY:"&amp;$B35&amp;"
LOCATION:"&amp;$G35&amp;"
DESCRIPTION:"&amp;$H35&amp;"
END:VEVENT")</f>
        <v/>
      </c>
      <c r="B35" s="68">
        <f>IF('Calendario A'!$B121="","",'Calendario A'!$B121&amp;" vs "&amp;'Calendario A'!$D121&amp;" "&amp;'Calendario A'!$AC121)</f>
        <v/>
      </c>
      <c r="C35" s="222">
        <f>IF($B35="","",DATE(YEAR('Calendario A'!$F121),MONTH('Calendario A'!$F121),DAY('Calendario A'!$F121)))</f>
        <v/>
      </c>
      <c r="D35" s="223">
        <f>IF($B35="","",TIME(HOUR('Calendario A'!$F121),MINUTE('Calendario A'!$F121),0))</f>
        <v/>
      </c>
      <c r="E35" s="222">
        <f>IF($B35="","",DATE(YEAR('Calendario A'!$F121),MONTH('Calendario A'!$F121),DAY('Calendario A'!$F121)))</f>
        <v/>
      </c>
      <c r="F35" s="223">
        <f>IF($B35="","",TIME(HOUR('Calendario A'!$F121)+2,MINUTE('Calendario A'!$F121),0))</f>
        <v/>
      </c>
      <c r="G35" s="68">
        <f>IF($B35="","",'Calendario A'!$B122)</f>
        <v/>
      </c>
      <c r="H35" s="68">
        <f>IF($B35="","",Campionato!$D$2&amp;" "&amp;Campionato!$D$6)</f>
        <v/>
      </c>
      <c r="I35" s="68" t="inlineStr"/>
    </row>
    <row r="36">
      <c r="A36" s="68">
        <f>IF($B36="","","BEGIN:VEVENT
DTSTAMP:"&amp;TEXT(NOW(),"yyyymmdd")&amp;"T000001Z
UID:evt35@ClaudeCoworkBaskin
DTSTART;TZID=Europe/Rome:"&amp;TEXT($C36,"yyyymmdd")&amp;"T"&amp;TEXT($D36,"hhmmss")&amp;"
DTEND;TZID=Europe/Rome:"&amp;TEXT($E36,"yyyymmdd")&amp;"T"&amp;TEXT($F36,"hhmmss")&amp;"
SUMMARY:"&amp;$B36&amp;"
LOCATION:"&amp;$G36&amp;"
DESCRIPTION:"&amp;$H36&amp;"
END:VEVENT")</f>
        <v/>
      </c>
      <c r="B36" s="68">
        <f>IF('Calendario A'!$B124="","",'Calendario A'!$B124&amp;" vs "&amp;'Calendario A'!$D124&amp;" "&amp;'Calendario A'!$AC124)</f>
        <v/>
      </c>
      <c r="C36" s="222">
        <f>IF($B36="","",DATE(YEAR('Calendario A'!$F124),MONTH('Calendario A'!$F124),DAY('Calendario A'!$F124)))</f>
        <v/>
      </c>
      <c r="D36" s="223">
        <f>IF($B36="","",TIME(HOUR('Calendario A'!$F124),MINUTE('Calendario A'!$F124),0))</f>
        <v/>
      </c>
      <c r="E36" s="222">
        <f>IF($B36="","",DATE(YEAR('Calendario A'!$F124),MONTH('Calendario A'!$F124),DAY('Calendario A'!$F124)))</f>
        <v/>
      </c>
      <c r="F36" s="223">
        <f>IF($B36="","",TIME(HOUR('Calendario A'!$F124)+2,MINUTE('Calendario A'!$F124),0))</f>
        <v/>
      </c>
      <c r="G36" s="68">
        <f>IF($B36="","",'Calendario A'!$B125)</f>
        <v/>
      </c>
      <c r="H36" s="68">
        <f>IF($B36="","",Campionato!$D$2&amp;" "&amp;Campionato!$D$6)</f>
        <v/>
      </c>
      <c r="I36" s="68" t="inlineStr"/>
    </row>
    <row r="37">
      <c r="A37" s="68">
        <f>IF($B37="","","BEGIN:VEVENT
DTSTAMP:"&amp;TEXT(NOW(),"yyyymmdd")&amp;"T000001Z
UID:evt36@ClaudeCoworkBaskin
DTSTART;TZID=Europe/Rome:"&amp;TEXT($C37,"yyyymmdd")&amp;"T"&amp;TEXT($D37,"hhmmss")&amp;"
DTEND;TZID=Europe/Rome:"&amp;TEXT($E37,"yyyymmdd")&amp;"T"&amp;TEXT($F37,"hhmmss")&amp;"
SUMMARY:"&amp;$B37&amp;"
LOCATION:"&amp;$G37&amp;"
DESCRIPTION:"&amp;$H37&amp;"
END:VEVENT")</f>
        <v/>
      </c>
      <c r="B37" s="68">
        <f>IF('Calendario A'!$B129="","",'Calendario A'!$B129&amp;" vs "&amp;'Calendario A'!$D129&amp;" "&amp;'Calendario A'!$AC129)</f>
        <v/>
      </c>
      <c r="C37" s="222">
        <f>IF($B37="","",DATE(YEAR('Calendario A'!$F129),MONTH('Calendario A'!$F129),DAY('Calendario A'!$F129)))</f>
        <v/>
      </c>
      <c r="D37" s="223">
        <f>IF($B37="","",TIME(HOUR('Calendario A'!$F129),MINUTE('Calendario A'!$F129),0))</f>
        <v/>
      </c>
      <c r="E37" s="222">
        <f>IF($B37="","",DATE(YEAR('Calendario A'!$F129),MONTH('Calendario A'!$F129),DAY('Calendario A'!$F129)))</f>
        <v/>
      </c>
      <c r="F37" s="223">
        <f>IF($B37="","",TIME(HOUR('Calendario A'!$F129)+2,MINUTE('Calendario A'!$F129),0))</f>
        <v/>
      </c>
      <c r="G37" s="68">
        <f>IF($B37="","",'Calendario A'!$B130)</f>
        <v/>
      </c>
      <c r="H37" s="68">
        <f>IF($B37="","",Campionato!$D$2&amp;" "&amp;Campionato!$D$6)</f>
        <v/>
      </c>
      <c r="I37" s="68" t="inlineStr"/>
    </row>
    <row r="38">
      <c r="A38" s="68">
        <f>IF($B38="","","BEGIN:VEVENT
DTSTAMP:"&amp;TEXT(NOW(),"yyyymmdd")&amp;"T000001Z
UID:evt37@ClaudeCoworkBaskin
DTSTART;TZID=Europe/Rome:"&amp;TEXT($C38,"yyyymmdd")&amp;"T"&amp;TEXT($D38,"hhmmss")&amp;"
DTEND;TZID=Europe/Rome:"&amp;TEXT($E38,"yyyymmdd")&amp;"T"&amp;TEXT($F38,"hhmmss")&amp;"
SUMMARY:"&amp;$B38&amp;"
LOCATION:"&amp;$G38&amp;"
DESCRIPTION:"&amp;$H38&amp;"
END:VEVENT")</f>
        <v/>
      </c>
      <c r="B38" s="68">
        <f>IF('Calendario A'!$B132="","",'Calendario A'!$B132&amp;" vs "&amp;'Calendario A'!$D132&amp;" "&amp;'Calendario A'!$AC132)</f>
        <v/>
      </c>
      <c r="C38" s="222">
        <f>IF($B38="","",DATE(YEAR('Calendario A'!$F132),MONTH('Calendario A'!$F132),DAY('Calendario A'!$F132)))</f>
        <v/>
      </c>
      <c r="D38" s="223">
        <f>IF($B38="","",TIME(HOUR('Calendario A'!$F132),MINUTE('Calendario A'!$F132),0))</f>
        <v/>
      </c>
      <c r="E38" s="222">
        <f>IF($B38="","",DATE(YEAR('Calendario A'!$F132),MONTH('Calendario A'!$F132),DAY('Calendario A'!$F132)))</f>
        <v/>
      </c>
      <c r="F38" s="223">
        <f>IF($B38="","",TIME(HOUR('Calendario A'!$F132)+2,MINUTE('Calendario A'!$F132),0))</f>
        <v/>
      </c>
      <c r="G38" s="68">
        <f>IF($B38="","",'Calendario A'!$B133)</f>
        <v/>
      </c>
      <c r="H38" s="68">
        <f>IF($B38="","",Campionato!$D$2&amp;" "&amp;Campionato!$D$6)</f>
        <v/>
      </c>
      <c r="I38" s="68" t="inlineStr"/>
    </row>
    <row r="39">
      <c r="A39" s="68">
        <f>IF($B39="","","BEGIN:VEVENT
DTSTAMP:"&amp;TEXT(NOW(),"yyyymmdd")&amp;"T000001Z
UID:evt38@ClaudeCoworkBaskin
DTSTART;TZID=Europe/Rome:"&amp;TEXT($C39,"yyyymmdd")&amp;"T"&amp;TEXT($D39,"hhmmss")&amp;"
DTEND;TZID=Europe/Rome:"&amp;TEXT($E39,"yyyymmdd")&amp;"T"&amp;TEXT($F39,"hhmmss")&amp;"
SUMMARY:"&amp;$B39&amp;"
LOCATION:"&amp;$G39&amp;"
DESCRIPTION:"&amp;$H39&amp;"
END:VEVENT")</f>
        <v/>
      </c>
      <c r="B39" s="68">
        <f>IF('Calendario A'!$B135="","",'Calendario A'!$B135&amp;" vs "&amp;'Calendario A'!$D135&amp;" "&amp;'Calendario A'!$AC135)</f>
        <v/>
      </c>
      <c r="C39" s="222">
        <f>IF($B39="","",DATE(YEAR('Calendario A'!$F135),MONTH('Calendario A'!$F135),DAY('Calendario A'!$F135)))</f>
        <v/>
      </c>
      <c r="D39" s="223">
        <f>IF($B39="","",TIME(HOUR('Calendario A'!$F135),MINUTE('Calendario A'!$F135),0))</f>
        <v/>
      </c>
      <c r="E39" s="222">
        <f>IF($B39="","",DATE(YEAR('Calendario A'!$F135),MONTH('Calendario A'!$F135),DAY('Calendario A'!$F135)))</f>
        <v/>
      </c>
      <c r="F39" s="223">
        <f>IF($B39="","",TIME(HOUR('Calendario A'!$F135)+2,MINUTE('Calendario A'!$F135),0))</f>
        <v/>
      </c>
      <c r="G39" s="68">
        <f>IF($B39="","",'Calendario A'!$B136)</f>
        <v/>
      </c>
      <c r="H39" s="68">
        <f>IF($B39="","",Campionato!$D$2&amp;" "&amp;Campionato!$D$6)</f>
        <v/>
      </c>
      <c r="I39" s="68" t="inlineStr"/>
    </row>
    <row r="40">
      <c r="A40" s="68">
        <f>IF($B40="","","BEGIN:VEVENT
DTSTAMP:"&amp;TEXT(NOW(),"yyyymmdd")&amp;"T000001Z
UID:evt39@ClaudeCoworkBaskin
DTSTART;TZID=Europe/Rome:"&amp;TEXT($C40,"yyyymmdd")&amp;"T"&amp;TEXT($D40,"hhmmss")&amp;"
DTEND;TZID=Europe/Rome:"&amp;TEXT($E40,"yyyymmdd")&amp;"T"&amp;TEXT($F40,"hhmmss")&amp;"
SUMMARY:"&amp;$B40&amp;"
LOCATION:"&amp;$G40&amp;"
DESCRIPTION:"&amp;$H40&amp;"
END:VEVENT")</f>
        <v/>
      </c>
      <c r="B40" s="68">
        <f>IF('Calendario A'!$B138="","",'Calendario A'!$B138&amp;" vs "&amp;'Calendario A'!$D138&amp;" "&amp;'Calendario A'!$AC138)</f>
        <v/>
      </c>
      <c r="C40" s="222">
        <f>IF($B40="","",DATE(YEAR('Calendario A'!$F138),MONTH('Calendario A'!$F138),DAY('Calendario A'!$F138)))</f>
        <v/>
      </c>
      <c r="D40" s="223">
        <f>IF($B40="","",TIME(HOUR('Calendario A'!$F138),MINUTE('Calendario A'!$F138),0))</f>
        <v/>
      </c>
      <c r="E40" s="222">
        <f>IF($B40="","",DATE(YEAR('Calendario A'!$F138),MONTH('Calendario A'!$F138),DAY('Calendario A'!$F138)))</f>
        <v/>
      </c>
      <c r="F40" s="223">
        <f>IF($B40="","",TIME(HOUR('Calendario A'!$F138)+2,MINUTE('Calendario A'!$F138),0))</f>
        <v/>
      </c>
      <c r="G40" s="68">
        <f>IF($B40="","",'Calendario A'!$B139)</f>
        <v/>
      </c>
      <c r="H40" s="68">
        <f>IF($B40="","",Campionato!$D$2&amp;" "&amp;Campionato!$D$6)</f>
        <v/>
      </c>
      <c r="I40" s="68" t="inlineStr"/>
    </row>
    <row r="41">
      <c r="A41" s="68">
        <f>IF($B41="","","BEGIN:VEVENT
DTSTAMP:"&amp;TEXT(NOW(),"yyyymmdd")&amp;"T000001Z
UID:evt40@ClaudeCoworkBaskin
DTSTART;TZID=Europe/Rome:"&amp;TEXT($C41,"yyyymmdd")&amp;"T"&amp;TEXT($D41,"hhmmss")&amp;"
DTEND;TZID=Europe/Rome:"&amp;TEXT($E41,"yyyymmdd")&amp;"T"&amp;TEXT($F41,"hhmmss")&amp;"
SUMMARY:"&amp;$B41&amp;"
LOCATION:"&amp;$G41&amp;"
DESCRIPTION:"&amp;$H41&amp;"
END:VEVENT")</f>
        <v/>
      </c>
      <c r="B41" s="68">
        <f>IF('Calendario A'!$B141="","",'Calendario A'!$B141&amp;" vs "&amp;'Calendario A'!$D141&amp;" "&amp;'Calendario A'!$AC141)</f>
        <v/>
      </c>
      <c r="C41" s="222">
        <f>IF($B41="","",DATE(YEAR('Calendario A'!$F141),MONTH('Calendario A'!$F141),DAY('Calendario A'!$F141)))</f>
        <v/>
      </c>
      <c r="D41" s="223">
        <f>IF($B41="","",TIME(HOUR('Calendario A'!$F141),MINUTE('Calendario A'!$F141),0))</f>
        <v/>
      </c>
      <c r="E41" s="222">
        <f>IF($B41="","",DATE(YEAR('Calendario A'!$F141),MONTH('Calendario A'!$F141),DAY('Calendario A'!$F141)))</f>
        <v/>
      </c>
      <c r="F41" s="223">
        <f>IF($B41="","",TIME(HOUR('Calendario A'!$F141)+2,MINUTE('Calendario A'!$F141),0))</f>
        <v/>
      </c>
      <c r="G41" s="68">
        <f>IF($B41="","",'Calendario A'!$B142)</f>
        <v/>
      </c>
      <c r="H41" s="68">
        <f>IF($B41="","",Campionato!$D$2&amp;" "&amp;Campionato!$D$6)</f>
        <v/>
      </c>
      <c r="I41" s="68" t="inlineStr"/>
    </row>
    <row r="42">
      <c r="A42" s="68">
        <f>IF($B42="","","BEGIN:VEVENT
DTSTAMP:"&amp;TEXT(NOW(),"yyyymmdd")&amp;"T000001Z
UID:evt41@ClaudeCoworkBaskin
DTSTART;TZID=Europe/Rome:"&amp;TEXT($C42,"yyyymmdd")&amp;"T"&amp;TEXT($D42,"hhmmss")&amp;"
DTEND;TZID=Europe/Rome:"&amp;TEXT($E42,"yyyymmdd")&amp;"T"&amp;TEXT($F42,"hhmmss")&amp;"
SUMMARY:"&amp;$B42&amp;"
LOCATION:"&amp;$G42&amp;"
DESCRIPTION:"&amp;$H42&amp;"
END:VEVENT")</f>
        <v/>
      </c>
      <c r="B42" s="68">
        <f>IF('Calendario A'!$B146="","",'Calendario A'!$B146&amp;" vs "&amp;'Calendario A'!$D146&amp;" "&amp;'Calendario A'!$AC146)</f>
        <v/>
      </c>
      <c r="C42" s="222">
        <f>IF($B42="","",DATE(YEAR('Calendario A'!$F146),MONTH('Calendario A'!$F146),DAY('Calendario A'!$F146)))</f>
        <v/>
      </c>
      <c r="D42" s="223">
        <f>IF($B42="","",TIME(HOUR('Calendario A'!$F146),MINUTE('Calendario A'!$F146),0))</f>
        <v/>
      </c>
      <c r="E42" s="222">
        <f>IF($B42="","",DATE(YEAR('Calendario A'!$F146),MONTH('Calendario A'!$F146),DAY('Calendario A'!$F146)))</f>
        <v/>
      </c>
      <c r="F42" s="223">
        <f>IF($B42="","",TIME(HOUR('Calendario A'!$F146)+2,MINUTE('Calendario A'!$F146),0))</f>
        <v/>
      </c>
      <c r="G42" s="68">
        <f>IF($B42="","",'Calendario A'!$B147)</f>
        <v/>
      </c>
      <c r="H42" s="68">
        <f>IF($B42="","",Campionato!$D$2&amp;" "&amp;Campionato!$D$6)</f>
        <v/>
      </c>
      <c r="I42" s="68" t="inlineStr"/>
    </row>
    <row r="43">
      <c r="A43" s="68">
        <f>IF($B43="","","BEGIN:VEVENT
DTSTAMP:"&amp;TEXT(NOW(),"yyyymmdd")&amp;"T000001Z
UID:evt42@ClaudeCoworkBaskin
DTSTART;TZID=Europe/Rome:"&amp;TEXT($C43,"yyyymmdd")&amp;"T"&amp;TEXT($D43,"hhmmss")&amp;"
DTEND;TZID=Europe/Rome:"&amp;TEXT($E43,"yyyymmdd")&amp;"T"&amp;TEXT($F43,"hhmmss")&amp;"
SUMMARY:"&amp;$B43&amp;"
LOCATION:"&amp;$G43&amp;"
DESCRIPTION:"&amp;$H43&amp;"
END:VEVENT")</f>
        <v/>
      </c>
      <c r="B43" s="68">
        <f>IF('Calendario A'!$B149="","",'Calendario A'!$B149&amp;" vs "&amp;'Calendario A'!$D149&amp;" "&amp;'Calendario A'!$AC149)</f>
        <v/>
      </c>
      <c r="C43" s="222">
        <f>IF($B43="","",DATE(YEAR('Calendario A'!$F149),MONTH('Calendario A'!$F149),DAY('Calendario A'!$F149)))</f>
        <v/>
      </c>
      <c r="D43" s="223">
        <f>IF($B43="","",TIME(HOUR('Calendario A'!$F149),MINUTE('Calendario A'!$F149),0))</f>
        <v/>
      </c>
      <c r="E43" s="222">
        <f>IF($B43="","",DATE(YEAR('Calendario A'!$F149),MONTH('Calendario A'!$F149),DAY('Calendario A'!$F149)))</f>
        <v/>
      </c>
      <c r="F43" s="223">
        <f>IF($B43="","",TIME(HOUR('Calendario A'!$F149)+2,MINUTE('Calendario A'!$F149),0))</f>
        <v/>
      </c>
      <c r="G43" s="68">
        <f>IF($B43="","",'Calendario A'!$B150)</f>
        <v/>
      </c>
      <c r="H43" s="68">
        <f>IF($B43="","",Campionato!$D$2&amp;" "&amp;Campionato!$D$6)</f>
        <v/>
      </c>
      <c r="I43" s="68" t="inlineStr"/>
    </row>
    <row r="44">
      <c r="A44" s="68">
        <f>IF($B44="","","BEGIN:VEVENT
DTSTAMP:"&amp;TEXT(NOW(),"yyyymmdd")&amp;"T000001Z
UID:evt43@ClaudeCoworkBaskin
DTSTART;TZID=Europe/Rome:"&amp;TEXT($C44,"yyyymmdd")&amp;"T"&amp;TEXT($D44,"hhmmss")&amp;"
DTEND;TZID=Europe/Rome:"&amp;TEXT($E44,"yyyymmdd")&amp;"T"&amp;TEXT($F44,"hhmmss")&amp;"
SUMMARY:"&amp;$B44&amp;"
LOCATION:"&amp;$G44&amp;"
DESCRIPTION:"&amp;$H44&amp;"
END:VEVENT")</f>
        <v/>
      </c>
      <c r="B44" s="68">
        <f>IF('Calendario A'!$B152="","",'Calendario A'!$B152&amp;" vs "&amp;'Calendario A'!$D152&amp;" "&amp;'Calendario A'!$AC152)</f>
        <v/>
      </c>
      <c r="C44" s="222">
        <f>IF($B44="","",DATE(YEAR('Calendario A'!$F152),MONTH('Calendario A'!$F152),DAY('Calendario A'!$F152)))</f>
        <v/>
      </c>
      <c r="D44" s="223">
        <f>IF($B44="","",TIME(HOUR('Calendario A'!$F152),MINUTE('Calendario A'!$F152),0))</f>
        <v/>
      </c>
      <c r="E44" s="222">
        <f>IF($B44="","",DATE(YEAR('Calendario A'!$F152),MONTH('Calendario A'!$F152),DAY('Calendario A'!$F152)))</f>
        <v/>
      </c>
      <c r="F44" s="223">
        <f>IF($B44="","",TIME(HOUR('Calendario A'!$F152)+2,MINUTE('Calendario A'!$F152),0))</f>
        <v/>
      </c>
      <c r="G44" s="68">
        <f>IF($B44="","",'Calendario A'!$B153)</f>
        <v/>
      </c>
      <c r="H44" s="68">
        <f>IF($B44="","",Campionato!$D$2&amp;" "&amp;Campionato!$D$6)</f>
        <v/>
      </c>
      <c r="I44" s="68" t="inlineStr"/>
    </row>
    <row r="45">
      <c r="A45" s="68">
        <f>IF($B45="","","BEGIN:VEVENT
DTSTAMP:"&amp;TEXT(NOW(),"yyyymmdd")&amp;"T000001Z
UID:evt44@ClaudeCoworkBaskin
DTSTART;TZID=Europe/Rome:"&amp;TEXT($C45,"yyyymmdd")&amp;"T"&amp;TEXT($D45,"hhmmss")&amp;"
DTEND;TZID=Europe/Rome:"&amp;TEXT($E45,"yyyymmdd")&amp;"T"&amp;TEXT($F45,"hhmmss")&amp;"
SUMMARY:"&amp;$B45&amp;"
LOCATION:"&amp;$G45&amp;"
DESCRIPTION:"&amp;$H45&amp;"
END:VEVENT")</f>
        <v/>
      </c>
      <c r="B45" s="68">
        <f>IF('Calendario A'!$B155="","",'Calendario A'!$B155&amp;" vs "&amp;'Calendario A'!$D155&amp;" "&amp;'Calendario A'!$AC155)</f>
        <v/>
      </c>
      <c r="C45" s="222">
        <f>IF($B45="","",DATE(YEAR('Calendario A'!$F155),MONTH('Calendario A'!$F155),DAY('Calendario A'!$F155)))</f>
        <v/>
      </c>
      <c r="D45" s="223">
        <f>IF($B45="","",TIME(HOUR('Calendario A'!$F155),MINUTE('Calendario A'!$F155),0))</f>
        <v/>
      </c>
      <c r="E45" s="222">
        <f>IF($B45="","",DATE(YEAR('Calendario A'!$F155),MONTH('Calendario A'!$F155),DAY('Calendario A'!$F155)))</f>
        <v/>
      </c>
      <c r="F45" s="223">
        <f>IF($B45="","",TIME(HOUR('Calendario A'!$F155)+2,MINUTE('Calendario A'!$F155),0))</f>
        <v/>
      </c>
      <c r="G45" s="68">
        <f>IF($B45="","",'Calendario A'!$B156)</f>
        <v/>
      </c>
      <c r="H45" s="68">
        <f>IF($B45="","",Campionato!$D$2&amp;" "&amp;Campionato!$D$6)</f>
        <v/>
      </c>
      <c r="I45" s="68" t="inlineStr"/>
    </row>
    <row r="46">
      <c r="A46" s="68">
        <f>IF($B46="","","BEGIN:VEVENT
DTSTAMP:"&amp;TEXT(NOW(),"yyyymmdd")&amp;"T000001Z
UID:evt45@ClaudeCoworkBaskin
DTSTART;TZID=Europe/Rome:"&amp;TEXT($C46,"yyyymmdd")&amp;"T"&amp;TEXT($D46,"hhmmss")&amp;"
DTEND;TZID=Europe/Rome:"&amp;TEXT($E46,"yyyymmdd")&amp;"T"&amp;TEXT($F46,"hhmmss")&amp;"
SUMMARY:"&amp;$B46&amp;"
LOCATION:"&amp;$G46&amp;"
DESCRIPTION:"&amp;$H46&amp;"
END:VEVENT")</f>
        <v/>
      </c>
      <c r="B46" s="68">
        <f>IF('Calendario A'!$B158="","",'Calendario A'!$B158&amp;" vs "&amp;'Calendario A'!$D158&amp;" "&amp;'Calendario A'!$AC158)</f>
        <v/>
      </c>
      <c r="C46" s="222">
        <f>IF($B46="","",DATE(YEAR('Calendario A'!$F158),MONTH('Calendario A'!$F158),DAY('Calendario A'!$F158)))</f>
        <v/>
      </c>
      <c r="D46" s="223">
        <f>IF($B46="","",TIME(HOUR('Calendario A'!$F158),MINUTE('Calendario A'!$F158),0))</f>
        <v/>
      </c>
      <c r="E46" s="222">
        <f>IF($B46="","",DATE(YEAR('Calendario A'!$F158),MONTH('Calendario A'!$F158),DAY('Calendario A'!$F158)))</f>
        <v/>
      </c>
      <c r="F46" s="223">
        <f>IF($B46="","",TIME(HOUR('Calendario A'!$F158)+2,MINUTE('Calendario A'!$F158),0))</f>
        <v/>
      </c>
      <c r="G46" s="68">
        <f>IF($B46="","",'Calendario A'!$B159)</f>
        <v/>
      </c>
      <c r="H46" s="68">
        <f>IF($B46="","",Campionato!$D$2&amp;" "&amp;Campionato!$D$6)</f>
        <v/>
      </c>
      <c r="I46" s="68" t="inlineStr"/>
    </row>
    <row r="47">
      <c r="A47" s="68">
        <f>IF($B47="","","BEGIN:VEVENT
DTSTAMP:"&amp;TEXT(NOW(),"yyyymmdd")&amp;"T000001Z
UID:evt46@ClaudeCoworkBaskin
DTSTART;TZID=Europe/Rome:"&amp;TEXT($C47,"yyyymmdd")&amp;"T"&amp;TEXT($D47,"hhmmss")&amp;"
DTEND;TZID=Europe/Rome:"&amp;TEXT($E47,"yyyymmdd")&amp;"T"&amp;TEXT($F47,"hhmmss")&amp;"
SUMMARY:"&amp;$B47&amp;"
LOCATION:"&amp;$G47&amp;"
DESCRIPTION:"&amp;$H47&amp;"
END:VEVENT")</f>
        <v/>
      </c>
      <c r="B47" s="68">
        <f>IF('Calendario B'!$B10="","",'Calendario B'!$B10&amp;" vs "&amp;'Calendario B'!$D10&amp;" "&amp;'Calendario B'!$AC10)</f>
        <v/>
      </c>
      <c r="C47" s="222">
        <f>IF($B47="","",DATE(YEAR('Calendario B'!$F10),MONTH('Calendario B'!$F10),DAY('Calendario B'!$F10)))</f>
        <v/>
      </c>
      <c r="D47" s="223">
        <f>IF($B47="","",TIME(HOUR('Calendario B'!$F10),MINUTE('Calendario B'!$F10),0))</f>
        <v/>
      </c>
      <c r="E47" s="222">
        <f>IF($B47="","",DATE(YEAR('Calendario B'!$F10),MONTH('Calendario B'!$F10),DAY('Calendario B'!$F10)))</f>
        <v/>
      </c>
      <c r="F47" s="223">
        <f>IF($B47="","",TIME(HOUR('Calendario B'!$F10)+2,MINUTE('Calendario B'!$F10),0))</f>
        <v/>
      </c>
      <c r="G47" s="68">
        <f>IF($B47="","",'Calendario B'!$B11)</f>
        <v/>
      </c>
      <c r="H47" s="68">
        <f>IF($B47="","",Campionato!$D$2&amp;" "&amp;Campionato!$D$6)</f>
        <v/>
      </c>
      <c r="I47" s="68" t="inlineStr"/>
    </row>
    <row r="48">
      <c r="A48" s="68">
        <f>IF($B48="","","BEGIN:VEVENT
DTSTAMP:"&amp;TEXT(NOW(),"yyyymmdd")&amp;"T000001Z
UID:evt47@ClaudeCoworkBaskin
DTSTART;TZID=Europe/Rome:"&amp;TEXT($C48,"yyyymmdd")&amp;"T"&amp;TEXT($D48,"hhmmss")&amp;"
DTEND;TZID=Europe/Rome:"&amp;TEXT($E48,"yyyymmdd")&amp;"T"&amp;TEXT($F48,"hhmmss")&amp;"
SUMMARY:"&amp;$B48&amp;"
LOCATION:"&amp;$G48&amp;"
DESCRIPTION:"&amp;$H48&amp;"
END:VEVENT")</f>
        <v/>
      </c>
      <c r="B48" s="68">
        <f>IF('Calendario B'!$B13="","",'Calendario B'!$B13&amp;" vs "&amp;'Calendario B'!$D13&amp;" "&amp;'Calendario B'!$AC13)</f>
        <v/>
      </c>
      <c r="C48" s="222">
        <f>IF($B48="","",DATE(YEAR('Calendario B'!$F13),MONTH('Calendario B'!$F13),DAY('Calendario B'!$F13)))</f>
        <v/>
      </c>
      <c r="D48" s="223">
        <f>IF($B48="","",TIME(HOUR('Calendario B'!$F13),MINUTE('Calendario B'!$F13),0))</f>
        <v/>
      </c>
      <c r="E48" s="222">
        <f>IF($B48="","",DATE(YEAR('Calendario B'!$F13),MONTH('Calendario B'!$F13),DAY('Calendario B'!$F13)))</f>
        <v/>
      </c>
      <c r="F48" s="223">
        <f>IF($B48="","",TIME(HOUR('Calendario B'!$F13)+2,MINUTE('Calendario B'!$F13),0))</f>
        <v/>
      </c>
      <c r="G48" s="68">
        <f>IF($B48="","",'Calendario B'!$B14)</f>
        <v/>
      </c>
      <c r="H48" s="68">
        <f>IF($B48="","",Campionato!$D$2&amp;" "&amp;Campionato!$D$6)</f>
        <v/>
      </c>
      <c r="I48" s="68" t="inlineStr"/>
    </row>
    <row r="49">
      <c r="A49" s="68">
        <f>IF($B49="","","BEGIN:VEVENT
DTSTAMP:"&amp;TEXT(NOW(),"yyyymmdd")&amp;"T000001Z
UID:evt48@ClaudeCoworkBaskin
DTSTART;TZID=Europe/Rome:"&amp;TEXT($C49,"yyyymmdd")&amp;"T"&amp;TEXT($D49,"hhmmss")&amp;"
DTEND;TZID=Europe/Rome:"&amp;TEXT($E49,"yyyymmdd")&amp;"T"&amp;TEXT($F49,"hhmmss")&amp;"
SUMMARY:"&amp;$B49&amp;"
LOCATION:"&amp;$G49&amp;"
DESCRIPTION:"&amp;$H49&amp;"
END:VEVENT")</f>
        <v/>
      </c>
      <c r="B49" s="68">
        <f>IF('Calendario B'!$B16="","",'Calendario B'!$B16&amp;" vs "&amp;'Calendario B'!$D16&amp;" "&amp;'Calendario B'!$AC16)</f>
        <v/>
      </c>
      <c r="C49" s="222">
        <f>IF($B49="","",DATE(YEAR('Calendario B'!$F16),MONTH('Calendario B'!$F16),DAY('Calendario B'!$F16)))</f>
        <v/>
      </c>
      <c r="D49" s="223">
        <f>IF($B49="","",TIME(HOUR('Calendario B'!$F16),MINUTE('Calendario B'!$F16),0))</f>
        <v/>
      </c>
      <c r="E49" s="222">
        <f>IF($B49="","",DATE(YEAR('Calendario B'!$F16),MONTH('Calendario B'!$F16),DAY('Calendario B'!$F16)))</f>
        <v/>
      </c>
      <c r="F49" s="223">
        <f>IF($B49="","",TIME(HOUR('Calendario B'!$F16)+2,MINUTE('Calendario B'!$F16),0))</f>
        <v/>
      </c>
      <c r="G49" s="68">
        <f>IF($B49="","",'Calendario B'!$B17)</f>
        <v/>
      </c>
      <c r="H49" s="68">
        <f>IF($B49="","",Campionato!$D$2&amp;" "&amp;Campionato!$D$6)</f>
        <v/>
      </c>
      <c r="I49" s="68" t="inlineStr"/>
    </row>
    <row r="50">
      <c r="A50" s="68">
        <f>IF($B50="","","BEGIN:VEVENT
DTSTAMP:"&amp;TEXT(NOW(),"yyyymmdd")&amp;"T000001Z
UID:evt49@ClaudeCoworkBaskin
DTSTART;TZID=Europe/Rome:"&amp;TEXT($C50,"yyyymmdd")&amp;"T"&amp;TEXT($D50,"hhmmss")&amp;"
DTEND;TZID=Europe/Rome:"&amp;TEXT($E50,"yyyymmdd")&amp;"T"&amp;TEXT($F50,"hhmmss")&amp;"
SUMMARY:"&amp;$B50&amp;"
LOCATION:"&amp;$G50&amp;"
DESCRIPTION:"&amp;$H50&amp;"
END:VEVENT")</f>
        <v/>
      </c>
      <c r="B50" s="68">
        <f>IF('Calendario B'!$B19="","",'Calendario B'!$B19&amp;" vs "&amp;'Calendario B'!$D19&amp;" "&amp;'Calendario B'!$AC19)</f>
        <v/>
      </c>
      <c r="C50" s="222">
        <f>IF($B50="","",DATE(YEAR('Calendario B'!$F19),MONTH('Calendario B'!$F19),DAY('Calendario B'!$F19)))</f>
        <v/>
      </c>
      <c r="D50" s="223">
        <f>IF($B50="","",TIME(HOUR('Calendario B'!$F19),MINUTE('Calendario B'!$F19),0))</f>
        <v/>
      </c>
      <c r="E50" s="222">
        <f>IF($B50="","",DATE(YEAR('Calendario B'!$F19),MONTH('Calendario B'!$F19),DAY('Calendario B'!$F19)))</f>
        <v/>
      </c>
      <c r="F50" s="223">
        <f>IF($B50="","",TIME(HOUR('Calendario B'!$F19)+2,MINUTE('Calendario B'!$F19),0))</f>
        <v/>
      </c>
      <c r="G50" s="68">
        <f>IF($B50="","",'Calendario B'!$B20)</f>
        <v/>
      </c>
      <c r="H50" s="68">
        <f>IF($B50="","",Campionato!$D$2&amp;" "&amp;Campionato!$D$6)</f>
        <v/>
      </c>
      <c r="I50" s="68" t="inlineStr"/>
    </row>
    <row r="51">
      <c r="A51" s="68">
        <f>IF($B51="","","BEGIN:VEVENT
DTSTAMP:"&amp;TEXT(NOW(),"yyyymmdd")&amp;"T000001Z
UID:evt50@ClaudeCoworkBaskin
DTSTART;TZID=Europe/Rome:"&amp;TEXT($C51,"yyyymmdd")&amp;"T"&amp;TEXT($D51,"hhmmss")&amp;"
DTEND;TZID=Europe/Rome:"&amp;TEXT($E51,"yyyymmdd")&amp;"T"&amp;TEXT($F51,"hhmmss")&amp;"
SUMMARY:"&amp;$B51&amp;"
LOCATION:"&amp;$G51&amp;"
DESCRIPTION:"&amp;$H51&amp;"
END:VEVENT")</f>
        <v/>
      </c>
      <c r="B51" s="68">
        <f>IF('Calendario B'!$B22="","",'Calendario B'!$B22&amp;" vs "&amp;'Calendario B'!$D22&amp;" "&amp;'Calendario B'!$AC22)</f>
        <v/>
      </c>
      <c r="C51" s="222">
        <f>IF($B51="","",DATE(YEAR('Calendario B'!$F22),MONTH('Calendario B'!$F22),DAY('Calendario B'!$F22)))</f>
        <v/>
      </c>
      <c r="D51" s="223">
        <f>IF($B51="","",TIME(HOUR('Calendario B'!$F22),MINUTE('Calendario B'!$F22),0))</f>
        <v/>
      </c>
      <c r="E51" s="222">
        <f>IF($B51="","",DATE(YEAR('Calendario B'!$F22),MONTH('Calendario B'!$F22),DAY('Calendario B'!$F22)))</f>
        <v/>
      </c>
      <c r="F51" s="223">
        <f>IF($B51="","",TIME(HOUR('Calendario B'!$F22)+2,MINUTE('Calendario B'!$F22),0))</f>
        <v/>
      </c>
      <c r="G51" s="68">
        <f>IF($B51="","",'Calendario B'!$B23)</f>
        <v/>
      </c>
      <c r="H51" s="68">
        <f>IF($B51="","",Campionato!$D$2&amp;" "&amp;Campionato!$D$6)</f>
        <v/>
      </c>
      <c r="I51" s="68" t="inlineStr"/>
    </row>
    <row r="52">
      <c r="A52" s="68">
        <f>IF($B52="","","BEGIN:VEVENT
DTSTAMP:"&amp;TEXT(NOW(),"yyyymmdd")&amp;"T000001Z
UID:evt51@ClaudeCoworkBaskin
DTSTART;TZID=Europe/Rome:"&amp;TEXT($C52,"yyyymmdd")&amp;"T"&amp;TEXT($D52,"hhmmss")&amp;"
DTEND;TZID=Europe/Rome:"&amp;TEXT($E52,"yyyymmdd")&amp;"T"&amp;TEXT($F52,"hhmmss")&amp;"
SUMMARY:"&amp;$B52&amp;"
LOCATION:"&amp;$G52&amp;"
DESCRIPTION:"&amp;$H52&amp;"
END:VEVENT")</f>
        <v/>
      </c>
      <c r="B52" s="68">
        <f>IF('Calendario B'!$B27="","",'Calendario B'!$B27&amp;" vs "&amp;'Calendario B'!$D27&amp;" "&amp;'Calendario B'!$AC27)</f>
        <v/>
      </c>
      <c r="C52" s="222">
        <f>IF($B52="","",DATE(YEAR('Calendario B'!$F27),MONTH('Calendario B'!$F27),DAY('Calendario B'!$F27)))</f>
        <v/>
      </c>
      <c r="D52" s="223">
        <f>IF($B52="","",TIME(HOUR('Calendario B'!$F27),MINUTE('Calendario B'!$F27),0))</f>
        <v/>
      </c>
      <c r="E52" s="222">
        <f>IF($B52="","",DATE(YEAR('Calendario B'!$F27),MONTH('Calendario B'!$F27),DAY('Calendario B'!$F27)))</f>
        <v/>
      </c>
      <c r="F52" s="223">
        <f>IF($B52="","",TIME(HOUR('Calendario B'!$F27)+2,MINUTE('Calendario B'!$F27),0))</f>
        <v/>
      </c>
      <c r="G52" s="68">
        <f>IF($B52="","",'Calendario B'!$B28)</f>
        <v/>
      </c>
      <c r="H52" s="68">
        <f>IF($B52="","",Campionato!$D$2&amp;" "&amp;Campionato!$D$6)</f>
        <v/>
      </c>
      <c r="I52" s="68" t="inlineStr"/>
    </row>
    <row r="53">
      <c r="A53" s="68">
        <f>IF($B53="","","BEGIN:VEVENT
DTSTAMP:"&amp;TEXT(NOW(),"yyyymmdd")&amp;"T000001Z
UID:evt52@ClaudeCoworkBaskin
DTSTART;TZID=Europe/Rome:"&amp;TEXT($C53,"yyyymmdd")&amp;"T"&amp;TEXT($D53,"hhmmss")&amp;"
DTEND;TZID=Europe/Rome:"&amp;TEXT($E53,"yyyymmdd")&amp;"T"&amp;TEXT($F53,"hhmmss")&amp;"
SUMMARY:"&amp;$B53&amp;"
LOCATION:"&amp;$G53&amp;"
DESCRIPTION:"&amp;$H53&amp;"
END:VEVENT")</f>
        <v/>
      </c>
      <c r="B53" s="68">
        <f>IF('Calendario B'!$B30="","",'Calendario B'!$B30&amp;" vs "&amp;'Calendario B'!$D30&amp;" "&amp;'Calendario B'!$AC30)</f>
        <v/>
      </c>
      <c r="C53" s="222">
        <f>IF($B53="","",DATE(YEAR('Calendario B'!$F30),MONTH('Calendario B'!$F30),DAY('Calendario B'!$F30)))</f>
        <v/>
      </c>
      <c r="D53" s="223">
        <f>IF($B53="","",TIME(HOUR('Calendario B'!$F30),MINUTE('Calendario B'!$F30),0))</f>
        <v/>
      </c>
      <c r="E53" s="222">
        <f>IF($B53="","",DATE(YEAR('Calendario B'!$F30),MONTH('Calendario B'!$F30),DAY('Calendario B'!$F30)))</f>
        <v/>
      </c>
      <c r="F53" s="223">
        <f>IF($B53="","",TIME(HOUR('Calendario B'!$F30)+2,MINUTE('Calendario B'!$F30),0))</f>
        <v/>
      </c>
      <c r="G53" s="68">
        <f>IF($B53="","",'Calendario B'!$B31)</f>
        <v/>
      </c>
      <c r="H53" s="68">
        <f>IF($B53="","",Campionato!$D$2&amp;" "&amp;Campionato!$D$6)</f>
        <v/>
      </c>
      <c r="I53" s="68" t="inlineStr"/>
    </row>
    <row r="54">
      <c r="A54" s="68">
        <f>IF($B54="","","BEGIN:VEVENT
DTSTAMP:"&amp;TEXT(NOW(),"yyyymmdd")&amp;"T000001Z
UID:evt53@ClaudeCoworkBaskin
DTSTART;TZID=Europe/Rome:"&amp;TEXT($C54,"yyyymmdd")&amp;"T"&amp;TEXT($D54,"hhmmss")&amp;"
DTEND;TZID=Europe/Rome:"&amp;TEXT($E54,"yyyymmdd")&amp;"T"&amp;TEXT($F54,"hhmmss")&amp;"
SUMMARY:"&amp;$B54&amp;"
LOCATION:"&amp;$G54&amp;"
DESCRIPTION:"&amp;$H54&amp;"
END:VEVENT")</f>
        <v/>
      </c>
      <c r="B54" s="68">
        <f>IF('Calendario B'!$B33="","",'Calendario B'!$B33&amp;" vs "&amp;'Calendario B'!$D33&amp;" "&amp;'Calendario B'!$AC33)</f>
        <v/>
      </c>
      <c r="C54" s="222">
        <f>IF($B54="","",DATE(YEAR('Calendario B'!$F33),MONTH('Calendario B'!$F33),DAY('Calendario B'!$F33)))</f>
        <v/>
      </c>
      <c r="D54" s="223">
        <f>IF($B54="","",TIME(HOUR('Calendario B'!$F33),MINUTE('Calendario B'!$F33),0))</f>
        <v/>
      </c>
      <c r="E54" s="222">
        <f>IF($B54="","",DATE(YEAR('Calendario B'!$F33),MONTH('Calendario B'!$F33),DAY('Calendario B'!$F33)))</f>
        <v/>
      </c>
      <c r="F54" s="223">
        <f>IF($B54="","",TIME(HOUR('Calendario B'!$F33)+2,MINUTE('Calendario B'!$F33),0))</f>
        <v/>
      </c>
      <c r="G54" s="68">
        <f>IF($B54="","",'Calendario B'!$B34)</f>
        <v/>
      </c>
      <c r="H54" s="68">
        <f>IF($B54="","",Campionato!$D$2&amp;" "&amp;Campionato!$D$6)</f>
        <v/>
      </c>
      <c r="I54" s="68" t="inlineStr"/>
    </row>
    <row r="55">
      <c r="A55" s="68">
        <f>IF($B55="","","BEGIN:VEVENT
DTSTAMP:"&amp;TEXT(NOW(),"yyyymmdd")&amp;"T000001Z
UID:evt54@ClaudeCoworkBaskin
DTSTART;TZID=Europe/Rome:"&amp;TEXT($C55,"yyyymmdd")&amp;"T"&amp;TEXT($D55,"hhmmss")&amp;"
DTEND;TZID=Europe/Rome:"&amp;TEXT($E55,"yyyymmdd")&amp;"T"&amp;TEXT($F55,"hhmmss")&amp;"
SUMMARY:"&amp;$B55&amp;"
LOCATION:"&amp;$G55&amp;"
DESCRIPTION:"&amp;$H55&amp;"
END:VEVENT")</f>
        <v/>
      </c>
      <c r="B55" s="68">
        <f>IF('Calendario B'!$B36="","",'Calendario B'!$B36&amp;" vs "&amp;'Calendario B'!$D36&amp;" "&amp;'Calendario B'!$AC36)</f>
        <v/>
      </c>
      <c r="C55" s="222">
        <f>IF($B55="","",DATE(YEAR('Calendario B'!$F36),MONTH('Calendario B'!$F36),DAY('Calendario B'!$F36)))</f>
        <v/>
      </c>
      <c r="D55" s="223">
        <f>IF($B55="","",TIME(HOUR('Calendario B'!$F36),MINUTE('Calendario B'!$F36),0))</f>
        <v/>
      </c>
      <c r="E55" s="222">
        <f>IF($B55="","",DATE(YEAR('Calendario B'!$F36),MONTH('Calendario B'!$F36),DAY('Calendario B'!$F36)))</f>
        <v/>
      </c>
      <c r="F55" s="223">
        <f>IF($B55="","",TIME(HOUR('Calendario B'!$F36)+2,MINUTE('Calendario B'!$F36),0))</f>
        <v/>
      </c>
      <c r="G55" s="68">
        <f>IF($B55="","",'Calendario B'!$B37)</f>
        <v/>
      </c>
      <c r="H55" s="68">
        <f>IF($B55="","",Campionato!$D$2&amp;" "&amp;Campionato!$D$6)</f>
        <v/>
      </c>
      <c r="I55" s="68" t="inlineStr"/>
    </row>
    <row r="56">
      <c r="A56" s="68">
        <f>IF($B56="","","BEGIN:VEVENT
DTSTAMP:"&amp;TEXT(NOW(),"yyyymmdd")&amp;"T000001Z
UID:evt55@ClaudeCoworkBaskin
DTSTART;TZID=Europe/Rome:"&amp;TEXT($C56,"yyyymmdd")&amp;"T"&amp;TEXT($D56,"hhmmss")&amp;"
DTEND;TZID=Europe/Rome:"&amp;TEXT($E56,"yyyymmdd")&amp;"T"&amp;TEXT($F56,"hhmmss")&amp;"
SUMMARY:"&amp;$B56&amp;"
LOCATION:"&amp;$G56&amp;"
DESCRIPTION:"&amp;$H56&amp;"
END:VEVENT")</f>
        <v/>
      </c>
      <c r="B56" s="68">
        <f>IF('Calendario B'!$B39="","",'Calendario B'!$B39&amp;" vs "&amp;'Calendario B'!$D39&amp;" "&amp;'Calendario B'!$AC39)</f>
        <v/>
      </c>
      <c r="C56" s="222">
        <f>IF($B56="","",DATE(YEAR('Calendario B'!$F39),MONTH('Calendario B'!$F39),DAY('Calendario B'!$F39)))</f>
        <v/>
      </c>
      <c r="D56" s="223">
        <f>IF($B56="","",TIME(HOUR('Calendario B'!$F39),MINUTE('Calendario B'!$F39),0))</f>
        <v/>
      </c>
      <c r="E56" s="222">
        <f>IF($B56="","",DATE(YEAR('Calendario B'!$F39),MONTH('Calendario B'!$F39),DAY('Calendario B'!$F39)))</f>
        <v/>
      </c>
      <c r="F56" s="223">
        <f>IF($B56="","",TIME(HOUR('Calendario B'!$F39)+2,MINUTE('Calendario B'!$F39),0))</f>
        <v/>
      </c>
      <c r="G56" s="68">
        <f>IF($B56="","",'Calendario B'!$B40)</f>
        <v/>
      </c>
      <c r="H56" s="68">
        <f>IF($B56="","",Campionato!$D$2&amp;" "&amp;Campionato!$D$6)</f>
        <v/>
      </c>
      <c r="I56" s="68" t="inlineStr"/>
    </row>
    <row r="57">
      <c r="A57" s="68">
        <f>IF($B57="","","BEGIN:VEVENT
DTSTAMP:"&amp;TEXT(NOW(),"yyyymmdd")&amp;"T000001Z
UID:evt56@ClaudeCoworkBaskin
DTSTART;TZID=Europe/Rome:"&amp;TEXT($C57,"yyyymmdd")&amp;"T"&amp;TEXT($D57,"hhmmss")&amp;"
DTEND;TZID=Europe/Rome:"&amp;TEXT($E57,"yyyymmdd")&amp;"T"&amp;TEXT($F57,"hhmmss")&amp;"
SUMMARY:"&amp;$B57&amp;"
LOCATION:"&amp;$G57&amp;"
DESCRIPTION:"&amp;$H57&amp;"
END:VEVENT")</f>
        <v/>
      </c>
      <c r="B57" s="68">
        <f>IF('Calendario B'!$B44="","",'Calendario B'!$B44&amp;" vs "&amp;'Calendario B'!$D44&amp;" "&amp;'Calendario B'!$AC44)</f>
        <v/>
      </c>
      <c r="C57" s="222">
        <f>IF($B57="","",DATE(YEAR('Calendario B'!$F44),MONTH('Calendario B'!$F44),DAY('Calendario B'!$F44)))</f>
        <v/>
      </c>
      <c r="D57" s="223">
        <f>IF($B57="","",TIME(HOUR('Calendario B'!$F44),MINUTE('Calendario B'!$F44),0))</f>
        <v/>
      </c>
      <c r="E57" s="222">
        <f>IF($B57="","",DATE(YEAR('Calendario B'!$F44),MONTH('Calendario B'!$F44),DAY('Calendario B'!$F44)))</f>
        <v/>
      </c>
      <c r="F57" s="223">
        <f>IF($B57="","",TIME(HOUR('Calendario B'!$F44)+2,MINUTE('Calendario B'!$F44),0))</f>
        <v/>
      </c>
      <c r="G57" s="68">
        <f>IF($B57="","",'Calendario B'!$B45)</f>
        <v/>
      </c>
      <c r="H57" s="68">
        <f>IF($B57="","",Campionato!$D$2&amp;" "&amp;Campionato!$D$6)</f>
        <v/>
      </c>
      <c r="I57" s="68" t="inlineStr"/>
    </row>
    <row r="58">
      <c r="A58" s="68">
        <f>IF($B58="","","BEGIN:VEVENT
DTSTAMP:"&amp;TEXT(NOW(),"yyyymmdd")&amp;"T000001Z
UID:evt57@ClaudeCoworkBaskin
DTSTART;TZID=Europe/Rome:"&amp;TEXT($C58,"yyyymmdd")&amp;"T"&amp;TEXT($D58,"hhmmss")&amp;"
DTEND;TZID=Europe/Rome:"&amp;TEXT($E58,"yyyymmdd")&amp;"T"&amp;TEXT($F58,"hhmmss")&amp;"
SUMMARY:"&amp;$B58&amp;"
LOCATION:"&amp;$G58&amp;"
DESCRIPTION:"&amp;$H58&amp;"
END:VEVENT")</f>
        <v/>
      </c>
      <c r="B58" s="68">
        <f>IF('Calendario B'!$B47="","",'Calendario B'!$B47&amp;" vs "&amp;'Calendario B'!$D47&amp;" "&amp;'Calendario B'!$AC47)</f>
        <v/>
      </c>
      <c r="C58" s="222">
        <f>IF($B58="","",DATE(YEAR('Calendario B'!$F47),MONTH('Calendario B'!$F47),DAY('Calendario B'!$F47)))</f>
        <v/>
      </c>
      <c r="D58" s="223">
        <f>IF($B58="","",TIME(HOUR('Calendario B'!$F47),MINUTE('Calendario B'!$F47),0))</f>
        <v/>
      </c>
      <c r="E58" s="222">
        <f>IF($B58="","",DATE(YEAR('Calendario B'!$F47),MONTH('Calendario B'!$F47),DAY('Calendario B'!$F47)))</f>
        <v/>
      </c>
      <c r="F58" s="223">
        <f>IF($B58="","",TIME(HOUR('Calendario B'!$F47)+2,MINUTE('Calendario B'!$F47),0))</f>
        <v/>
      </c>
      <c r="G58" s="68">
        <f>IF($B58="","",'Calendario B'!$B48)</f>
        <v/>
      </c>
      <c r="H58" s="68">
        <f>IF($B58="","",Campionato!$D$2&amp;" "&amp;Campionato!$D$6)</f>
        <v/>
      </c>
      <c r="I58" s="68" t="inlineStr"/>
    </row>
    <row r="59">
      <c r="A59" s="68">
        <f>IF($B59="","","BEGIN:VEVENT
DTSTAMP:"&amp;TEXT(NOW(),"yyyymmdd")&amp;"T000001Z
UID:evt58@ClaudeCoworkBaskin
DTSTART;TZID=Europe/Rome:"&amp;TEXT($C59,"yyyymmdd")&amp;"T"&amp;TEXT($D59,"hhmmss")&amp;"
DTEND;TZID=Europe/Rome:"&amp;TEXT($E59,"yyyymmdd")&amp;"T"&amp;TEXT($F59,"hhmmss")&amp;"
SUMMARY:"&amp;$B59&amp;"
LOCATION:"&amp;$G59&amp;"
DESCRIPTION:"&amp;$H59&amp;"
END:VEVENT")</f>
        <v/>
      </c>
      <c r="B59" s="68">
        <f>IF('Calendario B'!$B50="","",'Calendario B'!$B50&amp;" vs "&amp;'Calendario B'!$D50&amp;" "&amp;'Calendario B'!$AC50)</f>
        <v/>
      </c>
      <c r="C59" s="222">
        <f>IF($B59="","",DATE(YEAR('Calendario B'!$F50),MONTH('Calendario B'!$F50),DAY('Calendario B'!$F50)))</f>
        <v/>
      </c>
      <c r="D59" s="223">
        <f>IF($B59="","",TIME(HOUR('Calendario B'!$F50),MINUTE('Calendario B'!$F50),0))</f>
        <v/>
      </c>
      <c r="E59" s="222">
        <f>IF($B59="","",DATE(YEAR('Calendario B'!$F50),MONTH('Calendario B'!$F50),DAY('Calendario B'!$F50)))</f>
        <v/>
      </c>
      <c r="F59" s="223">
        <f>IF($B59="","",TIME(HOUR('Calendario B'!$F50)+2,MINUTE('Calendario B'!$F50),0))</f>
        <v/>
      </c>
      <c r="G59" s="68">
        <f>IF($B59="","",'Calendario B'!$B51)</f>
        <v/>
      </c>
      <c r="H59" s="68">
        <f>IF($B59="","",Campionato!$D$2&amp;" "&amp;Campionato!$D$6)</f>
        <v/>
      </c>
      <c r="I59" s="68" t="inlineStr"/>
    </row>
    <row r="60">
      <c r="A60" s="68">
        <f>IF($B60="","","BEGIN:VEVENT
DTSTAMP:"&amp;TEXT(NOW(),"yyyymmdd")&amp;"T000001Z
UID:evt59@ClaudeCoworkBaskin
DTSTART;TZID=Europe/Rome:"&amp;TEXT($C60,"yyyymmdd")&amp;"T"&amp;TEXT($D60,"hhmmss")&amp;"
DTEND;TZID=Europe/Rome:"&amp;TEXT($E60,"yyyymmdd")&amp;"T"&amp;TEXT($F60,"hhmmss")&amp;"
SUMMARY:"&amp;$B60&amp;"
LOCATION:"&amp;$G60&amp;"
DESCRIPTION:"&amp;$H60&amp;"
END:VEVENT")</f>
        <v/>
      </c>
      <c r="B60" s="68">
        <f>IF('Calendario B'!$B53="","",'Calendario B'!$B53&amp;" vs "&amp;'Calendario B'!$D53&amp;" "&amp;'Calendario B'!$AC53)</f>
        <v/>
      </c>
      <c r="C60" s="222">
        <f>IF($B60="","",DATE(YEAR('Calendario B'!$F53),MONTH('Calendario B'!$F53),DAY('Calendario B'!$F53)))</f>
        <v/>
      </c>
      <c r="D60" s="223">
        <f>IF($B60="","",TIME(HOUR('Calendario B'!$F53),MINUTE('Calendario B'!$F53),0))</f>
        <v/>
      </c>
      <c r="E60" s="222">
        <f>IF($B60="","",DATE(YEAR('Calendario B'!$F53),MONTH('Calendario B'!$F53),DAY('Calendario B'!$F53)))</f>
        <v/>
      </c>
      <c r="F60" s="223">
        <f>IF($B60="","",TIME(HOUR('Calendario B'!$F53)+2,MINUTE('Calendario B'!$F53),0))</f>
        <v/>
      </c>
      <c r="G60" s="68">
        <f>IF($B60="","",'Calendario B'!$B54)</f>
        <v/>
      </c>
      <c r="H60" s="68">
        <f>IF($B60="","",Campionato!$D$2&amp;" "&amp;Campionato!$D$6)</f>
        <v/>
      </c>
      <c r="I60" s="68" t="inlineStr"/>
    </row>
    <row r="61">
      <c r="A61" s="68">
        <f>IF($B61="","","BEGIN:VEVENT
DTSTAMP:"&amp;TEXT(NOW(),"yyyymmdd")&amp;"T000001Z
UID:evt60@ClaudeCoworkBaskin
DTSTART;TZID=Europe/Rome:"&amp;TEXT($C61,"yyyymmdd")&amp;"T"&amp;TEXT($D61,"hhmmss")&amp;"
DTEND;TZID=Europe/Rome:"&amp;TEXT($E61,"yyyymmdd")&amp;"T"&amp;TEXT($F61,"hhmmss")&amp;"
SUMMARY:"&amp;$B61&amp;"
LOCATION:"&amp;$G61&amp;"
DESCRIPTION:"&amp;$H61&amp;"
END:VEVENT")</f>
        <v/>
      </c>
      <c r="B61" s="68">
        <f>IF('Calendario B'!$B56="","",'Calendario B'!$B56&amp;" vs "&amp;'Calendario B'!$D56&amp;" "&amp;'Calendario B'!$AC56)</f>
        <v/>
      </c>
      <c r="C61" s="222">
        <f>IF($B61="","",DATE(YEAR('Calendario B'!$F56),MONTH('Calendario B'!$F56),DAY('Calendario B'!$F56)))</f>
        <v/>
      </c>
      <c r="D61" s="223">
        <f>IF($B61="","",TIME(HOUR('Calendario B'!$F56),MINUTE('Calendario B'!$F56),0))</f>
        <v/>
      </c>
      <c r="E61" s="222">
        <f>IF($B61="","",DATE(YEAR('Calendario B'!$F56),MONTH('Calendario B'!$F56),DAY('Calendario B'!$F56)))</f>
        <v/>
      </c>
      <c r="F61" s="223">
        <f>IF($B61="","",TIME(HOUR('Calendario B'!$F56)+2,MINUTE('Calendario B'!$F56),0))</f>
        <v/>
      </c>
      <c r="G61" s="68">
        <f>IF($B61="","",'Calendario B'!$B57)</f>
        <v/>
      </c>
      <c r="H61" s="68">
        <f>IF($B61="","",Campionato!$D$2&amp;" "&amp;Campionato!$D$6)</f>
        <v/>
      </c>
      <c r="I61" s="68" t="inlineStr"/>
    </row>
    <row r="62">
      <c r="A62" s="68">
        <f>IF($B62="","","BEGIN:VEVENT
DTSTAMP:"&amp;TEXT(NOW(),"yyyymmdd")&amp;"T000001Z
UID:evt61@ClaudeCoworkBaskin
DTSTART;TZID=Europe/Rome:"&amp;TEXT($C62,"yyyymmdd")&amp;"T"&amp;TEXT($D62,"hhmmss")&amp;"
DTEND;TZID=Europe/Rome:"&amp;TEXT($E62,"yyyymmdd")&amp;"T"&amp;TEXT($F62,"hhmmss")&amp;"
SUMMARY:"&amp;$B62&amp;"
LOCATION:"&amp;$G62&amp;"
DESCRIPTION:"&amp;$H62&amp;"
END:VEVENT")</f>
        <v/>
      </c>
      <c r="B62" s="68">
        <f>IF('Calendario B'!$B61="","",'Calendario B'!$B61&amp;" vs "&amp;'Calendario B'!$D61&amp;" "&amp;'Calendario B'!$AC61)</f>
        <v/>
      </c>
      <c r="C62" s="222">
        <f>IF($B62="","",DATE(YEAR('Calendario B'!$F61),MONTH('Calendario B'!$F61),DAY('Calendario B'!$F61)))</f>
        <v/>
      </c>
      <c r="D62" s="223">
        <f>IF($B62="","",TIME(HOUR('Calendario B'!$F61),MINUTE('Calendario B'!$F61),0))</f>
        <v/>
      </c>
      <c r="E62" s="222">
        <f>IF($B62="","",DATE(YEAR('Calendario B'!$F61),MONTH('Calendario B'!$F61),DAY('Calendario B'!$F61)))</f>
        <v/>
      </c>
      <c r="F62" s="223">
        <f>IF($B62="","",TIME(HOUR('Calendario B'!$F61)+2,MINUTE('Calendario B'!$F61),0))</f>
        <v/>
      </c>
      <c r="G62" s="68">
        <f>IF($B62="","",'Calendario B'!$B62)</f>
        <v/>
      </c>
      <c r="H62" s="68">
        <f>IF($B62="","",Campionato!$D$2&amp;" "&amp;Campionato!$D$6)</f>
        <v/>
      </c>
      <c r="I62" s="68" t="inlineStr"/>
    </row>
    <row r="63">
      <c r="A63" s="68">
        <f>IF($B63="","","BEGIN:VEVENT
DTSTAMP:"&amp;TEXT(NOW(),"yyyymmdd")&amp;"T000001Z
UID:evt62@ClaudeCoworkBaskin
DTSTART;TZID=Europe/Rome:"&amp;TEXT($C63,"yyyymmdd")&amp;"T"&amp;TEXT($D63,"hhmmss")&amp;"
DTEND;TZID=Europe/Rome:"&amp;TEXT($E63,"yyyymmdd")&amp;"T"&amp;TEXT($F63,"hhmmss")&amp;"
SUMMARY:"&amp;$B63&amp;"
LOCATION:"&amp;$G63&amp;"
DESCRIPTION:"&amp;$H63&amp;"
END:VEVENT")</f>
        <v/>
      </c>
      <c r="B63" s="68">
        <f>IF('Calendario B'!$B64="","",'Calendario B'!$B64&amp;" vs "&amp;'Calendario B'!$D64&amp;" "&amp;'Calendario B'!$AC64)</f>
        <v/>
      </c>
      <c r="C63" s="222">
        <f>IF($B63="","",DATE(YEAR('Calendario B'!$F64),MONTH('Calendario B'!$F64),DAY('Calendario B'!$F64)))</f>
        <v/>
      </c>
      <c r="D63" s="223">
        <f>IF($B63="","",TIME(HOUR('Calendario B'!$F64),MINUTE('Calendario B'!$F64),0))</f>
        <v/>
      </c>
      <c r="E63" s="222">
        <f>IF($B63="","",DATE(YEAR('Calendario B'!$F64),MONTH('Calendario B'!$F64),DAY('Calendario B'!$F64)))</f>
        <v/>
      </c>
      <c r="F63" s="223">
        <f>IF($B63="","",TIME(HOUR('Calendario B'!$F64)+2,MINUTE('Calendario B'!$F64),0))</f>
        <v/>
      </c>
      <c r="G63" s="68">
        <f>IF($B63="","",'Calendario B'!$B65)</f>
        <v/>
      </c>
      <c r="H63" s="68">
        <f>IF($B63="","",Campionato!$D$2&amp;" "&amp;Campionato!$D$6)</f>
        <v/>
      </c>
      <c r="I63" s="68" t="inlineStr"/>
    </row>
    <row r="64">
      <c r="A64" s="68">
        <f>IF($B64="","","BEGIN:VEVENT
DTSTAMP:"&amp;TEXT(NOW(),"yyyymmdd")&amp;"T000001Z
UID:evt63@ClaudeCoworkBaskin
DTSTART;TZID=Europe/Rome:"&amp;TEXT($C64,"yyyymmdd")&amp;"T"&amp;TEXT($D64,"hhmmss")&amp;"
DTEND;TZID=Europe/Rome:"&amp;TEXT($E64,"yyyymmdd")&amp;"T"&amp;TEXT($F64,"hhmmss")&amp;"
SUMMARY:"&amp;$B64&amp;"
LOCATION:"&amp;$G64&amp;"
DESCRIPTION:"&amp;$H64&amp;"
END:VEVENT")</f>
        <v/>
      </c>
      <c r="B64" s="68">
        <f>IF('Calendario B'!$B67="","",'Calendario B'!$B67&amp;" vs "&amp;'Calendario B'!$D67&amp;" "&amp;'Calendario B'!$AC67)</f>
        <v/>
      </c>
      <c r="C64" s="222">
        <f>IF($B64="","",DATE(YEAR('Calendario B'!$F67),MONTH('Calendario B'!$F67),DAY('Calendario B'!$F67)))</f>
        <v/>
      </c>
      <c r="D64" s="223">
        <f>IF($B64="","",TIME(HOUR('Calendario B'!$F67),MINUTE('Calendario B'!$F67),0))</f>
        <v/>
      </c>
      <c r="E64" s="222">
        <f>IF($B64="","",DATE(YEAR('Calendario B'!$F67),MONTH('Calendario B'!$F67),DAY('Calendario B'!$F67)))</f>
        <v/>
      </c>
      <c r="F64" s="223">
        <f>IF($B64="","",TIME(HOUR('Calendario B'!$F67)+2,MINUTE('Calendario B'!$F67),0))</f>
        <v/>
      </c>
      <c r="G64" s="68">
        <f>IF($B64="","",'Calendario B'!$B68)</f>
        <v/>
      </c>
      <c r="H64" s="68">
        <f>IF($B64="","",Campionato!$D$2&amp;" "&amp;Campionato!$D$6)</f>
        <v/>
      </c>
      <c r="I64" s="68" t="inlineStr"/>
    </row>
    <row r="65">
      <c r="A65" s="68">
        <f>IF($B65="","","BEGIN:VEVENT
DTSTAMP:"&amp;TEXT(NOW(),"yyyymmdd")&amp;"T000001Z
UID:evt64@ClaudeCoworkBaskin
DTSTART;TZID=Europe/Rome:"&amp;TEXT($C65,"yyyymmdd")&amp;"T"&amp;TEXT($D65,"hhmmss")&amp;"
DTEND;TZID=Europe/Rome:"&amp;TEXT($E65,"yyyymmdd")&amp;"T"&amp;TEXT($F65,"hhmmss")&amp;"
SUMMARY:"&amp;$B65&amp;"
LOCATION:"&amp;$G65&amp;"
DESCRIPTION:"&amp;$H65&amp;"
END:VEVENT")</f>
        <v/>
      </c>
      <c r="B65" s="68">
        <f>IF('Calendario B'!$B70="","",'Calendario B'!$B70&amp;" vs "&amp;'Calendario B'!$D70&amp;" "&amp;'Calendario B'!$AC70)</f>
        <v/>
      </c>
      <c r="C65" s="222">
        <f>IF($B65="","",DATE(YEAR('Calendario B'!$F70),MONTH('Calendario B'!$F70),DAY('Calendario B'!$F70)))</f>
        <v/>
      </c>
      <c r="D65" s="223">
        <f>IF($B65="","",TIME(HOUR('Calendario B'!$F70),MINUTE('Calendario B'!$F70),0))</f>
        <v/>
      </c>
      <c r="E65" s="222">
        <f>IF($B65="","",DATE(YEAR('Calendario B'!$F70),MONTH('Calendario B'!$F70),DAY('Calendario B'!$F70)))</f>
        <v/>
      </c>
      <c r="F65" s="223">
        <f>IF($B65="","",TIME(HOUR('Calendario B'!$F70)+2,MINUTE('Calendario B'!$F70),0))</f>
        <v/>
      </c>
      <c r="G65" s="68">
        <f>IF($B65="","",'Calendario B'!$B71)</f>
        <v/>
      </c>
      <c r="H65" s="68">
        <f>IF($B65="","",Campionato!$D$2&amp;" "&amp;Campionato!$D$6)</f>
        <v/>
      </c>
      <c r="I65" s="68" t="inlineStr"/>
    </row>
    <row r="66">
      <c r="A66" s="68">
        <f>IF($B66="","","BEGIN:VEVENT
DTSTAMP:"&amp;TEXT(NOW(),"yyyymmdd")&amp;"T000001Z
UID:evt65@ClaudeCoworkBaskin
DTSTART;TZID=Europe/Rome:"&amp;TEXT($C66,"yyyymmdd")&amp;"T"&amp;TEXT($D66,"hhmmss")&amp;"
DTEND;TZID=Europe/Rome:"&amp;TEXT($E66,"yyyymmdd")&amp;"T"&amp;TEXT($F66,"hhmmss")&amp;"
SUMMARY:"&amp;$B66&amp;"
LOCATION:"&amp;$G66&amp;"
DESCRIPTION:"&amp;$H66&amp;"
END:VEVENT")</f>
        <v/>
      </c>
      <c r="B66" s="68">
        <f>IF('Calendario B'!$B73="","",'Calendario B'!$B73&amp;" vs "&amp;'Calendario B'!$D73&amp;" "&amp;'Calendario B'!$AC73)</f>
        <v/>
      </c>
      <c r="C66" s="222">
        <f>IF($B66="","",DATE(YEAR('Calendario B'!$F73),MONTH('Calendario B'!$F73),DAY('Calendario B'!$F73)))</f>
        <v/>
      </c>
      <c r="D66" s="223">
        <f>IF($B66="","",TIME(HOUR('Calendario B'!$F73),MINUTE('Calendario B'!$F73),0))</f>
        <v/>
      </c>
      <c r="E66" s="222">
        <f>IF($B66="","",DATE(YEAR('Calendario B'!$F73),MONTH('Calendario B'!$F73),DAY('Calendario B'!$F73)))</f>
        <v/>
      </c>
      <c r="F66" s="223">
        <f>IF($B66="","",TIME(HOUR('Calendario B'!$F73)+2,MINUTE('Calendario B'!$F73),0))</f>
        <v/>
      </c>
      <c r="G66" s="68">
        <f>IF($B66="","",'Calendario B'!$B74)</f>
        <v/>
      </c>
      <c r="H66" s="68">
        <f>IF($B66="","",Campionato!$D$2&amp;" "&amp;Campionato!$D$6)</f>
        <v/>
      </c>
      <c r="I66" s="68" t="inlineStr"/>
    </row>
    <row r="67">
      <c r="A67" s="68">
        <f>IF($B67="","","BEGIN:VEVENT
DTSTAMP:"&amp;TEXT(NOW(),"yyyymmdd")&amp;"T000001Z
UID:evt66@ClaudeCoworkBaskin
DTSTART;TZID=Europe/Rome:"&amp;TEXT($C67,"yyyymmdd")&amp;"T"&amp;TEXT($D67,"hhmmss")&amp;"
DTEND;TZID=Europe/Rome:"&amp;TEXT($E67,"yyyymmdd")&amp;"T"&amp;TEXT($F67,"hhmmss")&amp;"
SUMMARY:"&amp;$B67&amp;"
LOCATION:"&amp;$G67&amp;"
DESCRIPTION:"&amp;$H67&amp;"
END:VEVENT")</f>
        <v/>
      </c>
      <c r="B67" s="68">
        <f>IF('Calendario B'!$B78="","",'Calendario B'!$B78&amp;" vs "&amp;'Calendario B'!$D78&amp;" "&amp;'Calendario B'!$AC78)</f>
        <v/>
      </c>
      <c r="C67" s="222">
        <f>IF($B67="","",DATE(YEAR('Calendario B'!$F78),MONTH('Calendario B'!$F78),DAY('Calendario B'!$F78)))</f>
        <v/>
      </c>
      <c r="D67" s="223">
        <f>IF($B67="","",TIME(HOUR('Calendario B'!$F78),MINUTE('Calendario B'!$F78),0))</f>
        <v/>
      </c>
      <c r="E67" s="222">
        <f>IF($B67="","",DATE(YEAR('Calendario B'!$F78),MONTH('Calendario B'!$F78),DAY('Calendario B'!$F78)))</f>
        <v/>
      </c>
      <c r="F67" s="223">
        <f>IF($B67="","",TIME(HOUR('Calendario B'!$F78)+2,MINUTE('Calendario B'!$F78),0))</f>
        <v/>
      </c>
      <c r="G67" s="68">
        <f>IF($B67="","",'Calendario B'!$B79)</f>
        <v/>
      </c>
      <c r="H67" s="68">
        <f>IF($B67="","",Campionato!$D$2&amp;" "&amp;Campionato!$D$6)</f>
        <v/>
      </c>
      <c r="I67" s="68" t="inlineStr"/>
    </row>
    <row r="68">
      <c r="A68" s="68">
        <f>IF($B68="","","BEGIN:VEVENT
DTSTAMP:"&amp;TEXT(NOW(),"yyyymmdd")&amp;"T000001Z
UID:evt67@ClaudeCoworkBaskin
DTSTART;TZID=Europe/Rome:"&amp;TEXT($C68,"yyyymmdd")&amp;"T"&amp;TEXT($D68,"hhmmss")&amp;"
DTEND;TZID=Europe/Rome:"&amp;TEXT($E68,"yyyymmdd")&amp;"T"&amp;TEXT($F68,"hhmmss")&amp;"
SUMMARY:"&amp;$B68&amp;"
LOCATION:"&amp;$G68&amp;"
DESCRIPTION:"&amp;$H68&amp;"
END:VEVENT")</f>
        <v/>
      </c>
      <c r="B68" s="68">
        <f>IF('Calendario B'!$B81="","",'Calendario B'!$B81&amp;" vs "&amp;'Calendario B'!$D81&amp;" "&amp;'Calendario B'!$AC81)</f>
        <v/>
      </c>
      <c r="C68" s="222">
        <f>IF($B68="","",DATE(YEAR('Calendario B'!$F81),MONTH('Calendario B'!$F81),DAY('Calendario B'!$F81)))</f>
        <v/>
      </c>
      <c r="D68" s="223">
        <f>IF($B68="","",TIME(HOUR('Calendario B'!$F81),MINUTE('Calendario B'!$F81),0))</f>
        <v/>
      </c>
      <c r="E68" s="222">
        <f>IF($B68="","",DATE(YEAR('Calendario B'!$F81),MONTH('Calendario B'!$F81),DAY('Calendario B'!$F81)))</f>
        <v/>
      </c>
      <c r="F68" s="223">
        <f>IF($B68="","",TIME(HOUR('Calendario B'!$F81)+2,MINUTE('Calendario B'!$F81),0))</f>
        <v/>
      </c>
      <c r="G68" s="68">
        <f>IF($B68="","",'Calendario B'!$B82)</f>
        <v/>
      </c>
      <c r="H68" s="68">
        <f>IF($B68="","",Campionato!$D$2&amp;" "&amp;Campionato!$D$6)</f>
        <v/>
      </c>
      <c r="I68" s="68" t="inlineStr"/>
    </row>
    <row r="69">
      <c r="A69" s="68">
        <f>IF($B69="","","BEGIN:VEVENT
DTSTAMP:"&amp;TEXT(NOW(),"yyyymmdd")&amp;"T000001Z
UID:evt68@ClaudeCoworkBaskin
DTSTART;TZID=Europe/Rome:"&amp;TEXT($C69,"yyyymmdd")&amp;"T"&amp;TEXT($D69,"hhmmss")&amp;"
DTEND;TZID=Europe/Rome:"&amp;TEXT($E69,"yyyymmdd")&amp;"T"&amp;TEXT($F69,"hhmmss")&amp;"
SUMMARY:"&amp;$B69&amp;"
LOCATION:"&amp;$G69&amp;"
DESCRIPTION:"&amp;$H69&amp;"
END:VEVENT")</f>
        <v/>
      </c>
      <c r="B69" s="68">
        <f>IF('Calendario B'!$B84="","",'Calendario B'!$B84&amp;" vs "&amp;'Calendario B'!$D84&amp;" "&amp;'Calendario B'!$AC84)</f>
        <v/>
      </c>
      <c r="C69" s="222">
        <f>IF($B69="","",DATE(YEAR('Calendario B'!$F84),MONTH('Calendario B'!$F84),DAY('Calendario B'!$F84)))</f>
        <v/>
      </c>
      <c r="D69" s="223">
        <f>IF($B69="","",TIME(HOUR('Calendario B'!$F84),MINUTE('Calendario B'!$F84),0))</f>
        <v/>
      </c>
      <c r="E69" s="222">
        <f>IF($B69="","",DATE(YEAR('Calendario B'!$F84),MONTH('Calendario B'!$F84),DAY('Calendario B'!$F84)))</f>
        <v/>
      </c>
      <c r="F69" s="223">
        <f>IF($B69="","",TIME(HOUR('Calendario B'!$F84)+2,MINUTE('Calendario B'!$F84),0))</f>
        <v/>
      </c>
      <c r="G69" s="68">
        <f>IF($B69="","",'Calendario B'!$B85)</f>
        <v/>
      </c>
      <c r="H69" s="68">
        <f>IF($B69="","",Campionato!$D$2&amp;" "&amp;Campionato!$D$6)</f>
        <v/>
      </c>
      <c r="I69" s="68" t="inlineStr"/>
    </row>
    <row r="70">
      <c r="A70" s="68">
        <f>IF($B70="","","BEGIN:VEVENT
DTSTAMP:"&amp;TEXT(NOW(),"yyyymmdd")&amp;"T000001Z
UID:evt69@ClaudeCoworkBaskin
DTSTART;TZID=Europe/Rome:"&amp;TEXT($C70,"yyyymmdd")&amp;"T"&amp;TEXT($D70,"hhmmss")&amp;"
DTEND;TZID=Europe/Rome:"&amp;TEXT($E70,"yyyymmdd")&amp;"T"&amp;TEXT($F70,"hhmmss")&amp;"
SUMMARY:"&amp;$B70&amp;"
LOCATION:"&amp;$G70&amp;"
DESCRIPTION:"&amp;$H70&amp;"
END:VEVENT")</f>
        <v/>
      </c>
      <c r="B70" s="68">
        <f>IF('Calendario B'!$B87="","",'Calendario B'!$B87&amp;" vs "&amp;'Calendario B'!$D87&amp;" "&amp;'Calendario B'!$AC87)</f>
        <v/>
      </c>
      <c r="C70" s="222">
        <f>IF($B70="","",DATE(YEAR('Calendario B'!$F87),MONTH('Calendario B'!$F87),DAY('Calendario B'!$F87)))</f>
        <v/>
      </c>
      <c r="D70" s="223">
        <f>IF($B70="","",TIME(HOUR('Calendario B'!$F87),MINUTE('Calendario B'!$F87),0))</f>
        <v/>
      </c>
      <c r="E70" s="222">
        <f>IF($B70="","",DATE(YEAR('Calendario B'!$F87),MONTH('Calendario B'!$F87),DAY('Calendario B'!$F87)))</f>
        <v/>
      </c>
      <c r="F70" s="223">
        <f>IF($B70="","",TIME(HOUR('Calendario B'!$F87)+2,MINUTE('Calendario B'!$F87),0))</f>
        <v/>
      </c>
      <c r="G70" s="68">
        <f>IF($B70="","",'Calendario B'!$B88)</f>
        <v/>
      </c>
      <c r="H70" s="68">
        <f>IF($B70="","",Campionato!$D$2&amp;" "&amp;Campionato!$D$6)</f>
        <v/>
      </c>
      <c r="I70" s="68" t="inlineStr"/>
    </row>
    <row r="71">
      <c r="A71" s="68">
        <f>IF($B71="","","BEGIN:VEVENT
DTSTAMP:"&amp;TEXT(NOW(),"yyyymmdd")&amp;"T000001Z
UID:evt70@ClaudeCoworkBaskin
DTSTART;TZID=Europe/Rome:"&amp;TEXT($C71,"yyyymmdd")&amp;"T"&amp;TEXT($D71,"hhmmss")&amp;"
DTEND;TZID=Europe/Rome:"&amp;TEXT($E71,"yyyymmdd")&amp;"T"&amp;TEXT($F71,"hhmmss")&amp;"
SUMMARY:"&amp;$B71&amp;"
LOCATION:"&amp;$G71&amp;"
DESCRIPTION:"&amp;$H71&amp;"
END:VEVENT")</f>
        <v/>
      </c>
      <c r="B71" s="68">
        <f>IF('Calendario B'!$B90="","",'Calendario B'!$B90&amp;" vs "&amp;'Calendario B'!$D90&amp;" "&amp;'Calendario B'!$AC90)</f>
        <v/>
      </c>
      <c r="C71" s="222">
        <f>IF($B71="","",DATE(YEAR('Calendario B'!$F90),MONTH('Calendario B'!$F90),DAY('Calendario B'!$F90)))</f>
        <v/>
      </c>
      <c r="D71" s="223">
        <f>IF($B71="","",TIME(HOUR('Calendario B'!$F90),MINUTE('Calendario B'!$F90),0))</f>
        <v/>
      </c>
      <c r="E71" s="222">
        <f>IF($B71="","",DATE(YEAR('Calendario B'!$F90),MONTH('Calendario B'!$F90),DAY('Calendario B'!$F90)))</f>
        <v/>
      </c>
      <c r="F71" s="223">
        <f>IF($B71="","",TIME(HOUR('Calendario B'!$F90)+2,MINUTE('Calendario B'!$F90),0))</f>
        <v/>
      </c>
      <c r="G71" s="68">
        <f>IF($B71="","",'Calendario B'!$B91)</f>
        <v/>
      </c>
      <c r="H71" s="68">
        <f>IF($B71="","",Campionato!$D$2&amp;" "&amp;Campionato!$D$6)</f>
        <v/>
      </c>
      <c r="I71" s="68" t="inlineStr"/>
    </row>
    <row r="72">
      <c r="A72" s="68">
        <f>IF($B72="","","BEGIN:VEVENT
DTSTAMP:"&amp;TEXT(NOW(),"yyyymmdd")&amp;"T000001Z
UID:evt71@ClaudeCoworkBaskin
DTSTART;TZID=Europe/Rome:"&amp;TEXT($C72,"yyyymmdd")&amp;"T"&amp;TEXT($D72,"hhmmss")&amp;"
DTEND;TZID=Europe/Rome:"&amp;TEXT($E72,"yyyymmdd")&amp;"T"&amp;TEXT($F72,"hhmmss")&amp;"
SUMMARY:"&amp;$B72&amp;"
LOCATION:"&amp;$G72&amp;"
DESCRIPTION:"&amp;$H72&amp;"
END:VEVENT")</f>
        <v/>
      </c>
      <c r="B72" s="68">
        <f>IF('Calendario B'!$B95="","",'Calendario B'!$B95&amp;" vs "&amp;'Calendario B'!$D95&amp;" "&amp;'Calendario B'!$AC95)</f>
        <v/>
      </c>
      <c r="C72" s="222">
        <f>IF($B72="","",DATE(YEAR('Calendario B'!$F95),MONTH('Calendario B'!$F95),DAY('Calendario B'!$F95)))</f>
        <v/>
      </c>
      <c r="D72" s="223">
        <f>IF($B72="","",TIME(HOUR('Calendario B'!$F95),MINUTE('Calendario B'!$F95),0))</f>
        <v/>
      </c>
      <c r="E72" s="222">
        <f>IF($B72="","",DATE(YEAR('Calendario B'!$F95),MONTH('Calendario B'!$F95),DAY('Calendario B'!$F95)))</f>
        <v/>
      </c>
      <c r="F72" s="223">
        <f>IF($B72="","",TIME(HOUR('Calendario B'!$F95)+2,MINUTE('Calendario B'!$F95),0))</f>
        <v/>
      </c>
      <c r="G72" s="68">
        <f>IF($B72="","",'Calendario B'!$B96)</f>
        <v/>
      </c>
      <c r="H72" s="68">
        <f>IF($B72="","",Campionato!$D$2&amp;" "&amp;Campionato!$D$6)</f>
        <v/>
      </c>
      <c r="I72" s="68" t="inlineStr"/>
    </row>
    <row r="73">
      <c r="A73" s="68">
        <f>IF($B73="","","BEGIN:VEVENT
DTSTAMP:"&amp;TEXT(NOW(),"yyyymmdd")&amp;"T000001Z
UID:evt72@ClaudeCoworkBaskin
DTSTART;TZID=Europe/Rome:"&amp;TEXT($C73,"yyyymmdd")&amp;"T"&amp;TEXT($D73,"hhmmss")&amp;"
DTEND;TZID=Europe/Rome:"&amp;TEXT($E73,"yyyymmdd")&amp;"T"&amp;TEXT($F73,"hhmmss")&amp;"
SUMMARY:"&amp;$B73&amp;"
LOCATION:"&amp;$G73&amp;"
DESCRIPTION:"&amp;$H73&amp;"
END:VEVENT")</f>
        <v/>
      </c>
      <c r="B73" s="68">
        <f>IF('Calendario B'!$B98="","",'Calendario B'!$B98&amp;" vs "&amp;'Calendario B'!$D98&amp;" "&amp;'Calendario B'!$AC98)</f>
        <v/>
      </c>
      <c r="C73" s="222">
        <f>IF($B73="","",DATE(YEAR('Calendario B'!$F98),MONTH('Calendario B'!$F98),DAY('Calendario B'!$F98)))</f>
        <v/>
      </c>
      <c r="D73" s="223">
        <f>IF($B73="","",TIME(HOUR('Calendario B'!$F98),MINUTE('Calendario B'!$F98),0))</f>
        <v/>
      </c>
      <c r="E73" s="222">
        <f>IF($B73="","",DATE(YEAR('Calendario B'!$F98),MONTH('Calendario B'!$F98),DAY('Calendario B'!$F98)))</f>
        <v/>
      </c>
      <c r="F73" s="223">
        <f>IF($B73="","",TIME(HOUR('Calendario B'!$F98)+2,MINUTE('Calendario B'!$F98),0))</f>
        <v/>
      </c>
      <c r="G73" s="68">
        <f>IF($B73="","",'Calendario B'!$B99)</f>
        <v/>
      </c>
      <c r="H73" s="68">
        <f>IF($B73="","",Campionato!$D$2&amp;" "&amp;Campionato!$D$6)</f>
        <v/>
      </c>
      <c r="I73" s="68" t="inlineStr"/>
    </row>
    <row r="74">
      <c r="A74" s="68">
        <f>IF($B74="","","BEGIN:VEVENT
DTSTAMP:"&amp;TEXT(NOW(),"yyyymmdd")&amp;"T000001Z
UID:evt73@ClaudeCoworkBaskin
DTSTART;TZID=Europe/Rome:"&amp;TEXT($C74,"yyyymmdd")&amp;"T"&amp;TEXT($D74,"hhmmss")&amp;"
DTEND;TZID=Europe/Rome:"&amp;TEXT($E74,"yyyymmdd")&amp;"T"&amp;TEXT($F74,"hhmmss")&amp;"
SUMMARY:"&amp;$B74&amp;"
LOCATION:"&amp;$G74&amp;"
DESCRIPTION:"&amp;$H74&amp;"
END:VEVENT")</f>
        <v/>
      </c>
      <c r="B74" s="68">
        <f>IF('Calendario B'!$B101="","",'Calendario B'!$B101&amp;" vs "&amp;'Calendario B'!$D101&amp;" "&amp;'Calendario B'!$AC101)</f>
        <v/>
      </c>
      <c r="C74" s="222">
        <f>IF($B74="","",DATE(YEAR('Calendario B'!$F101),MONTH('Calendario B'!$F101),DAY('Calendario B'!$F101)))</f>
        <v/>
      </c>
      <c r="D74" s="223">
        <f>IF($B74="","",TIME(HOUR('Calendario B'!$F101),MINUTE('Calendario B'!$F101),0))</f>
        <v/>
      </c>
      <c r="E74" s="222">
        <f>IF($B74="","",DATE(YEAR('Calendario B'!$F101),MONTH('Calendario B'!$F101),DAY('Calendario B'!$F101)))</f>
        <v/>
      </c>
      <c r="F74" s="223">
        <f>IF($B74="","",TIME(HOUR('Calendario B'!$F101)+2,MINUTE('Calendario B'!$F101),0))</f>
        <v/>
      </c>
      <c r="G74" s="68">
        <f>IF($B74="","",'Calendario B'!$B102)</f>
        <v/>
      </c>
      <c r="H74" s="68">
        <f>IF($B74="","",Campionato!$D$2&amp;" "&amp;Campionato!$D$6)</f>
        <v/>
      </c>
      <c r="I74" s="68" t="inlineStr"/>
    </row>
    <row r="75">
      <c r="A75" s="68">
        <f>IF($B75="","","BEGIN:VEVENT
DTSTAMP:"&amp;TEXT(NOW(),"yyyymmdd")&amp;"T000001Z
UID:evt74@ClaudeCoworkBaskin
DTSTART;TZID=Europe/Rome:"&amp;TEXT($C75,"yyyymmdd")&amp;"T"&amp;TEXT($D75,"hhmmss")&amp;"
DTEND;TZID=Europe/Rome:"&amp;TEXT($E75,"yyyymmdd")&amp;"T"&amp;TEXT($F75,"hhmmss")&amp;"
SUMMARY:"&amp;$B75&amp;"
LOCATION:"&amp;$G75&amp;"
DESCRIPTION:"&amp;$H75&amp;"
END:VEVENT")</f>
        <v/>
      </c>
      <c r="B75" s="68">
        <f>IF('Calendario B'!$B104="","",'Calendario B'!$B104&amp;" vs "&amp;'Calendario B'!$D104&amp;" "&amp;'Calendario B'!$AC104)</f>
        <v/>
      </c>
      <c r="C75" s="222">
        <f>IF($B75="","",DATE(YEAR('Calendario B'!$F104),MONTH('Calendario B'!$F104),DAY('Calendario B'!$F104)))</f>
        <v/>
      </c>
      <c r="D75" s="223">
        <f>IF($B75="","",TIME(HOUR('Calendario B'!$F104),MINUTE('Calendario B'!$F104),0))</f>
        <v/>
      </c>
      <c r="E75" s="222">
        <f>IF($B75="","",DATE(YEAR('Calendario B'!$F104),MONTH('Calendario B'!$F104),DAY('Calendario B'!$F104)))</f>
        <v/>
      </c>
      <c r="F75" s="223">
        <f>IF($B75="","",TIME(HOUR('Calendario B'!$F104)+2,MINUTE('Calendario B'!$F104),0))</f>
        <v/>
      </c>
      <c r="G75" s="68">
        <f>IF($B75="","",'Calendario B'!$B105)</f>
        <v/>
      </c>
      <c r="H75" s="68">
        <f>IF($B75="","",Campionato!$D$2&amp;" "&amp;Campionato!$D$6)</f>
        <v/>
      </c>
      <c r="I75" s="68" t="inlineStr"/>
    </row>
    <row r="76">
      <c r="A76" s="68">
        <f>IF($B76="","","BEGIN:VEVENT
DTSTAMP:"&amp;TEXT(NOW(),"yyyymmdd")&amp;"T000001Z
UID:evt75@ClaudeCoworkBaskin
DTSTART;TZID=Europe/Rome:"&amp;TEXT($C76,"yyyymmdd")&amp;"T"&amp;TEXT($D76,"hhmmss")&amp;"
DTEND;TZID=Europe/Rome:"&amp;TEXT($E76,"yyyymmdd")&amp;"T"&amp;TEXT($F76,"hhmmss")&amp;"
SUMMARY:"&amp;$B76&amp;"
LOCATION:"&amp;$G76&amp;"
DESCRIPTION:"&amp;$H76&amp;"
END:VEVENT")</f>
        <v/>
      </c>
      <c r="B76" s="68">
        <f>IF('Calendario B'!$B107="","",'Calendario B'!$B107&amp;" vs "&amp;'Calendario B'!$D107&amp;" "&amp;'Calendario B'!$AC107)</f>
        <v/>
      </c>
      <c r="C76" s="222">
        <f>IF($B76="","",DATE(YEAR('Calendario B'!$F107),MONTH('Calendario B'!$F107),DAY('Calendario B'!$F107)))</f>
        <v/>
      </c>
      <c r="D76" s="223">
        <f>IF($B76="","",TIME(HOUR('Calendario B'!$F107),MINUTE('Calendario B'!$F107),0))</f>
        <v/>
      </c>
      <c r="E76" s="222">
        <f>IF($B76="","",DATE(YEAR('Calendario B'!$F107),MONTH('Calendario B'!$F107),DAY('Calendario B'!$F107)))</f>
        <v/>
      </c>
      <c r="F76" s="223">
        <f>IF($B76="","",TIME(HOUR('Calendario B'!$F107)+2,MINUTE('Calendario B'!$F107),0))</f>
        <v/>
      </c>
      <c r="G76" s="68">
        <f>IF($B76="","",'Calendario B'!$B108)</f>
        <v/>
      </c>
      <c r="H76" s="68">
        <f>IF($B76="","",Campionato!$D$2&amp;" "&amp;Campionato!$D$6)</f>
        <v/>
      </c>
      <c r="I76" s="68" t="inlineStr"/>
    </row>
    <row r="77">
      <c r="A77" s="68">
        <f>IF($B77="","","BEGIN:VEVENT
DTSTAMP:"&amp;TEXT(NOW(),"yyyymmdd")&amp;"T000001Z
UID:evt76@ClaudeCoworkBaskin
DTSTART;TZID=Europe/Rome:"&amp;TEXT($C77,"yyyymmdd")&amp;"T"&amp;TEXT($D77,"hhmmss")&amp;"
DTEND;TZID=Europe/Rome:"&amp;TEXT($E77,"yyyymmdd")&amp;"T"&amp;TEXT($F77,"hhmmss")&amp;"
SUMMARY:"&amp;$B77&amp;"
LOCATION:"&amp;$G77&amp;"
DESCRIPTION:"&amp;$H77&amp;"
END:VEVENT")</f>
        <v/>
      </c>
      <c r="B77" s="68">
        <f>IF('Calendario B'!$B112="","",'Calendario B'!$B112&amp;" vs "&amp;'Calendario B'!$D112&amp;" "&amp;'Calendario B'!$AC112)</f>
        <v/>
      </c>
      <c r="C77" s="222">
        <f>IF($B77="","",DATE(YEAR('Calendario B'!$F112),MONTH('Calendario B'!$F112),DAY('Calendario B'!$F112)))</f>
        <v/>
      </c>
      <c r="D77" s="223">
        <f>IF($B77="","",TIME(HOUR('Calendario B'!$F112),MINUTE('Calendario B'!$F112),0))</f>
        <v/>
      </c>
      <c r="E77" s="222">
        <f>IF($B77="","",DATE(YEAR('Calendario B'!$F112),MONTH('Calendario B'!$F112),DAY('Calendario B'!$F112)))</f>
        <v/>
      </c>
      <c r="F77" s="223">
        <f>IF($B77="","",TIME(HOUR('Calendario B'!$F112)+2,MINUTE('Calendario B'!$F112),0))</f>
        <v/>
      </c>
      <c r="G77" s="68">
        <f>IF($B77="","",'Calendario B'!$B113)</f>
        <v/>
      </c>
      <c r="H77" s="68">
        <f>IF($B77="","",Campionato!$D$2&amp;" "&amp;Campionato!$D$6)</f>
        <v/>
      </c>
      <c r="I77" s="68" t="inlineStr"/>
    </row>
    <row r="78">
      <c r="A78" s="68">
        <f>IF($B78="","","BEGIN:VEVENT
DTSTAMP:"&amp;TEXT(NOW(),"yyyymmdd")&amp;"T000001Z
UID:evt77@ClaudeCoworkBaskin
DTSTART;TZID=Europe/Rome:"&amp;TEXT($C78,"yyyymmdd")&amp;"T"&amp;TEXT($D78,"hhmmss")&amp;"
DTEND;TZID=Europe/Rome:"&amp;TEXT($E78,"yyyymmdd")&amp;"T"&amp;TEXT($F78,"hhmmss")&amp;"
SUMMARY:"&amp;$B78&amp;"
LOCATION:"&amp;$G78&amp;"
DESCRIPTION:"&amp;$H78&amp;"
END:VEVENT")</f>
        <v/>
      </c>
      <c r="B78" s="68">
        <f>IF('Calendario B'!$B115="","",'Calendario B'!$B115&amp;" vs "&amp;'Calendario B'!$D115&amp;" "&amp;'Calendario B'!$AC115)</f>
        <v/>
      </c>
      <c r="C78" s="222">
        <f>IF($B78="","",DATE(YEAR('Calendario B'!$F115),MONTH('Calendario B'!$F115),DAY('Calendario B'!$F115)))</f>
        <v/>
      </c>
      <c r="D78" s="223">
        <f>IF($B78="","",TIME(HOUR('Calendario B'!$F115),MINUTE('Calendario B'!$F115),0))</f>
        <v/>
      </c>
      <c r="E78" s="222">
        <f>IF($B78="","",DATE(YEAR('Calendario B'!$F115),MONTH('Calendario B'!$F115),DAY('Calendario B'!$F115)))</f>
        <v/>
      </c>
      <c r="F78" s="223">
        <f>IF($B78="","",TIME(HOUR('Calendario B'!$F115)+2,MINUTE('Calendario B'!$F115),0))</f>
        <v/>
      </c>
      <c r="G78" s="68">
        <f>IF($B78="","",'Calendario B'!$B116)</f>
        <v/>
      </c>
      <c r="H78" s="68">
        <f>IF($B78="","",Campionato!$D$2&amp;" "&amp;Campionato!$D$6)</f>
        <v/>
      </c>
      <c r="I78" s="68" t="inlineStr"/>
    </row>
    <row r="79">
      <c r="A79" s="68">
        <f>IF($B79="","","BEGIN:VEVENT
DTSTAMP:"&amp;TEXT(NOW(),"yyyymmdd")&amp;"T000001Z
UID:evt78@ClaudeCoworkBaskin
DTSTART;TZID=Europe/Rome:"&amp;TEXT($C79,"yyyymmdd")&amp;"T"&amp;TEXT($D79,"hhmmss")&amp;"
DTEND;TZID=Europe/Rome:"&amp;TEXT($E79,"yyyymmdd")&amp;"T"&amp;TEXT($F79,"hhmmss")&amp;"
SUMMARY:"&amp;$B79&amp;"
LOCATION:"&amp;$G79&amp;"
DESCRIPTION:"&amp;$H79&amp;"
END:VEVENT")</f>
        <v/>
      </c>
      <c r="B79" s="68">
        <f>IF('Calendario B'!$B118="","",'Calendario B'!$B118&amp;" vs "&amp;'Calendario B'!$D118&amp;" "&amp;'Calendario B'!$AC118)</f>
        <v/>
      </c>
      <c r="C79" s="222">
        <f>IF($B79="","",DATE(YEAR('Calendario B'!$F118),MONTH('Calendario B'!$F118),DAY('Calendario B'!$F118)))</f>
        <v/>
      </c>
      <c r="D79" s="223">
        <f>IF($B79="","",TIME(HOUR('Calendario B'!$F118),MINUTE('Calendario B'!$F118),0))</f>
        <v/>
      </c>
      <c r="E79" s="222">
        <f>IF($B79="","",DATE(YEAR('Calendario B'!$F118),MONTH('Calendario B'!$F118),DAY('Calendario B'!$F118)))</f>
        <v/>
      </c>
      <c r="F79" s="223">
        <f>IF($B79="","",TIME(HOUR('Calendario B'!$F118)+2,MINUTE('Calendario B'!$F118),0))</f>
        <v/>
      </c>
      <c r="G79" s="68">
        <f>IF($B79="","",'Calendario B'!$B119)</f>
        <v/>
      </c>
      <c r="H79" s="68">
        <f>IF($B79="","",Campionato!$D$2&amp;" "&amp;Campionato!$D$6)</f>
        <v/>
      </c>
      <c r="I79" s="68" t="inlineStr"/>
    </row>
    <row r="80">
      <c r="A80" s="68">
        <f>IF($B80="","","BEGIN:VEVENT
DTSTAMP:"&amp;TEXT(NOW(),"yyyymmdd")&amp;"T000001Z
UID:evt79@ClaudeCoworkBaskin
DTSTART;TZID=Europe/Rome:"&amp;TEXT($C80,"yyyymmdd")&amp;"T"&amp;TEXT($D80,"hhmmss")&amp;"
DTEND;TZID=Europe/Rome:"&amp;TEXT($E80,"yyyymmdd")&amp;"T"&amp;TEXT($F80,"hhmmss")&amp;"
SUMMARY:"&amp;$B80&amp;"
LOCATION:"&amp;$G80&amp;"
DESCRIPTION:"&amp;$H80&amp;"
END:VEVENT")</f>
        <v/>
      </c>
      <c r="B80" s="68">
        <f>IF('Calendario B'!$B121="","",'Calendario B'!$B121&amp;" vs "&amp;'Calendario B'!$D121&amp;" "&amp;'Calendario B'!$AC121)</f>
        <v/>
      </c>
      <c r="C80" s="222">
        <f>IF($B80="","",DATE(YEAR('Calendario B'!$F121),MONTH('Calendario B'!$F121),DAY('Calendario B'!$F121)))</f>
        <v/>
      </c>
      <c r="D80" s="223">
        <f>IF($B80="","",TIME(HOUR('Calendario B'!$F121),MINUTE('Calendario B'!$F121),0))</f>
        <v/>
      </c>
      <c r="E80" s="222">
        <f>IF($B80="","",DATE(YEAR('Calendario B'!$F121),MONTH('Calendario B'!$F121),DAY('Calendario B'!$F121)))</f>
        <v/>
      </c>
      <c r="F80" s="223">
        <f>IF($B80="","",TIME(HOUR('Calendario B'!$F121)+2,MINUTE('Calendario B'!$F121),0))</f>
        <v/>
      </c>
      <c r="G80" s="68">
        <f>IF($B80="","",'Calendario B'!$B122)</f>
        <v/>
      </c>
      <c r="H80" s="68">
        <f>IF($B80="","",Campionato!$D$2&amp;" "&amp;Campionato!$D$6)</f>
        <v/>
      </c>
      <c r="I80" s="68" t="inlineStr"/>
    </row>
    <row r="81">
      <c r="A81" s="68">
        <f>IF($B81="","","BEGIN:VEVENT
DTSTAMP:"&amp;TEXT(NOW(),"yyyymmdd")&amp;"T000001Z
UID:evt80@ClaudeCoworkBaskin
DTSTART;TZID=Europe/Rome:"&amp;TEXT($C81,"yyyymmdd")&amp;"T"&amp;TEXT($D81,"hhmmss")&amp;"
DTEND;TZID=Europe/Rome:"&amp;TEXT($E81,"yyyymmdd")&amp;"T"&amp;TEXT($F81,"hhmmss")&amp;"
SUMMARY:"&amp;$B81&amp;"
LOCATION:"&amp;$G81&amp;"
DESCRIPTION:"&amp;$H81&amp;"
END:VEVENT")</f>
        <v/>
      </c>
      <c r="B81" s="68">
        <f>IF('Calendario B'!$B124="","",'Calendario B'!$B124&amp;" vs "&amp;'Calendario B'!$D124&amp;" "&amp;'Calendario B'!$AC124)</f>
        <v/>
      </c>
      <c r="C81" s="222">
        <f>IF($B81="","",DATE(YEAR('Calendario B'!$F124),MONTH('Calendario B'!$F124),DAY('Calendario B'!$F124)))</f>
        <v/>
      </c>
      <c r="D81" s="223">
        <f>IF($B81="","",TIME(HOUR('Calendario B'!$F124),MINUTE('Calendario B'!$F124),0))</f>
        <v/>
      </c>
      <c r="E81" s="222">
        <f>IF($B81="","",DATE(YEAR('Calendario B'!$F124),MONTH('Calendario B'!$F124),DAY('Calendario B'!$F124)))</f>
        <v/>
      </c>
      <c r="F81" s="223">
        <f>IF($B81="","",TIME(HOUR('Calendario B'!$F124)+2,MINUTE('Calendario B'!$F124),0))</f>
        <v/>
      </c>
      <c r="G81" s="68">
        <f>IF($B81="","",'Calendario B'!$B125)</f>
        <v/>
      </c>
      <c r="H81" s="68">
        <f>IF($B81="","",Campionato!$D$2&amp;" "&amp;Campionato!$D$6)</f>
        <v/>
      </c>
      <c r="I81" s="68" t="inlineStr"/>
    </row>
    <row r="82">
      <c r="A82" s="68">
        <f>IF($B82="","","BEGIN:VEVENT
DTSTAMP:"&amp;TEXT(NOW(),"yyyymmdd")&amp;"T000001Z
UID:evt81@ClaudeCoworkBaskin
DTSTART;TZID=Europe/Rome:"&amp;TEXT($C82,"yyyymmdd")&amp;"T"&amp;TEXT($D82,"hhmmss")&amp;"
DTEND;TZID=Europe/Rome:"&amp;TEXT($E82,"yyyymmdd")&amp;"T"&amp;TEXT($F82,"hhmmss")&amp;"
SUMMARY:"&amp;$B82&amp;"
LOCATION:"&amp;$G82&amp;"
DESCRIPTION:"&amp;$H82&amp;"
END:VEVENT")</f>
        <v/>
      </c>
      <c r="B82" s="68">
        <f>IF('Calendario B'!$B129="","",'Calendario B'!$B129&amp;" vs "&amp;'Calendario B'!$D129&amp;" "&amp;'Calendario B'!$AC129)</f>
        <v/>
      </c>
      <c r="C82" s="222">
        <f>IF($B82="","",DATE(YEAR('Calendario B'!$F129),MONTH('Calendario B'!$F129),DAY('Calendario B'!$F129)))</f>
        <v/>
      </c>
      <c r="D82" s="223">
        <f>IF($B82="","",TIME(HOUR('Calendario B'!$F129),MINUTE('Calendario B'!$F129),0))</f>
        <v/>
      </c>
      <c r="E82" s="222">
        <f>IF($B82="","",DATE(YEAR('Calendario B'!$F129),MONTH('Calendario B'!$F129),DAY('Calendario B'!$F129)))</f>
        <v/>
      </c>
      <c r="F82" s="223">
        <f>IF($B82="","",TIME(HOUR('Calendario B'!$F129)+2,MINUTE('Calendario B'!$F129),0))</f>
        <v/>
      </c>
      <c r="G82" s="68">
        <f>IF($B82="","",'Calendario B'!$B130)</f>
        <v/>
      </c>
      <c r="H82" s="68">
        <f>IF($B82="","",Campionato!$D$2&amp;" "&amp;Campionato!$D$6)</f>
        <v/>
      </c>
      <c r="I82" s="68" t="inlineStr"/>
    </row>
    <row r="83">
      <c r="A83" s="68">
        <f>IF($B83="","","BEGIN:VEVENT
DTSTAMP:"&amp;TEXT(NOW(),"yyyymmdd")&amp;"T000001Z
UID:evt82@ClaudeCoworkBaskin
DTSTART;TZID=Europe/Rome:"&amp;TEXT($C83,"yyyymmdd")&amp;"T"&amp;TEXT($D83,"hhmmss")&amp;"
DTEND;TZID=Europe/Rome:"&amp;TEXT($E83,"yyyymmdd")&amp;"T"&amp;TEXT($F83,"hhmmss")&amp;"
SUMMARY:"&amp;$B83&amp;"
LOCATION:"&amp;$G83&amp;"
DESCRIPTION:"&amp;$H83&amp;"
END:VEVENT")</f>
        <v/>
      </c>
      <c r="B83" s="68">
        <f>IF('Calendario B'!$B132="","",'Calendario B'!$B132&amp;" vs "&amp;'Calendario B'!$D132&amp;" "&amp;'Calendario B'!$AC132)</f>
        <v/>
      </c>
      <c r="C83" s="222">
        <f>IF($B83="","",DATE(YEAR('Calendario B'!$F132),MONTH('Calendario B'!$F132),DAY('Calendario B'!$F132)))</f>
        <v/>
      </c>
      <c r="D83" s="223">
        <f>IF($B83="","",TIME(HOUR('Calendario B'!$F132),MINUTE('Calendario B'!$F132),0))</f>
        <v/>
      </c>
      <c r="E83" s="222">
        <f>IF($B83="","",DATE(YEAR('Calendario B'!$F132),MONTH('Calendario B'!$F132),DAY('Calendario B'!$F132)))</f>
        <v/>
      </c>
      <c r="F83" s="223">
        <f>IF($B83="","",TIME(HOUR('Calendario B'!$F132)+2,MINUTE('Calendario B'!$F132),0))</f>
        <v/>
      </c>
      <c r="G83" s="68">
        <f>IF($B83="","",'Calendario B'!$B133)</f>
        <v/>
      </c>
      <c r="H83" s="68">
        <f>IF($B83="","",Campionato!$D$2&amp;" "&amp;Campionato!$D$6)</f>
        <v/>
      </c>
      <c r="I83" s="68" t="inlineStr"/>
    </row>
    <row r="84">
      <c r="A84" s="68">
        <f>IF($B84="","","BEGIN:VEVENT
DTSTAMP:"&amp;TEXT(NOW(),"yyyymmdd")&amp;"T000001Z
UID:evt83@ClaudeCoworkBaskin
DTSTART;TZID=Europe/Rome:"&amp;TEXT($C84,"yyyymmdd")&amp;"T"&amp;TEXT($D84,"hhmmss")&amp;"
DTEND;TZID=Europe/Rome:"&amp;TEXT($E84,"yyyymmdd")&amp;"T"&amp;TEXT($F84,"hhmmss")&amp;"
SUMMARY:"&amp;$B84&amp;"
LOCATION:"&amp;$G84&amp;"
DESCRIPTION:"&amp;$H84&amp;"
END:VEVENT")</f>
        <v/>
      </c>
      <c r="B84" s="68">
        <f>IF('Calendario B'!$B135="","",'Calendario B'!$B135&amp;" vs "&amp;'Calendario B'!$D135&amp;" "&amp;'Calendario B'!$AC135)</f>
        <v/>
      </c>
      <c r="C84" s="222">
        <f>IF($B84="","",DATE(YEAR('Calendario B'!$F135),MONTH('Calendario B'!$F135),DAY('Calendario B'!$F135)))</f>
        <v/>
      </c>
      <c r="D84" s="223">
        <f>IF($B84="","",TIME(HOUR('Calendario B'!$F135),MINUTE('Calendario B'!$F135),0))</f>
        <v/>
      </c>
      <c r="E84" s="222">
        <f>IF($B84="","",DATE(YEAR('Calendario B'!$F135),MONTH('Calendario B'!$F135),DAY('Calendario B'!$F135)))</f>
        <v/>
      </c>
      <c r="F84" s="223">
        <f>IF($B84="","",TIME(HOUR('Calendario B'!$F135)+2,MINUTE('Calendario B'!$F135),0))</f>
        <v/>
      </c>
      <c r="G84" s="68">
        <f>IF($B84="","",'Calendario B'!$B136)</f>
        <v/>
      </c>
      <c r="H84" s="68">
        <f>IF($B84="","",Campionato!$D$2&amp;" "&amp;Campionato!$D$6)</f>
        <v/>
      </c>
      <c r="I84" s="68" t="inlineStr"/>
    </row>
    <row r="85">
      <c r="A85" s="68">
        <f>IF($B85="","","BEGIN:VEVENT
DTSTAMP:"&amp;TEXT(NOW(),"yyyymmdd")&amp;"T000001Z
UID:evt84@ClaudeCoworkBaskin
DTSTART;TZID=Europe/Rome:"&amp;TEXT($C85,"yyyymmdd")&amp;"T"&amp;TEXT($D85,"hhmmss")&amp;"
DTEND;TZID=Europe/Rome:"&amp;TEXT($E85,"yyyymmdd")&amp;"T"&amp;TEXT($F85,"hhmmss")&amp;"
SUMMARY:"&amp;$B85&amp;"
LOCATION:"&amp;$G85&amp;"
DESCRIPTION:"&amp;$H85&amp;"
END:VEVENT")</f>
        <v/>
      </c>
      <c r="B85" s="68">
        <f>IF('Calendario B'!$B138="","",'Calendario B'!$B138&amp;" vs "&amp;'Calendario B'!$D138&amp;" "&amp;'Calendario B'!$AC138)</f>
        <v/>
      </c>
      <c r="C85" s="222">
        <f>IF($B85="","",DATE(YEAR('Calendario B'!$F138),MONTH('Calendario B'!$F138),DAY('Calendario B'!$F138)))</f>
        <v/>
      </c>
      <c r="D85" s="223">
        <f>IF($B85="","",TIME(HOUR('Calendario B'!$F138),MINUTE('Calendario B'!$F138),0))</f>
        <v/>
      </c>
      <c r="E85" s="222">
        <f>IF($B85="","",DATE(YEAR('Calendario B'!$F138),MONTH('Calendario B'!$F138),DAY('Calendario B'!$F138)))</f>
        <v/>
      </c>
      <c r="F85" s="223">
        <f>IF($B85="","",TIME(HOUR('Calendario B'!$F138)+2,MINUTE('Calendario B'!$F138),0))</f>
        <v/>
      </c>
      <c r="G85" s="68">
        <f>IF($B85="","",'Calendario B'!$B139)</f>
        <v/>
      </c>
      <c r="H85" s="68">
        <f>IF($B85="","",Campionato!$D$2&amp;" "&amp;Campionato!$D$6)</f>
        <v/>
      </c>
      <c r="I85" s="68" t="inlineStr"/>
    </row>
    <row r="86">
      <c r="A86" s="68">
        <f>IF($B86="","","BEGIN:VEVENT
DTSTAMP:"&amp;TEXT(NOW(),"yyyymmdd")&amp;"T000001Z
UID:evt85@ClaudeCoworkBaskin
DTSTART;TZID=Europe/Rome:"&amp;TEXT($C86,"yyyymmdd")&amp;"T"&amp;TEXT($D86,"hhmmss")&amp;"
DTEND;TZID=Europe/Rome:"&amp;TEXT($E86,"yyyymmdd")&amp;"T"&amp;TEXT($F86,"hhmmss")&amp;"
SUMMARY:"&amp;$B86&amp;"
LOCATION:"&amp;$G86&amp;"
DESCRIPTION:"&amp;$H86&amp;"
END:VEVENT")</f>
        <v/>
      </c>
      <c r="B86" s="68">
        <f>IF('Calendario B'!$B141="","",'Calendario B'!$B141&amp;" vs "&amp;'Calendario B'!$D141&amp;" "&amp;'Calendario B'!$AC141)</f>
        <v/>
      </c>
      <c r="C86" s="222">
        <f>IF($B86="","",DATE(YEAR('Calendario B'!$F141),MONTH('Calendario B'!$F141),DAY('Calendario B'!$F141)))</f>
        <v/>
      </c>
      <c r="D86" s="223">
        <f>IF($B86="","",TIME(HOUR('Calendario B'!$F141),MINUTE('Calendario B'!$F141),0))</f>
        <v/>
      </c>
      <c r="E86" s="222">
        <f>IF($B86="","",DATE(YEAR('Calendario B'!$F141),MONTH('Calendario B'!$F141),DAY('Calendario B'!$F141)))</f>
        <v/>
      </c>
      <c r="F86" s="223">
        <f>IF($B86="","",TIME(HOUR('Calendario B'!$F141)+2,MINUTE('Calendario B'!$F141),0))</f>
        <v/>
      </c>
      <c r="G86" s="68">
        <f>IF($B86="","",'Calendario B'!$B142)</f>
        <v/>
      </c>
      <c r="H86" s="68">
        <f>IF($B86="","",Campionato!$D$2&amp;" "&amp;Campionato!$D$6)</f>
        <v/>
      </c>
      <c r="I86" s="68" t="inlineStr"/>
    </row>
    <row r="87">
      <c r="A87" s="68">
        <f>IF($B87="","","BEGIN:VEVENT
DTSTAMP:"&amp;TEXT(NOW(),"yyyymmdd")&amp;"T000001Z
UID:evt86@ClaudeCoworkBaskin
DTSTART;TZID=Europe/Rome:"&amp;TEXT($C87,"yyyymmdd")&amp;"T"&amp;TEXT($D87,"hhmmss")&amp;"
DTEND;TZID=Europe/Rome:"&amp;TEXT($E87,"yyyymmdd")&amp;"T"&amp;TEXT($F87,"hhmmss")&amp;"
SUMMARY:"&amp;$B87&amp;"
LOCATION:"&amp;$G87&amp;"
DESCRIPTION:"&amp;$H87&amp;"
END:VEVENT")</f>
        <v/>
      </c>
      <c r="B87" s="68">
        <f>IF('Calendario B'!$B146="","",'Calendario B'!$B146&amp;" vs "&amp;'Calendario B'!$D146&amp;" "&amp;'Calendario B'!$AC146)</f>
        <v/>
      </c>
      <c r="C87" s="222">
        <f>IF($B87="","",DATE(YEAR('Calendario B'!$F146),MONTH('Calendario B'!$F146),DAY('Calendario B'!$F146)))</f>
        <v/>
      </c>
      <c r="D87" s="223">
        <f>IF($B87="","",TIME(HOUR('Calendario B'!$F146),MINUTE('Calendario B'!$F146),0))</f>
        <v/>
      </c>
      <c r="E87" s="222">
        <f>IF($B87="","",DATE(YEAR('Calendario B'!$F146),MONTH('Calendario B'!$F146),DAY('Calendario B'!$F146)))</f>
        <v/>
      </c>
      <c r="F87" s="223">
        <f>IF($B87="","",TIME(HOUR('Calendario B'!$F146)+2,MINUTE('Calendario B'!$F146),0))</f>
        <v/>
      </c>
      <c r="G87" s="68">
        <f>IF($B87="","",'Calendario B'!$B147)</f>
        <v/>
      </c>
      <c r="H87" s="68">
        <f>IF($B87="","",Campionato!$D$2&amp;" "&amp;Campionato!$D$6)</f>
        <v/>
      </c>
      <c r="I87" s="68" t="inlineStr"/>
    </row>
    <row r="88">
      <c r="A88" s="68">
        <f>IF($B88="","","BEGIN:VEVENT
DTSTAMP:"&amp;TEXT(NOW(),"yyyymmdd")&amp;"T000001Z
UID:evt87@ClaudeCoworkBaskin
DTSTART;TZID=Europe/Rome:"&amp;TEXT($C88,"yyyymmdd")&amp;"T"&amp;TEXT($D88,"hhmmss")&amp;"
DTEND;TZID=Europe/Rome:"&amp;TEXT($E88,"yyyymmdd")&amp;"T"&amp;TEXT($F88,"hhmmss")&amp;"
SUMMARY:"&amp;$B88&amp;"
LOCATION:"&amp;$G88&amp;"
DESCRIPTION:"&amp;$H88&amp;"
END:VEVENT")</f>
        <v/>
      </c>
      <c r="B88" s="68">
        <f>IF('Calendario B'!$B149="","",'Calendario B'!$B149&amp;" vs "&amp;'Calendario B'!$D149&amp;" "&amp;'Calendario B'!$AC149)</f>
        <v/>
      </c>
      <c r="C88" s="222">
        <f>IF($B88="","",DATE(YEAR('Calendario B'!$F149),MONTH('Calendario B'!$F149),DAY('Calendario B'!$F149)))</f>
        <v/>
      </c>
      <c r="D88" s="223">
        <f>IF($B88="","",TIME(HOUR('Calendario B'!$F149),MINUTE('Calendario B'!$F149),0))</f>
        <v/>
      </c>
      <c r="E88" s="222">
        <f>IF($B88="","",DATE(YEAR('Calendario B'!$F149),MONTH('Calendario B'!$F149),DAY('Calendario B'!$F149)))</f>
        <v/>
      </c>
      <c r="F88" s="223">
        <f>IF($B88="","",TIME(HOUR('Calendario B'!$F149)+2,MINUTE('Calendario B'!$F149),0))</f>
        <v/>
      </c>
      <c r="G88" s="68">
        <f>IF($B88="","",'Calendario B'!$B150)</f>
        <v/>
      </c>
      <c r="H88" s="68">
        <f>IF($B88="","",Campionato!$D$2&amp;" "&amp;Campionato!$D$6)</f>
        <v/>
      </c>
      <c r="I88" s="68" t="inlineStr"/>
    </row>
    <row r="89">
      <c r="A89" s="68">
        <f>IF($B89="","","BEGIN:VEVENT
DTSTAMP:"&amp;TEXT(NOW(),"yyyymmdd")&amp;"T000001Z
UID:evt88@ClaudeCoworkBaskin
DTSTART;TZID=Europe/Rome:"&amp;TEXT($C89,"yyyymmdd")&amp;"T"&amp;TEXT($D89,"hhmmss")&amp;"
DTEND;TZID=Europe/Rome:"&amp;TEXT($E89,"yyyymmdd")&amp;"T"&amp;TEXT($F89,"hhmmss")&amp;"
SUMMARY:"&amp;$B89&amp;"
LOCATION:"&amp;$G89&amp;"
DESCRIPTION:"&amp;$H89&amp;"
END:VEVENT")</f>
        <v/>
      </c>
      <c r="B89" s="68">
        <f>IF('Calendario B'!$B152="","",'Calendario B'!$B152&amp;" vs "&amp;'Calendario B'!$D152&amp;" "&amp;'Calendario B'!$AC152)</f>
        <v/>
      </c>
      <c r="C89" s="222">
        <f>IF($B89="","",DATE(YEAR('Calendario B'!$F152),MONTH('Calendario B'!$F152),DAY('Calendario B'!$F152)))</f>
        <v/>
      </c>
      <c r="D89" s="223">
        <f>IF($B89="","",TIME(HOUR('Calendario B'!$F152),MINUTE('Calendario B'!$F152),0))</f>
        <v/>
      </c>
      <c r="E89" s="222">
        <f>IF($B89="","",DATE(YEAR('Calendario B'!$F152),MONTH('Calendario B'!$F152),DAY('Calendario B'!$F152)))</f>
        <v/>
      </c>
      <c r="F89" s="223">
        <f>IF($B89="","",TIME(HOUR('Calendario B'!$F152)+2,MINUTE('Calendario B'!$F152),0))</f>
        <v/>
      </c>
      <c r="G89" s="68">
        <f>IF($B89="","",'Calendario B'!$B153)</f>
        <v/>
      </c>
      <c r="H89" s="68">
        <f>IF($B89="","",Campionato!$D$2&amp;" "&amp;Campionato!$D$6)</f>
        <v/>
      </c>
      <c r="I89" s="68" t="inlineStr"/>
    </row>
    <row r="90">
      <c r="A90" s="68">
        <f>IF($B90="","","BEGIN:VEVENT
DTSTAMP:"&amp;TEXT(NOW(),"yyyymmdd")&amp;"T000001Z
UID:evt89@ClaudeCoworkBaskin
DTSTART;TZID=Europe/Rome:"&amp;TEXT($C90,"yyyymmdd")&amp;"T"&amp;TEXT($D90,"hhmmss")&amp;"
DTEND;TZID=Europe/Rome:"&amp;TEXT($E90,"yyyymmdd")&amp;"T"&amp;TEXT($F90,"hhmmss")&amp;"
SUMMARY:"&amp;$B90&amp;"
LOCATION:"&amp;$G90&amp;"
DESCRIPTION:"&amp;$H90&amp;"
END:VEVENT")</f>
        <v/>
      </c>
      <c r="B90" s="68">
        <f>IF('Calendario B'!$B155="","",'Calendario B'!$B155&amp;" vs "&amp;'Calendario B'!$D155&amp;" "&amp;'Calendario B'!$AC155)</f>
        <v/>
      </c>
      <c r="C90" s="222">
        <f>IF($B90="","",DATE(YEAR('Calendario B'!$F155),MONTH('Calendario B'!$F155),DAY('Calendario B'!$F155)))</f>
        <v/>
      </c>
      <c r="D90" s="223">
        <f>IF($B90="","",TIME(HOUR('Calendario B'!$F155),MINUTE('Calendario B'!$F155),0))</f>
        <v/>
      </c>
      <c r="E90" s="222">
        <f>IF($B90="","",DATE(YEAR('Calendario B'!$F155),MONTH('Calendario B'!$F155),DAY('Calendario B'!$F155)))</f>
        <v/>
      </c>
      <c r="F90" s="223">
        <f>IF($B90="","",TIME(HOUR('Calendario B'!$F155)+2,MINUTE('Calendario B'!$F155),0))</f>
        <v/>
      </c>
      <c r="G90" s="68">
        <f>IF($B90="","",'Calendario B'!$B156)</f>
        <v/>
      </c>
      <c r="H90" s="68">
        <f>IF($B90="","",Campionato!$D$2&amp;" "&amp;Campionato!$D$6)</f>
        <v/>
      </c>
      <c r="I90" s="68" t="inlineStr"/>
    </row>
    <row r="91">
      <c r="A91" s="68">
        <f>IF($B91="","","BEGIN:VEVENT
DTSTAMP:"&amp;TEXT(NOW(),"yyyymmdd")&amp;"T000001Z
UID:evt90@ClaudeCoworkBaskin
DTSTART;TZID=Europe/Rome:"&amp;TEXT($C91,"yyyymmdd")&amp;"T"&amp;TEXT($D91,"hhmmss")&amp;"
DTEND;TZID=Europe/Rome:"&amp;TEXT($E91,"yyyymmdd")&amp;"T"&amp;TEXT($F91,"hhmmss")&amp;"
SUMMARY:"&amp;$B91&amp;"
LOCATION:"&amp;$G91&amp;"
DESCRIPTION:"&amp;$H91&amp;"
END:VEVENT")</f>
        <v/>
      </c>
      <c r="B91" s="68">
        <f>IF('Calendario B'!$B158="","",'Calendario B'!$B158&amp;" vs "&amp;'Calendario B'!$D158&amp;" "&amp;'Calendario B'!$AC158)</f>
        <v/>
      </c>
      <c r="C91" s="222">
        <f>IF($B91="","",DATE(YEAR('Calendario B'!$F158),MONTH('Calendario B'!$F158),DAY('Calendario B'!$F158)))</f>
        <v/>
      </c>
      <c r="D91" s="223">
        <f>IF($B91="","",TIME(HOUR('Calendario B'!$F158),MINUTE('Calendario B'!$F158),0))</f>
        <v/>
      </c>
      <c r="E91" s="222">
        <f>IF($B91="","",DATE(YEAR('Calendario B'!$F158),MONTH('Calendario B'!$F158),DAY('Calendario B'!$F158)))</f>
        <v/>
      </c>
      <c r="F91" s="223">
        <f>IF($B91="","",TIME(HOUR('Calendario B'!$F158)+2,MINUTE('Calendario B'!$F158),0))</f>
        <v/>
      </c>
      <c r="G91" s="68">
        <f>IF($B91="","",'Calendario B'!$B159)</f>
        <v/>
      </c>
      <c r="H91" s="68">
        <f>IF($B91="","",Campionato!$D$2&amp;" "&amp;Campionato!$D$6)</f>
        <v/>
      </c>
      <c r="I91" s="68" t="inlineStr"/>
    </row>
    <row r="92">
      <c r="A92" s="68">
        <f>IF($B92="","","BEGIN:VEVENT
DTSTAMP:"&amp;TEXT(NOW(),"yyyymmdd")&amp;"T000001Z
UID:evt91@ClaudeCoworkBaskin
DTSTART;TZID=Europe/Rome:"&amp;TEXT($C92,"yyyymmdd")&amp;"T"&amp;TEXT($D92,"hhmmss")&amp;"
DTEND;TZID=Europe/Rome:"&amp;TEXT($E92,"yyyymmdd")&amp;"T"&amp;TEXT($F92,"hhmmss")&amp;"
SUMMARY:"&amp;$B92&amp;"
LOCATION:"&amp;$G92&amp;"
DESCRIPTION:"&amp;$H92&amp;"
END:VEVENT")</f>
        <v/>
      </c>
      <c r="B92" s="68">
        <f>IF('Calendario C'!$B10="","",'Calendario C'!$B10&amp;" vs "&amp;'Calendario C'!$D10&amp;" "&amp;'Calendario C'!$AC10)</f>
        <v/>
      </c>
      <c r="C92" s="222">
        <f>IF($B92="","",DATE(YEAR('Calendario C'!$F10),MONTH('Calendario C'!$F10),DAY('Calendario C'!$F10)))</f>
        <v/>
      </c>
      <c r="D92" s="223">
        <f>IF($B92="","",TIME(HOUR('Calendario C'!$F10),MINUTE('Calendario C'!$F10),0))</f>
        <v/>
      </c>
      <c r="E92" s="222">
        <f>IF($B92="","",DATE(YEAR('Calendario C'!$F10),MONTH('Calendario C'!$F10),DAY('Calendario C'!$F10)))</f>
        <v/>
      </c>
      <c r="F92" s="223">
        <f>IF($B92="","",TIME(HOUR('Calendario C'!$F10)+2,MINUTE('Calendario C'!$F10),0))</f>
        <v/>
      </c>
      <c r="G92" s="68">
        <f>IF($B92="","",'Calendario C'!$B11)</f>
        <v/>
      </c>
      <c r="H92" s="68">
        <f>IF($B92="","",Campionato!$D$2&amp;" "&amp;Campionato!$D$6)</f>
        <v/>
      </c>
      <c r="I92" s="68" t="inlineStr"/>
    </row>
    <row r="93">
      <c r="A93" s="68">
        <f>IF($B93="","","BEGIN:VEVENT
DTSTAMP:"&amp;TEXT(NOW(),"yyyymmdd")&amp;"T000001Z
UID:evt92@ClaudeCoworkBaskin
DTSTART;TZID=Europe/Rome:"&amp;TEXT($C93,"yyyymmdd")&amp;"T"&amp;TEXT($D93,"hhmmss")&amp;"
DTEND;TZID=Europe/Rome:"&amp;TEXT($E93,"yyyymmdd")&amp;"T"&amp;TEXT($F93,"hhmmss")&amp;"
SUMMARY:"&amp;$B93&amp;"
LOCATION:"&amp;$G93&amp;"
DESCRIPTION:"&amp;$H93&amp;"
END:VEVENT")</f>
        <v/>
      </c>
      <c r="B93" s="68">
        <f>IF('Calendario C'!$B13="","",'Calendario C'!$B13&amp;" vs "&amp;'Calendario C'!$D13&amp;" "&amp;'Calendario C'!$AC13)</f>
        <v/>
      </c>
      <c r="C93" s="222">
        <f>IF($B93="","",DATE(YEAR('Calendario C'!$F13),MONTH('Calendario C'!$F13),DAY('Calendario C'!$F13)))</f>
        <v/>
      </c>
      <c r="D93" s="223">
        <f>IF($B93="","",TIME(HOUR('Calendario C'!$F13),MINUTE('Calendario C'!$F13),0))</f>
        <v/>
      </c>
      <c r="E93" s="222">
        <f>IF($B93="","",DATE(YEAR('Calendario C'!$F13),MONTH('Calendario C'!$F13),DAY('Calendario C'!$F13)))</f>
        <v/>
      </c>
      <c r="F93" s="223">
        <f>IF($B93="","",TIME(HOUR('Calendario C'!$F13)+2,MINUTE('Calendario C'!$F13),0))</f>
        <v/>
      </c>
      <c r="G93" s="68">
        <f>IF($B93="","",'Calendario C'!$B14)</f>
        <v/>
      </c>
      <c r="H93" s="68">
        <f>IF($B93="","",Campionato!$D$2&amp;" "&amp;Campionato!$D$6)</f>
        <v/>
      </c>
      <c r="I93" s="68" t="inlineStr"/>
    </row>
    <row r="94">
      <c r="A94" s="68">
        <f>IF($B94="","","BEGIN:VEVENT
DTSTAMP:"&amp;TEXT(NOW(),"yyyymmdd")&amp;"T000001Z
UID:evt93@ClaudeCoworkBaskin
DTSTART;TZID=Europe/Rome:"&amp;TEXT($C94,"yyyymmdd")&amp;"T"&amp;TEXT($D94,"hhmmss")&amp;"
DTEND;TZID=Europe/Rome:"&amp;TEXT($E94,"yyyymmdd")&amp;"T"&amp;TEXT($F94,"hhmmss")&amp;"
SUMMARY:"&amp;$B94&amp;"
LOCATION:"&amp;$G94&amp;"
DESCRIPTION:"&amp;$H94&amp;"
END:VEVENT")</f>
        <v/>
      </c>
      <c r="B94" s="68">
        <f>IF('Calendario C'!$B16="","",'Calendario C'!$B16&amp;" vs "&amp;'Calendario C'!$D16&amp;" "&amp;'Calendario C'!$AC16)</f>
        <v/>
      </c>
      <c r="C94" s="222">
        <f>IF($B94="","",DATE(YEAR('Calendario C'!$F16),MONTH('Calendario C'!$F16),DAY('Calendario C'!$F16)))</f>
        <v/>
      </c>
      <c r="D94" s="223">
        <f>IF($B94="","",TIME(HOUR('Calendario C'!$F16),MINUTE('Calendario C'!$F16),0))</f>
        <v/>
      </c>
      <c r="E94" s="222">
        <f>IF($B94="","",DATE(YEAR('Calendario C'!$F16),MONTH('Calendario C'!$F16),DAY('Calendario C'!$F16)))</f>
        <v/>
      </c>
      <c r="F94" s="223">
        <f>IF($B94="","",TIME(HOUR('Calendario C'!$F16)+2,MINUTE('Calendario C'!$F16),0))</f>
        <v/>
      </c>
      <c r="G94" s="68">
        <f>IF($B94="","",'Calendario C'!$B17)</f>
        <v/>
      </c>
      <c r="H94" s="68">
        <f>IF($B94="","",Campionato!$D$2&amp;" "&amp;Campionato!$D$6)</f>
        <v/>
      </c>
      <c r="I94" s="68" t="inlineStr"/>
    </row>
    <row r="95">
      <c r="A95" s="68">
        <f>IF($B95="","","BEGIN:VEVENT
DTSTAMP:"&amp;TEXT(NOW(),"yyyymmdd")&amp;"T000001Z
UID:evt94@ClaudeCoworkBaskin
DTSTART;TZID=Europe/Rome:"&amp;TEXT($C95,"yyyymmdd")&amp;"T"&amp;TEXT($D95,"hhmmss")&amp;"
DTEND;TZID=Europe/Rome:"&amp;TEXT($E95,"yyyymmdd")&amp;"T"&amp;TEXT($F95,"hhmmss")&amp;"
SUMMARY:"&amp;$B95&amp;"
LOCATION:"&amp;$G95&amp;"
DESCRIPTION:"&amp;$H95&amp;"
END:VEVENT")</f>
        <v/>
      </c>
      <c r="B95" s="68">
        <f>IF('Calendario C'!$B19="","",'Calendario C'!$B19&amp;" vs "&amp;'Calendario C'!$D19&amp;" "&amp;'Calendario C'!$AC19)</f>
        <v/>
      </c>
      <c r="C95" s="222">
        <f>IF($B95="","",DATE(YEAR('Calendario C'!$F19),MONTH('Calendario C'!$F19),DAY('Calendario C'!$F19)))</f>
        <v/>
      </c>
      <c r="D95" s="223">
        <f>IF($B95="","",TIME(HOUR('Calendario C'!$F19),MINUTE('Calendario C'!$F19),0))</f>
        <v/>
      </c>
      <c r="E95" s="222">
        <f>IF($B95="","",DATE(YEAR('Calendario C'!$F19),MONTH('Calendario C'!$F19),DAY('Calendario C'!$F19)))</f>
        <v/>
      </c>
      <c r="F95" s="223">
        <f>IF($B95="","",TIME(HOUR('Calendario C'!$F19)+2,MINUTE('Calendario C'!$F19),0))</f>
        <v/>
      </c>
      <c r="G95" s="68">
        <f>IF($B95="","",'Calendario C'!$B20)</f>
        <v/>
      </c>
      <c r="H95" s="68">
        <f>IF($B95="","",Campionato!$D$2&amp;" "&amp;Campionato!$D$6)</f>
        <v/>
      </c>
      <c r="I95" s="68" t="inlineStr"/>
    </row>
    <row r="96">
      <c r="A96" s="68">
        <f>IF($B96="","","BEGIN:VEVENT
DTSTAMP:"&amp;TEXT(NOW(),"yyyymmdd")&amp;"T000001Z
UID:evt95@ClaudeCoworkBaskin
DTSTART;TZID=Europe/Rome:"&amp;TEXT($C96,"yyyymmdd")&amp;"T"&amp;TEXT($D96,"hhmmss")&amp;"
DTEND;TZID=Europe/Rome:"&amp;TEXT($E96,"yyyymmdd")&amp;"T"&amp;TEXT($F96,"hhmmss")&amp;"
SUMMARY:"&amp;$B96&amp;"
LOCATION:"&amp;$G96&amp;"
DESCRIPTION:"&amp;$H96&amp;"
END:VEVENT")</f>
        <v/>
      </c>
      <c r="B96" s="68">
        <f>IF('Calendario C'!$B22="","",'Calendario C'!$B22&amp;" vs "&amp;'Calendario C'!$D22&amp;" "&amp;'Calendario C'!$AC22)</f>
        <v/>
      </c>
      <c r="C96" s="222">
        <f>IF($B96="","",DATE(YEAR('Calendario C'!$F22),MONTH('Calendario C'!$F22),DAY('Calendario C'!$F22)))</f>
        <v/>
      </c>
      <c r="D96" s="223">
        <f>IF($B96="","",TIME(HOUR('Calendario C'!$F22),MINUTE('Calendario C'!$F22),0))</f>
        <v/>
      </c>
      <c r="E96" s="222">
        <f>IF($B96="","",DATE(YEAR('Calendario C'!$F22),MONTH('Calendario C'!$F22),DAY('Calendario C'!$F22)))</f>
        <v/>
      </c>
      <c r="F96" s="223">
        <f>IF($B96="","",TIME(HOUR('Calendario C'!$F22)+2,MINUTE('Calendario C'!$F22),0))</f>
        <v/>
      </c>
      <c r="G96" s="68">
        <f>IF($B96="","",'Calendario C'!$B23)</f>
        <v/>
      </c>
      <c r="H96" s="68">
        <f>IF($B96="","",Campionato!$D$2&amp;" "&amp;Campionato!$D$6)</f>
        <v/>
      </c>
      <c r="I96" s="68" t="inlineStr"/>
    </row>
    <row r="97">
      <c r="A97" s="68">
        <f>IF($B97="","","BEGIN:VEVENT
DTSTAMP:"&amp;TEXT(NOW(),"yyyymmdd")&amp;"T000001Z
UID:evt96@ClaudeCoworkBaskin
DTSTART;TZID=Europe/Rome:"&amp;TEXT($C97,"yyyymmdd")&amp;"T"&amp;TEXT($D97,"hhmmss")&amp;"
DTEND;TZID=Europe/Rome:"&amp;TEXT($E97,"yyyymmdd")&amp;"T"&amp;TEXT($F97,"hhmmss")&amp;"
SUMMARY:"&amp;$B97&amp;"
LOCATION:"&amp;$G97&amp;"
DESCRIPTION:"&amp;$H97&amp;"
END:VEVENT")</f>
        <v/>
      </c>
      <c r="B97" s="68">
        <f>IF('Calendario C'!$B27="","",'Calendario C'!$B27&amp;" vs "&amp;'Calendario C'!$D27&amp;" "&amp;'Calendario C'!$AC27)</f>
        <v/>
      </c>
      <c r="C97" s="222">
        <f>IF($B97="","",DATE(YEAR('Calendario C'!$F27),MONTH('Calendario C'!$F27),DAY('Calendario C'!$F27)))</f>
        <v/>
      </c>
      <c r="D97" s="223">
        <f>IF($B97="","",TIME(HOUR('Calendario C'!$F27),MINUTE('Calendario C'!$F27),0))</f>
        <v/>
      </c>
      <c r="E97" s="222">
        <f>IF($B97="","",DATE(YEAR('Calendario C'!$F27),MONTH('Calendario C'!$F27),DAY('Calendario C'!$F27)))</f>
        <v/>
      </c>
      <c r="F97" s="223">
        <f>IF($B97="","",TIME(HOUR('Calendario C'!$F27)+2,MINUTE('Calendario C'!$F27),0))</f>
        <v/>
      </c>
      <c r="G97" s="68">
        <f>IF($B97="","",'Calendario C'!$B28)</f>
        <v/>
      </c>
      <c r="H97" s="68">
        <f>IF($B97="","",Campionato!$D$2&amp;" "&amp;Campionato!$D$6)</f>
        <v/>
      </c>
      <c r="I97" s="68" t="inlineStr"/>
    </row>
    <row r="98">
      <c r="A98" s="68">
        <f>IF($B98="","","BEGIN:VEVENT
DTSTAMP:"&amp;TEXT(NOW(),"yyyymmdd")&amp;"T000001Z
UID:evt97@ClaudeCoworkBaskin
DTSTART;TZID=Europe/Rome:"&amp;TEXT($C98,"yyyymmdd")&amp;"T"&amp;TEXT($D98,"hhmmss")&amp;"
DTEND;TZID=Europe/Rome:"&amp;TEXT($E98,"yyyymmdd")&amp;"T"&amp;TEXT($F98,"hhmmss")&amp;"
SUMMARY:"&amp;$B98&amp;"
LOCATION:"&amp;$G98&amp;"
DESCRIPTION:"&amp;$H98&amp;"
END:VEVENT")</f>
        <v/>
      </c>
      <c r="B98" s="68">
        <f>IF('Calendario C'!$B30="","",'Calendario C'!$B30&amp;" vs "&amp;'Calendario C'!$D30&amp;" "&amp;'Calendario C'!$AC30)</f>
        <v/>
      </c>
      <c r="C98" s="222">
        <f>IF($B98="","",DATE(YEAR('Calendario C'!$F30),MONTH('Calendario C'!$F30),DAY('Calendario C'!$F30)))</f>
        <v/>
      </c>
      <c r="D98" s="223">
        <f>IF($B98="","",TIME(HOUR('Calendario C'!$F30),MINUTE('Calendario C'!$F30),0))</f>
        <v/>
      </c>
      <c r="E98" s="222">
        <f>IF($B98="","",DATE(YEAR('Calendario C'!$F30),MONTH('Calendario C'!$F30),DAY('Calendario C'!$F30)))</f>
        <v/>
      </c>
      <c r="F98" s="223">
        <f>IF($B98="","",TIME(HOUR('Calendario C'!$F30)+2,MINUTE('Calendario C'!$F30),0))</f>
        <v/>
      </c>
      <c r="G98" s="68">
        <f>IF($B98="","",'Calendario C'!$B31)</f>
        <v/>
      </c>
      <c r="H98" s="68">
        <f>IF($B98="","",Campionato!$D$2&amp;" "&amp;Campionato!$D$6)</f>
        <v/>
      </c>
      <c r="I98" s="68" t="inlineStr"/>
    </row>
    <row r="99">
      <c r="A99" s="68">
        <f>IF($B99="","","BEGIN:VEVENT
DTSTAMP:"&amp;TEXT(NOW(),"yyyymmdd")&amp;"T000001Z
UID:evt98@ClaudeCoworkBaskin
DTSTART;TZID=Europe/Rome:"&amp;TEXT($C99,"yyyymmdd")&amp;"T"&amp;TEXT($D99,"hhmmss")&amp;"
DTEND;TZID=Europe/Rome:"&amp;TEXT($E99,"yyyymmdd")&amp;"T"&amp;TEXT($F99,"hhmmss")&amp;"
SUMMARY:"&amp;$B99&amp;"
LOCATION:"&amp;$G99&amp;"
DESCRIPTION:"&amp;$H99&amp;"
END:VEVENT")</f>
        <v/>
      </c>
      <c r="B99" s="68">
        <f>IF('Calendario C'!$B33="","",'Calendario C'!$B33&amp;" vs "&amp;'Calendario C'!$D33&amp;" "&amp;'Calendario C'!$AC33)</f>
        <v/>
      </c>
      <c r="C99" s="222">
        <f>IF($B99="","",DATE(YEAR('Calendario C'!$F33),MONTH('Calendario C'!$F33),DAY('Calendario C'!$F33)))</f>
        <v/>
      </c>
      <c r="D99" s="223">
        <f>IF($B99="","",TIME(HOUR('Calendario C'!$F33),MINUTE('Calendario C'!$F33),0))</f>
        <v/>
      </c>
      <c r="E99" s="222">
        <f>IF($B99="","",DATE(YEAR('Calendario C'!$F33),MONTH('Calendario C'!$F33),DAY('Calendario C'!$F33)))</f>
        <v/>
      </c>
      <c r="F99" s="223">
        <f>IF($B99="","",TIME(HOUR('Calendario C'!$F33)+2,MINUTE('Calendario C'!$F33),0))</f>
        <v/>
      </c>
      <c r="G99" s="68">
        <f>IF($B99="","",'Calendario C'!$B34)</f>
        <v/>
      </c>
      <c r="H99" s="68">
        <f>IF($B99="","",Campionato!$D$2&amp;" "&amp;Campionato!$D$6)</f>
        <v/>
      </c>
      <c r="I99" s="68" t="inlineStr"/>
    </row>
    <row r="100">
      <c r="A100" s="68">
        <f>IF($B100="","","BEGIN:VEVENT
DTSTAMP:"&amp;TEXT(NOW(),"yyyymmdd")&amp;"T000001Z
UID:evt99@ClaudeCoworkBaskin
DTSTART;TZID=Europe/Rome:"&amp;TEXT($C100,"yyyymmdd")&amp;"T"&amp;TEXT($D100,"hhmmss")&amp;"
DTEND;TZID=Europe/Rome:"&amp;TEXT($E100,"yyyymmdd")&amp;"T"&amp;TEXT($F100,"hhmmss")&amp;"
SUMMARY:"&amp;$B100&amp;"
LOCATION:"&amp;$G100&amp;"
DESCRIPTION:"&amp;$H100&amp;"
END:VEVENT")</f>
        <v/>
      </c>
      <c r="B100" s="68">
        <f>IF('Calendario C'!$B36="","",'Calendario C'!$B36&amp;" vs "&amp;'Calendario C'!$D36&amp;" "&amp;'Calendario C'!$AC36)</f>
        <v/>
      </c>
      <c r="C100" s="222">
        <f>IF($B100="","",DATE(YEAR('Calendario C'!$F36),MONTH('Calendario C'!$F36),DAY('Calendario C'!$F36)))</f>
        <v/>
      </c>
      <c r="D100" s="223">
        <f>IF($B100="","",TIME(HOUR('Calendario C'!$F36),MINUTE('Calendario C'!$F36),0))</f>
        <v/>
      </c>
      <c r="E100" s="222">
        <f>IF($B100="","",DATE(YEAR('Calendario C'!$F36),MONTH('Calendario C'!$F36),DAY('Calendario C'!$F36)))</f>
        <v/>
      </c>
      <c r="F100" s="223">
        <f>IF($B100="","",TIME(HOUR('Calendario C'!$F36)+2,MINUTE('Calendario C'!$F36),0))</f>
        <v/>
      </c>
      <c r="G100" s="68">
        <f>IF($B100="","",'Calendario C'!$B37)</f>
        <v/>
      </c>
      <c r="H100" s="68">
        <f>IF($B100="","",Campionato!$D$2&amp;" "&amp;Campionato!$D$6)</f>
        <v/>
      </c>
      <c r="I100" s="68" t="inlineStr"/>
    </row>
    <row r="101">
      <c r="A101" s="68">
        <f>IF($B101="","","BEGIN:VEVENT
DTSTAMP:"&amp;TEXT(NOW(),"yyyymmdd")&amp;"T000001Z
UID:evt100@ClaudeCoworkBaskin
DTSTART;TZID=Europe/Rome:"&amp;TEXT($C101,"yyyymmdd")&amp;"T"&amp;TEXT($D101,"hhmmss")&amp;"
DTEND;TZID=Europe/Rome:"&amp;TEXT($E101,"yyyymmdd")&amp;"T"&amp;TEXT($F101,"hhmmss")&amp;"
SUMMARY:"&amp;$B101&amp;"
LOCATION:"&amp;$G101&amp;"
DESCRIPTION:"&amp;$H101&amp;"
END:VEVENT")</f>
        <v/>
      </c>
      <c r="B101" s="68">
        <f>IF('Calendario C'!$B39="","",'Calendario C'!$B39&amp;" vs "&amp;'Calendario C'!$D39&amp;" "&amp;'Calendario C'!$AC39)</f>
        <v/>
      </c>
      <c r="C101" s="222">
        <f>IF($B101="","",DATE(YEAR('Calendario C'!$F39),MONTH('Calendario C'!$F39),DAY('Calendario C'!$F39)))</f>
        <v/>
      </c>
      <c r="D101" s="223">
        <f>IF($B101="","",TIME(HOUR('Calendario C'!$F39),MINUTE('Calendario C'!$F39),0))</f>
        <v/>
      </c>
      <c r="E101" s="222">
        <f>IF($B101="","",DATE(YEAR('Calendario C'!$F39),MONTH('Calendario C'!$F39),DAY('Calendario C'!$F39)))</f>
        <v/>
      </c>
      <c r="F101" s="223">
        <f>IF($B101="","",TIME(HOUR('Calendario C'!$F39)+2,MINUTE('Calendario C'!$F39),0))</f>
        <v/>
      </c>
      <c r="G101" s="68">
        <f>IF($B101="","",'Calendario C'!$B40)</f>
        <v/>
      </c>
      <c r="H101" s="68">
        <f>IF($B101="","",Campionato!$D$2&amp;" "&amp;Campionato!$D$6)</f>
        <v/>
      </c>
      <c r="I101" s="68" t="inlineStr"/>
    </row>
    <row r="102">
      <c r="A102" s="68">
        <f>IF($B102="","","BEGIN:VEVENT
DTSTAMP:"&amp;TEXT(NOW(),"yyyymmdd")&amp;"T000001Z
UID:evt101@ClaudeCoworkBaskin
DTSTART;TZID=Europe/Rome:"&amp;TEXT($C102,"yyyymmdd")&amp;"T"&amp;TEXT($D102,"hhmmss")&amp;"
DTEND;TZID=Europe/Rome:"&amp;TEXT($E102,"yyyymmdd")&amp;"T"&amp;TEXT($F102,"hhmmss")&amp;"
SUMMARY:"&amp;$B102&amp;"
LOCATION:"&amp;$G102&amp;"
DESCRIPTION:"&amp;$H102&amp;"
END:VEVENT")</f>
        <v/>
      </c>
      <c r="B102" s="68">
        <f>IF('Calendario C'!$B44="","",'Calendario C'!$B44&amp;" vs "&amp;'Calendario C'!$D44&amp;" "&amp;'Calendario C'!$AC44)</f>
        <v/>
      </c>
      <c r="C102" s="222">
        <f>IF($B102="","",DATE(YEAR('Calendario C'!$F44),MONTH('Calendario C'!$F44),DAY('Calendario C'!$F44)))</f>
        <v/>
      </c>
      <c r="D102" s="223">
        <f>IF($B102="","",TIME(HOUR('Calendario C'!$F44),MINUTE('Calendario C'!$F44),0))</f>
        <v/>
      </c>
      <c r="E102" s="222">
        <f>IF($B102="","",DATE(YEAR('Calendario C'!$F44),MONTH('Calendario C'!$F44),DAY('Calendario C'!$F44)))</f>
        <v/>
      </c>
      <c r="F102" s="223">
        <f>IF($B102="","",TIME(HOUR('Calendario C'!$F44)+2,MINUTE('Calendario C'!$F44),0))</f>
        <v/>
      </c>
      <c r="G102" s="68">
        <f>IF($B102="","",'Calendario C'!$B45)</f>
        <v/>
      </c>
      <c r="H102" s="68">
        <f>IF($B102="","",Campionato!$D$2&amp;" "&amp;Campionato!$D$6)</f>
        <v/>
      </c>
      <c r="I102" s="68" t="inlineStr"/>
    </row>
    <row r="103">
      <c r="A103" s="68">
        <f>IF($B103="","","BEGIN:VEVENT
DTSTAMP:"&amp;TEXT(NOW(),"yyyymmdd")&amp;"T000001Z
UID:evt102@ClaudeCoworkBaskin
DTSTART;TZID=Europe/Rome:"&amp;TEXT($C103,"yyyymmdd")&amp;"T"&amp;TEXT($D103,"hhmmss")&amp;"
DTEND;TZID=Europe/Rome:"&amp;TEXT($E103,"yyyymmdd")&amp;"T"&amp;TEXT($F103,"hhmmss")&amp;"
SUMMARY:"&amp;$B103&amp;"
LOCATION:"&amp;$G103&amp;"
DESCRIPTION:"&amp;$H103&amp;"
END:VEVENT")</f>
        <v/>
      </c>
      <c r="B103" s="68">
        <f>IF('Calendario C'!$B47="","",'Calendario C'!$B47&amp;" vs "&amp;'Calendario C'!$D47&amp;" "&amp;'Calendario C'!$AC47)</f>
        <v/>
      </c>
      <c r="C103" s="222">
        <f>IF($B103="","",DATE(YEAR('Calendario C'!$F47),MONTH('Calendario C'!$F47),DAY('Calendario C'!$F47)))</f>
        <v/>
      </c>
      <c r="D103" s="223">
        <f>IF($B103="","",TIME(HOUR('Calendario C'!$F47),MINUTE('Calendario C'!$F47),0))</f>
        <v/>
      </c>
      <c r="E103" s="222">
        <f>IF($B103="","",DATE(YEAR('Calendario C'!$F47),MONTH('Calendario C'!$F47),DAY('Calendario C'!$F47)))</f>
        <v/>
      </c>
      <c r="F103" s="223">
        <f>IF($B103="","",TIME(HOUR('Calendario C'!$F47)+2,MINUTE('Calendario C'!$F47),0))</f>
        <v/>
      </c>
      <c r="G103" s="68">
        <f>IF($B103="","",'Calendario C'!$B48)</f>
        <v/>
      </c>
      <c r="H103" s="68">
        <f>IF($B103="","",Campionato!$D$2&amp;" "&amp;Campionato!$D$6)</f>
        <v/>
      </c>
      <c r="I103" s="68" t="inlineStr"/>
    </row>
    <row r="104">
      <c r="A104" s="68">
        <f>IF($B104="","","BEGIN:VEVENT
DTSTAMP:"&amp;TEXT(NOW(),"yyyymmdd")&amp;"T000001Z
UID:evt103@ClaudeCoworkBaskin
DTSTART;TZID=Europe/Rome:"&amp;TEXT($C104,"yyyymmdd")&amp;"T"&amp;TEXT($D104,"hhmmss")&amp;"
DTEND;TZID=Europe/Rome:"&amp;TEXT($E104,"yyyymmdd")&amp;"T"&amp;TEXT($F104,"hhmmss")&amp;"
SUMMARY:"&amp;$B104&amp;"
LOCATION:"&amp;$G104&amp;"
DESCRIPTION:"&amp;$H104&amp;"
END:VEVENT")</f>
        <v/>
      </c>
      <c r="B104" s="68">
        <f>IF('Calendario C'!$B50="","",'Calendario C'!$B50&amp;" vs "&amp;'Calendario C'!$D50&amp;" "&amp;'Calendario C'!$AC50)</f>
        <v/>
      </c>
      <c r="C104" s="222">
        <f>IF($B104="","",DATE(YEAR('Calendario C'!$F50),MONTH('Calendario C'!$F50),DAY('Calendario C'!$F50)))</f>
        <v/>
      </c>
      <c r="D104" s="223">
        <f>IF($B104="","",TIME(HOUR('Calendario C'!$F50),MINUTE('Calendario C'!$F50),0))</f>
        <v/>
      </c>
      <c r="E104" s="222">
        <f>IF($B104="","",DATE(YEAR('Calendario C'!$F50),MONTH('Calendario C'!$F50),DAY('Calendario C'!$F50)))</f>
        <v/>
      </c>
      <c r="F104" s="223">
        <f>IF($B104="","",TIME(HOUR('Calendario C'!$F50)+2,MINUTE('Calendario C'!$F50),0))</f>
        <v/>
      </c>
      <c r="G104" s="68">
        <f>IF($B104="","",'Calendario C'!$B51)</f>
        <v/>
      </c>
      <c r="H104" s="68">
        <f>IF($B104="","",Campionato!$D$2&amp;" "&amp;Campionato!$D$6)</f>
        <v/>
      </c>
      <c r="I104" s="68" t="inlineStr"/>
    </row>
    <row r="105">
      <c r="A105" s="68">
        <f>IF($B105="","","BEGIN:VEVENT
DTSTAMP:"&amp;TEXT(NOW(),"yyyymmdd")&amp;"T000001Z
UID:evt104@ClaudeCoworkBaskin
DTSTART;TZID=Europe/Rome:"&amp;TEXT($C105,"yyyymmdd")&amp;"T"&amp;TEXT($D105,"hhmmss")&amp;"
DTEND;TZID=Europe/Rome:"&amp;TEXT($E105,"yyyymmdd")&amp;"T"&amp;TEXT($F105,"hhmmss")&amp;"
SUMMARY:"&amp;$B105&amp;"
LOCATION:"&amp;$G105&amp;"
DESCRIPTION:"&amp;$H105&amp;"
END:VEVENT")</f>
        <v/>
      </c>
      <c r="B105" s="68">
        <f>IF('Calendario C'!$B53="","",'Calendario C'!$B53&amp;" vs "&amp;'Calendario C'!$D53&amp;" "&amp;'Calendario C'!$AC53)</f>
        <v/>
      </c>
      <c r="C105" s="222">
        <f>IF($B105="","",DATE(YEAR('Calendario C'!$F53),MONTH('Calendario C'!$F53),DAY('Calendario C'!$F53)))</f>
        <v/>
      </c>
      <c r="D105" s="223">
        <f>IF($B105="","",TIME(HOUR('Calendario C'!$F53),MINUTE('Calendario C'!$F53),0))</f>
        <v/>
      </c>
      <c r="E105" s="222">
        <f>IF($B105="","",DATE(YEAR('Calendario C'!$F53),MONTH('Calendario C'!$F53),DAY('Calendario C'!$F53)))</f>
        <v/>
      </c>
      <c r="F105" s="223">
        <f>IF($B105="","",TIME(HOUR('Calendario C'!$F53)+2,MINUTE('Calendario C'!$F53),0))</f>
        <v/>
      </c>
      <c r="G105" s="68">
        <f>IF($B105="","",'Calendario C'!$B54)</f>
        <v/>
      </c>
      <c r="H105" s="68">
        <f>IF($B105="","",Campionato!$D$2&amp;" "&amp;Campionato!$D$6)</f>
        <v/>
      </c>
      <c r="I105" s="68" t="inlineStr"/>
    </row>
    <row r="106">
      <c r="A106" s="68">
        <f>IF($B106="","","BEGIN:VEVENT
DTSTAMP:"&amp;TEXT(NOW(),"yyyymmdd")&amp;"T000001Z
UID:evt105@ClaudeCoworkBaskin
DTSTART;TZID=Europe/Rome:"&amp;TEXT($C106,"yyyymmdd")&amp;"T"&amp;TEXT($D106,"hhmmss")&amp;"
DTEND;TZID=Europe/Rome:"&amp;TEXT($E106,"yyyymmdd")&amp;"T"&amp;TEXT($F106,"hhmmss")&amp;"
SUMMARY:"&amp;$B106&amp;"
LOCATION:"&amp;$G106&amp;"
DESCRIPTION:"&amp;$H106&amp;"
END:VEVENT")</f>
        <v/>
      </c>
      <c r="B106" s="68">
        <f>IF('Calendario C'!$B56="","",'Calendario C'!$B56&amp;" vs "&amp;'Calendario C'!$D56&amp;" "&amp;'Calendario C'!$AC56)</f>
        <v/>
      </c>
      <c r="C106" s="222">
        <f>IF($B106="","",DATE(YEAR('Calendario C'!$F56),MONTH('Calendario C'!$F56),DAY('Calendario C'!$F56)))</f>
        <v/>
      </c>
      <c r="D106" s="223">
        <f>IF($B106="","",TIME(HOUR('Calendario C'!$F56),MINUTE('Calendario C'!$F56),0))</f>
        <v/>
      </c>
      <c r="E106" s="222">
        <f>IF($B106="","",DATE(YEAR('Calendario C'!$F56),MONTH('Calendario C'!$F56),DAY('Calendario C'!$F56)))</f>
        <v/>
      </c>
      <c r="F106" s="223">
        <f>IF($B106="","",TIME(HOUR('Calendario C'!$F56)+2,MINUTE('Calendario C'!$F56),0))</f>
        <v/>
      </c>
      <c r="G106" s="68">
        <f>IF($B106="","",'Calendario C'!$B57)</f>
        <v/>
      </c>
      <c r="H106" s="68">
        <f>IF($B106="","",Campionato!$D$2&amp;" "&amp;Campionato!$D$6)</f>
        <v/>
      </c>
      <c r="I106" s="68" t="inlineStr"/>
    </row>
    <row r="107">
      <c r="A107" s="68">
        <f>IF($B107="","","BEGIN:VEVENT
DTSTAMP:"&amp;TEXT(NOW(),"yyyymmdd")&amp;"T000001Z
UID:evt106@ClaudeCoworkBaskin
DTSTART;TZID=Europe/Rome:"&amp;TEXT($C107,"yyyymmdd")&amp;"T"&amp;TEXT($D107,"hhmmss")&amp;"
DTEND;TZID=Europe/Rome:"&amp;TEXT($E107,"yyyymmdd")&amp;"T"&amp;TEXT($F107,"hhmmss")&amp;"
SUMMARY:"&amp;$B107&amp;"
LOCATION:"&amp;$G107&amp;"
DESCRIPTION:"&amp;$H107&amp;"
END:VEVENT")</f>
        <v/>
      </c>
      <c r="B107" s="68">
        <f>IF('Calendario C'!$B61="","",'Calendario C'!$B61&amp;" vs "&amp;'Calendario C'!$D61&amp;" "&amp;'Calendario C'!$AC61)</f>
        <v/>
      </c>
      <c r="C107" s="222">
        <f>IF($B107="","",DATE(YEAR('Calendario C'!$F61),MONTH('Calendario C'!$F61),DAY('Calendario C'!$F61)))</f>
        <v/>
      </c>
      <c r="D107" s="223">
        <f>IF($B107="","",TIME(HOUR('Calendario C'!$F61),MINUTE('Calendario C'!$F61),0))</f>
        <v/>
      </c>
      <c r="E107" s="222">
        <f>IF($B107="","",DATE(YEAR('Calendario C'!$F61),MONTH('Calendario C'!$F61),DAY('Calendario C'!$F61)))</f>
        <v/>
      </c>
      <c r="F107" s="223">
        <f>IF($B107="","",TIME(HOUR('Calendario C'!$F61)+2,MINUTE('Calendario C'!$F61),0))</f>
        <v/>
      </c>
      <c r="G107" s="68">
        <f>IF($B107="","",'Calendario C'!$B62)</f>
        <v/>
      </c>
      <c r="H107" s="68">
        <f>IF($B107="","",Campionato!$D$2&amp;" "&amp;Campionato!$D$6)</f>
        <v/>
      </c>
      <c r="I107" s="68" t="inlineStr"/>
    </row>
    <row r="108">
      <c r="A108" s="68">
        <f>IF($B108="","","BEGIN:VEVENT
DTSTAMP:"&amp;TEXT(NOW(),"yyyymmdd")&amp;"T000001Z
UID:evt107@ClaudeCoworkBaskin
DTSTART;TZID=Europe/Rome:"&amp;TEXT($C108,"yyyymmdd")&amp;"T"&amp;TEXT($D108,"hhmmss")&amp;"
DTEND;TZID=Europe/Rome:"&amp;TEXT($E108,"yyyymmdd")&amp;"T"&amp;TEXT($F108,"hhmmss")&amp;"
SUMMARY:"&amp;$B108&amp;"
LOCATION:"&amp;$G108&amp;"
DESCRIPTION:"&amp;$H108&amp;"
END:VEVENT")</f>
        <v/>
      </c>
      <c r="B108" s="68">
        <f>IF('Calendario C'!$B64="","",'Calendario C'!$B64&amp;" vs "&amp;'Calendario C'!$D64&amp;" "&amp;'Calendario C'!$AC64)</f>
        <v/>
      </c>
      <c r="C108" s="222">
        <f>IF($B108="","",DATE(YEAR('Calendario C'!$F64),MONTH('Calendario C'!$F64),DAY('Calendario C'!$F64)))</f>
        <v/>
      </c>
      <c r="D108" s="223">
        <f>IF($B108="","",TIME(HOUR('Calendario C'!$F64),MINUTE('Calendario C'!$F64),0))</f>
        <v/>
      </c>
      <c r="E108" s="222">
        <f>IF($B108="","",DATE(YEAR('Calendario C'!$F64),MONTH('Calendario C'!$F64),DAY('Calendario C'!$F64)))</f>
        <v/>
      </c>
      <c r="F108" s="223">
        <f>IF($B108="","",TIME(HOUR('Calendario C'!$F64)+2,MINUTE('Calendario C'!$F64),0))</f>
        <v/>
      </c>
      <c r="G108" s="68">
        <f>IF($B108="","",'Calendario C'!$B65)</f>
        <v/>
      </c>
      <c r="H108" s="68">
        <f>IF($B108="","",Campionato!$D$2&amp;" "&amp;Campionato!$D$6)</f>
        <v/>
      </c>
      <c r="I108" s="68" t="inlineStr"/>
    </row>
    <row r="109">
      <c r="A109" s="68">
        <f>IF($B109="","","BEGIN:VEVENT
DTSTAMP:"&amp;TEXT(NOW(),"yyyymmdd")&amp;"T000001Z
UID:evt108@ClaudeCoworkBaskin
DTSTART;TZID=Europe/Rome:"&amp;TEXT($C109,"yyyymmdd")&amp;"T"&amp;TEXT($D109,"hhmmss")&amp;"
DTEND;TZID=Europe/Rome:"&amp;TEXT($E109,"yyyymmdd")&amp;"T"&amp;TEXT($F109,"hhmmss")&amp;"
SUMMARY:"&amp;$B109&amp;"
LOCATION:"&amp;$G109&amp;"
DESCRIPTION:"&amp;$H109&amp;"
END:VEVENT")</f>
        <v/>
      </c>
      <c r="B109" s="68">
        <f>IF('Calendario C'!$B67="","",'Calendario C'!$B67&amp;" vs "&amp;'Calendario C'!$D67&amp;" "&amp;'Calendario C'!$AC67)</f>
        <v/>
      </c>
      <c r="C109" s="222">
        <f>IF($B109="","",DATE(YEAR('Calendario C'!$F67),MONTH('Calendario C'!$F67),DAY('Calendario C'!$F67)))</f>
        <v/>
      </c>
      <c r="D109" s="223">
        <f>IF($B109="","",TIME(HOUR('Calendario C'!$F67),MINUTE('Calendario C'!$F67),0))</f>
        <v/>
      </c>
      <c r="E109" s="222">
        <f>IF($B109="","",DATE(YEAR('Calendario C'!$F67),MONTH('Calendario C'!$F67),DAY('Calendario C'!$F67)))</f>
        <v/>
      </c>
      <c r="F109" s="223">
        <f>IF($B109="","",TIME(HOUR('Calendario C'!$F67)+2,MINUTE('Calendario C'!$F67),0))</f>
        <v/>
      </c>
      <c r="G109" s="68">
        <f>IF($B109="","",'Calendario C'!$B68)</f>
        <v/>
      </c>
      <c r="H109" s="68">
        <f>IF($B109="","",Campionato!$D$2&amp;" "&amp;Campionato!$D$6)</f>
        <v/>
      </c>
      <c r="I109" s="68" t="inlineStr"/>
    </row>
    <row r="110">
      <c r="A110" s="68">
        <f>IF($B110="","","BEGIN:VEVENT
DTSTAMP:"&amp;TEXT(NOW(),"yyyymmdd")&amp;"T000001Z
UID:evt109@ClaudeCoworkBaskin
DTSTART;TZID=Europe/Rome:"&amp;TEXT($C110,"yyyymmdd")&amp;"T"&amp;TEXT($D110,"hhmmss")&amp;"
DTEND;TZID=Europe/Rome:"&amp;TEXT($E110,"yyyymmdd")&amp;"T"&amp;TEXT($F110,"hhmmss")&amp;"
SUMMARY:"&amp;$B110&amp;"
LOCATION:"&amp;$G110&amp;"
DESCRIPTION:"&amp;$H110&amp;"
END:VEVENT")</f>
        <v/>
      </c>
      <c r="B110" s="68">
        <f>IF('Calendario C'!$B70="","",'Calendario C'!$B70&amp;" vs "&amp;'Calendario C'!$D70&amp;" "&amp;'Calendario C'!$AC70)</f>
        <v/>
      </c>
      <c r="C110" s="222">
        <f>IF($B110="","",DATE(YEAR('Calendario C'!$F70),MONTH('Calendario C'!$F70),DAY('Calendario C'!$F70)))</f>
        <v/>
      </c>
      <c r="D110" s="223">
        <f>IF($B110="","",TIME(HOUR('Calendario C'!$F70),MINUTE('Calendario C'!$F70),0))</f>
        <v/>
      </c>
      <c r="E110" s="222">
        <f>IF($B110="","",DATE(YEAR('Calendario C'!$F70),MONTH('Calendario C'!$F70),DAY('Calendario C'!$F70)))</f>
        <v/>
      </c>
      <c r="F110" s="223">
        <f>IF($B110="","",TIME(HOUR('Calendario C'!$F70)+2,MINUTE('Calendario C'!$F70),0))</f>
        <v/>
      </c>
      <c r="G110" s="68">
        <f>IF($B110="","",'Calendario C'!$B71)</f>
        <v/>
      </c>
      <c r="H110" s="68">
        <f>IF($B110="","",Campionato!$D$2&amp;" "&amp;Campionato!$D$6)</f>
        <v/>
      </c>
      <c r="I110" s="68" t="inlineStr"/>
    </row>
    <row r="111">
      <c r="A111" s="68">
        <f>IF($B111="","","BEGIN:VEVENT
DTSTAMP:"&amp;TEXT(NOW(),"yyyymmdd")&amp;"T000001Z
UID:evt110@ClaudeCoworkBaskin
DTSTART;TZID=Europe/Rome:"&amp;TEXT($C111,"yyyymmdd")&amp;"T"&amp;TEXT($D111,"hhmmss")&amp;"
DTEND;TZID=Europe/Rome:"&amp;TEXT($E111,"yyyymmdd")&amp;"T"&amp;TEXT($F111,"hhmmss")&amp;"
SUMMARY:"&amp;$B111&amp;"
LOCATION:"&amp;$G111&amp;"
DESCRIPTION:"&amp;$H111&amp;"
END:VEVENT")</f>
        <v/>
      </c>
      <c r="B111" s="68">
        <f>IF('Calendario C'!$B73="","",'Calendario C'!$B73&amp;" vs "&amp;'Calendario C'!$D73&amp;" "&amp;'Calendario C'!$AC73)</f>
        <v/>
      </c>
      <c r="C111" s="222">
        <f>IF($B111="","",DATE(YEAR('Calendario C'!$F73),MONTH('Calendario C'!$F73),DAY('Calendario C'!$F73)))</f>
        <v/>
      </c>
      <c r="D111" s="223">
        <f>IF($B111="","",TIME(HOUR('Calendario C'!$F73),MINUTE('Calendario C'!$F73),0))</f>
        <v/>
      </c>
      <c r="E111" s="222">
        <f>IF($B111="","",DATE(YEAR('Calendario C'!$F73),MONTH('Calendario C'!$F73),DAY('Calendario C'!$F73)))</f>
        <v/>
      </c>
      <c r="F111" s="223">
        <f>IF($B111="","",TIME(HOUR('Calendario C'!$F73)+2,MINUTE('Calendario C'!$F73),0))</f>
        <v/>
      </c>
      <c r="G111" s="68">
        <f>IF($B111="","",'Calendario C'!$B74)</f>
        <v/>
      </c>
      <c r="H111" s="68">
        <f>IF($B111="","",Campionato!$D$2&amp;" "&amp;Campionato!$D$6)</f>
        <v/>
      </c>
      <c r="I111" s="68" t="inlineStr"/>
    </row>
    <row r="112">
      <c r="A112" s="68">
        <f>IF($B112="","","BEGIN:VEVENT
DTSTAMP:"&amp;TEXT(NOW(),"yyyymmdd")&amp;"T000001Z
UID:evt111@ClaudeCoworkBaskin
DTSTART;TZID=Europe/Rome:"&amp;TEXT($C112,"yyyymmdd")&amp;"T"&amp;TEXT($D112,"hhmmss")&amp;"
DTEND;TZID=Europe/Rome:"&amp;TEXT($E112,"yyyymmdd")&amp;"T"&amp;TEXT($F112,"hhmmss")&amp;"
SUMMARY:"&amp;$B112&amp;"
LOCATION:"&amp;$G112&amp;"
DESCRIPTION:"&amp;$H112&amp;"
END:VEVENT")</f>
        <v/>
      </c>
      <c r="B112" s="68">
        <f>IF('Calendario C'!$B78="","",'Calendario C'!$B78&amp;" vs "&amp;'Calendario C'!$D78&amp;" "&amp;'Calendario C'!$AC78)</f>
        <v/>
      </c>
      <c r="C112" s="222">
        <f>IF($B112="","",DATE(YEAR('Calendario C'!$F78),MONTH('Calendario C'!$F78),DAY('Calendario C'!$F78)))</f>
        <v/>
      </c>
      <c r="D112" s="223">
        <f>IF($B112="","",TIME(HOUR('Calendario C'!$F78),MINUTE('Calendario C'!$F78),0))</f>
        <v/>
      </c>
      <c r="E112" s="222">
        <f>IF($B112="","",DATE(YEAR('Calendario C'!$F78),MONTH('Calendario C'!$F78),DAY('Calendario C'!$F78)))</f>
        <v/>
      </c>
      <c r="F112" s="223">
        <f>IF($B112="","",TIME(HOUR('Calendario C'!$F78)+2,MINUTE('Calendario C'!$F78),0))</f>
        <v/>
      </c>
      <c r="G112" s="68">
        <f>IF($B112="","",'Calendario C'!$B79)</f>
        <v/>
      </c>
      <c r="H112" s="68">
        <f>IF($B112="","",Campionato!$D$2&amp;" "&amp;Campionato!$D$6)</f>
        <v/>
      </c>
      <c r="I112" s="68" t="inlineStr"/>
    </row>
    <row r="113">
      <c r="A113" s="68">
        <f>IF($B113="","","BEGIN:VEVENT
DTSTAMP:"&amp;TEXT(NOW(),"yyyymmdd")&amp;"T000001Z
UID:evt112@ClaudeCoworkBaskin
DTSTART;TZID=Europe/Rome:"&amp;TEXT($C113,"yyyymmdd")&amp;"T"&amp;TEXT($D113,"hhmmss")&amp;"
DTEND;TZID=Europe/Rome:"&amp;TEXT($E113,"yyyymmdd")&amp;"T"&amp;TEXT($F113,"hhmmss")&amp;"
SUMMARY:"&amp;$B113&amp;"
LOCATION:"&amp;$G113&amp;"
DESCRIPTION:"&amp;$H113&amp;"
END:VEVENT")</f>
        <v/>
      </c>
      <c r="B113" s="68">
        <f>IF('Calendario C'!$B81="","",'Calendario C'!$B81&amp;" vs "&amp;'Calendario C'!$D81&amp;" "&amp;'Calendario C'!$AC81)</f>
        <v/>
      </c>
      <c r="C113" s="222">
        <f>IF($B113="","",DATE(YEAR('Calendario C'!$F81),MONTH('Calendario C'!$F81),DAY('Calendario C'!$F81)))</f>
        <v/>
      </c>
      <c r="D113" s="223">
        <f>IF($B113="","",TIME(HOUR('Calendario C'!$F81),MINUTE('Calendario C'!$F81),0))</f>
        <v/>
      </c>
      <c r="E113" s="222">
        <f>IF($B113="","",DATE(YEAR('Calendario C'!$F81),MONTH('Calendario C'!$F81),DAY('Calendario C'!$F81)))</f>
        <v/>
      </c>
      <c r="F113" s="223">
        <f>IF($B113="","",TIME(HOUR('Calendario C'!$F81)+2,MINUTE('Calendario C'!$F81),0))</f>
        <v/>
      </c>
      <c r="G113" s="68">
        <f>IF($B113="","",'Calendario C'!$B82)</f>
        <v/>
      </c>
      <c r="H113" s="68">
        <f>IF($B113="","",Campionato!$D$2&amp;" "&amp;Campionato!$D$6)</f>
        <v/>
      </c>
      <c r="I113" s="68" t="inlineStr"/>
    </row>
    <row r="114">
      <c r="A114" s="68">
        <f>IF($B114="","","BEGIN:VEVENT
DTSTAMP:"&amp;TEXT(NOW(),"yyyymmdd")&amp;"T000001Z
UID:evt113@ClaudeCoworkBaskin
DTSTART;TZID=Europe/Rome:"&amp;TEXT($C114,"yyyymmdd")&amp;"T"&amp;TEXT($D114,"hhmmss")&amp;"
DTEND;TZID=Europe/Rome:"&amp;TEXT($E114,"yyyymmdd")&amp;"T"&amp;TEXT($F114,"hhmmss")&amp;"
SUMMARY:"&amp;$B114&amp;"
LOCATION:"&amp;$G114&amp;"
DESCRIPTION:"&amp;$H114&amp;"
END:VEVENT")</f>
        <v/>
      </c>
      <c r="B114" s="68">
        <f>IF('Calendario C'!$B84="","",'Calendario C'!$B84&amp;" vs "&amp;'Calendario C'!$D84&amp;" "&amp;'Calendario C'!$AC84)</f>
        <v/>
      </c>
      <c r="C114" s="222">
        <f>IF($B114="","",DATE(YEAR('Calendario C'!$F84),MONTH('Calendario C'!$F84),DAY('Calendario C'!$F84)))</f>
        <v/>
      </c>
      <c r="D114" s="223">
        <f>IF($B114="","",TIME(HOUR('Calendario C'!$F84),MINUTE('Calendario C'!$F84),0))</f>
        <v/>
      </c>
      <c r="E114" s="222">
        <f>IF($B114="","",DATE(YEAR('Calendario C'!$F84),MONTH('Calendario C'!$F84),DAY('Calendario C'!$F84)))</f>
        <v/>
      </c>
      <c r="F114" s="223">
        <f>IF($B114="","",TIME(HOUR('Calendario C'!$F84)+2,MINUTE('Calendario C'!$F84),0))</f>
        <v/>
      </c>
      <c r="G114" s="68">
        <f>IF($B114="","",'Calendario C'!$B85)</f>
        <v/>
      </c>
      <c r="H114" s="68">
        <f>IF($B114="","",Campionato!$D$2&amp;" "&amp;Campionato!$D$6)</f>
        <v/>
      </c>
      <c r="I114" s="68" t="inlineStr"/>
    </row>
    <row r="115">
      <c r="A115" s="68">
        <f>IF($B115="","","BEGIN:VEVENT
DTSTAMP:"&amp;TEXT(NOW(),"yyyymmdd")&amp;"T000001Z
UID:evt114@ClaudeCoworkBaskin
DTSTART;TZID=Europe/Rome:"&amp;TEXT($C115,"yyyymmdd")&amp;"T"&amp;TEXT($D115,"hhmmss")&amp;"
DTEND;TZID=Europe/Rome:"&amp;TEXT($E115,"yyyymmdd")&amp;"T"&amp;TEXT($F115,"hhmmss")&amp;"
SUMMARY:"&amp;$B115&amp;"
LOCATION:"&amp;$G115&amp;"
DESCRIPTION:"&amp;$H115&amp;"
END:VEVENT")</f>
        <v/>
      </c>
      <c r="B115" s="68">
        <f>IF('Calendario C'!$B87="","",'Calendario C'!$B87&amp;" vs "&amp;'Calendario C'!$D87&amp;" "&amp;'Calendario C'!$AC87)</f>
        <v/>
      </c>
      <c r="C115" s="222">
        <f>IF($B115="","",DATE(YEAR('Calendario C'!$F87),MONTH('Calendario C'!$F87),DAY('Calendario C'!$F87)))</f>
        <v/>
      </c>
      <c r="D115" s="223">
        <f>IF($B115="","",TIME(HOUR('Calendario C'!$F87),MINUTE('Calendario C'!$F87),0))</f>
        <v/>
      </c>
      <c r="E115" s="222">
        <f>IF($B115="","",DATE(YEAR('Calendario C'!$F87),MONTH('Calendario C'!$F87),DAY('Calendario C'!$F87)))</f>
        <v/>
      </c>
      <c r="F115" s="223">
        <f>IF($B115="","",TIME(HOUR('Calendario C'!$F87)+2,MINUTE('Calendario C'!$F87),0))</f>
        <v/>
      </c>
      <c r="G115" s="68">
        <f>IF($B115="","",'Calendario C'!$B88)</f>
        <v/>
      </c>
      <c r="H115" s="68">
        <f>IF($B115="","",Campionato!$D$2&amp;" "&amp;Campionato!$D$6)</f>
        <v/>
      </c>
      <c r="I115" s="68" t="inlineStr"/>
    </row>
    <row r="116">
      <c r="A116" s="68">
        <f>IF($B116="","","BEGIN:VEVENT
DTSTAMP:"&amp;TEXT(NOW(),"yyyymmdd")&amp;"T000001Z
UID:evt115@ClaudeCoworkBaskin
DTSTART;TZID=Europe/Rome:"&amp;TEXT($C116,"yyyymmdd")&amp;"T"&amp;TEXT($D116,"hhmmss")&amp;"
DTEND;TZID=Europe/Rome:"&amp;TEXT($E116,"yyyymmdd")&amp;"T"&amp;TEXT($F116,"hhmmss")&amp;"
SUMMARY:"&amp;$B116&amp;"
LOCATION:"&amp;$G116&amp;"
DESCRIPTION:"&amp;$H116&amp;"
END:VEVENT")</f>
        <v/>
      </c>
      <c r="B116" s="68">
        <f>IF('Calendario C'!$B90="","",'Calendario C'!$B90&amp;" vs "&amp;'Calendario C'!$D90&amp;" "&amp;'Calendario C'!$AC90)</f>
        <v/>
      </c>
      <c r="C116" s="222">
        <f>IF($B116="","",DATE(YEAR('Calendario C'!$F90),MONTH('Calendario C'!$F90),DAY('Calendario C'!$F90)))</f>
        <v/>
      </c>
      <c r="D116" s="223">
        <f>IF($B116="","",TIME(HOUR('Calendario C'!$F90),MINUTE('Calendario C'!$F90),0))</f>
        <v/>
      </c>
      <c r="E116" s="222">
        <f>IF($B116="","",DATE(YEAR('Calendario C'!$F90),MONTH('Calendario C'!$F90),DAY('Calendario C'!$F90)))</f>
        <v/>
      </c>
      <c r="F116" s="223">
        <f>IF($B116="","",TIME(HOUR('Calendario C'!$F90)+2,MINUTE('Calendario C'!$F90),0))</f>
        <v/>
      </c>
      <c r="G116" s="68">
        <f>IF($B116="","",'Calendario C'!$B91)</f>
        <v/>
      </c>
      <c r="H116" s="68">
        <f>IF($B116="","",Campionato!$D$2&amp;" "&amp;Campionato!$D$6)</f>
        <v/>
      </c>
      <c r="I116" s="68" t="inlineStr"/>
    </row>
    <row r="117">
      <c r="A117" s="68">
        <f>IF($B117="","","BEGIN:VEVENT
DTSTAMP:"&amp;TEXT(NOW(),"yyyymmdd")&amp;"T000001Z
UID:evt116@ClaudeCoworkBaskin
DTSTART;TZID=Europe/Rome:"&amp;TEXT($C117,"yyyymmdd")&amp;"T"&amp;TEXT($D117,"hhmmss")&amp;"
DTEND;TZID=Europe/Rome:"&amp;TEXT($E117,"yyyymmdd")&amp;"T"&amp;TEXT($F117,"hhmmss")&amp;"
SUMMARY:"&amp;$B117&amp;"
LOCATION:"&amp;$G117&amp;"
DESCRIPTION:"&amp;$H117&amp;"
END:VEVENT")</f>
        <v/>
      </c>
      <c r="B117" s="68">
        <f>IF('Calendario C'!$B95="","",'Calendario C'!$B95&amp;" vs "&amp;'Calendario C'!$D95&amp;" "&amp;'Calendario C'!$AC95)</f>
        <v/>
      </c>
      <c r="C117" s="222">
        <f>IF($B117="","",DATE(YEAR('Calendario C'!$F95),MONTH('Calendario C'!$F95),DAY('Calendario C'!$F95)))</f>
        <v/>
      </c>
      <c r="D117" s="223">
        <f>IF($B117="","",TIME(HOUR('Calendario C'!$F95),MINUTE('Calendario C'!$F95),0))</f>
        <v/>
      </c>
      <c r="E117" s="222">
        <f>IF($B117="","",DATE(YEAR('Calendario C'!$F95),MONTH('Calendario C'!$F95),DAY('Calendario C'!$F95)))</f>
        <v/>
      </c>
      <c r="F117" s="223">
        <f>IF($B117="","",TIME(HOUR('Calendario C'!$F95)+2,MINUTE('Calendario C'!$F95),0))</f>
        <v/>
      </c>
      <c r="G117" s="68">
        <f>IF($B117="","",'Calendario C'!$B96)</f>
        <v/>
      </c>
      <c r="H117" s="68">
        <f>IF($B117="","",Campionato!$D$2&amp;" "&amp;Campionato!$D$6)</f>
        <v/>
      </c>
      <c r="I117" s="68" t="inlineStr"/>
    </row>
    <row r="118">
      <c r="A118" s="68">
        <f>IF($B118="","","BEGIN:VEVENT
DTSTAMP:"&amp;TEXT(NOW(),"yyyymmdd")&amp;"T000001Z
UID:evt117@ClaudeCoworkBaskin
DTSTART;TZID=Europe/Rome:"&amp;TEXT($C118,"yyyymmdd")&amp;"T"&amp;TEXT($D118,"hhmmss")&amp;"
DTEND;TZID=Europe/Rome:"&amp;TEXT($E118,"yyyymmdd")&amp;"T"&amp;TEXT($F118,"hhmmss")&amp;"
SUMMARY:"&amp;$B118&amp;"
LOCATION:"&amp;$G118&amp;"
DESCRIPTION:"&amp;$H118&amp;"
END:VEVENT")</f>
        <v/>
      </c>
      <c r="B118" s="68">
        <f>IF('Calendario C'!$B98="","",'Calendario C'!$B98&amp;" vs "&amp;'Calendario C'!$D98&amp;" "&amp;'Calendario C'!$AC98)</f>
        <v/>
      </c>
      <c r="C118" s="222">
        <f>IF($B118="","",DATE(YEAR('Calendario C'!$F98),MONTH('Calendario C'!$F98),DAY('Calendario C'!$F98)))</f>
        <v/>
      </c>
      <c r="D118" s="223">
        <f>IF($B118="","",TIME(HOUR('Calendario C'!$F98),MINUTE('Calendario C'!$F98),0))</f>
        <v/>
      </c>
      <c r="E118" s="222">
        <f>IF($B118="","",DATE(YEAR('Calendario C'!$F98),MONTH('Calendario C'!$F98),DAY('Calendario C'!$F98)))</f>
        <v/>
      </c>
      <c r="F118" s="223">
        <f>IF($B118="","",TIME(HOUR('Calendario C'!$F98)+2,MINUTE('Calendario C'!$F98),0))</f>
        <v/>
      </c>
      <c r="G118" s="68">
        <f>IF($B118="","",'Calendario C'!$B99)</f>
        <v/>
      </c>
      <c r="H118" s="68">
        <f>IF($B118="","",Campionato!$D$2&amp;" "&amp;Campionato!$D$6)</f>
        <v/>
      </c>
      <c r="I118" s="68" t="inlineStr"/>
    </row>
    <row r="119">
      <c r="A119" s="68">
        <f>IF($B119="","","BEGIN:VEVENT
DTSTAMP:"&amp;TEXT(NOW(),"yyyymmdd")&amp;"T000001Z
UID:evt118@ClaudeCoworkBaskin
DTSTART;TZID=Europe/Rome:"&amp;TEXT($C119,"yyyymmdd")&amp;"T"&amp;TEXT($D119,"hhmmss")&amp;"
DTEND;TZID=Europe/Rome:"&amp;TEXT($E119,"yyyymmdd")&amp;"T"&amp;TEXT($F119,"hhmmss")&amp;"
SUMMARY:"&amp;$B119&amp;"
LOCATION:"&amp;$G119&amp;"
DESCRIPTION:"&amp;$H119&amp;"
END:VEVENT")</f>
        <v/>
      </c>
      <c r="B119" s="68">
        <f>IF('Calendario C'!$B101="","",'Calendario C'!$B101&amp;" vs "&amp;'Calendario C'!$D101&amp;" "&amp;'Calendario C'!$AC101)</f>
        <v/>
      </c>
      <c r="C119" s="222">
        <f>IF($B119="","",DATE(YEAR('Calendario C'!$F101),MONTH('Calendario C'!$F101),DAY('Calendario C'!$F101)))</f>
        <v/>
      </c>
      <c r="D119" s="223">
        <f>IF($B119="","",TIME(HOUR('Calendario C'!$F101),MINUTE('Calendario C'!$F101),0))</f>
        <v/>
      </c>
      <c r="E119" s="222">
        <f>IF($B119="","",DATE(YEAR('Calendario C'!$F101),MONTH('Calendario C'!$F101),DAY('Calendario C'!$F101)))</f>
        <v/>
      </c>
      <c r="F119" s="223">
        <f>IF($B119="","",TIME(HOUR('Calendario C'!$F101)+2,MINUTE('Calendario C'!$F101),0))</f>
        <v/>
      </c>
      <c r="G119" s="68">
        <f>IF($B119="","",'Calendario C'!$B102)</f>
        <v/>
      </c>
      <c r="H119" s="68">
        <f>IF($B119="","",Campionato!$D$2&amp;" "&amp;Campionato!$D$6)</f>
        <v/>
      </c>
      <c r="I119" s="68" t="inlineStr"/>
    </row>
    <row r="120">
      <c r="A120" s="68">
        <f>IF($B120="","","BEGIN:VEVENT
DTSTAMP:"&amp;TEXT(NOW(),"yyyymmdd")&amp;"T000001Z
UID:evt119@ClaudeCoworkBaskin
DTSTART;TZID=Europe/Rome:"&amp;TEXT($C120,"yyyymmdd")&amp;"T"&amp;TEXT($D120,"hhmmss")&amp;"
DTEND;TZID=Europe/Rome:"&amp;TEXT($E120,"yyyymmdd")&amp;"T"&amp;TEXT($F120,"hhmmss")&amp;"
SUMMARY:"&amp;$B120&amp;"
LOCATION:"&amp;$G120&amp;"
DESCRIPTION:"&amp;$H120&amp;"
END:VEVENT")</f>
        <v/>
      </c>
      <c r="B120" s="68">
        <f>IF('Calendario C'!$B104="","",'Calendario C'!$B104&amp;" vs "&amp;'Calendario C'!$D104&amp;" "&amp;'Calendario C'!$AC104)</f>
        <v/>
      </c>
      <c r="C120" s="222">
        <f>IF($B120="","",DATE(YEAR('Calendario C'!$F104),MONTH('Calendario C'!$F104),DAY('Calendario C'!$F104)))</f>
        <v/>
      </c>
      <c r="D120" s="223">
        <f>IF($B120="","",TIME(HOUR('Calendario C'!$F104),MINUTE('Calendario C'!$F104),0))</f>
        <v/>
      </c>
      <c r="E120" s="222">
        <f>IF($B120="","",DATE(YEAR('Calendario C'!$F104),MONTH('Calendario C'!$F104),DAY('Calendario C'!$F104)))</f>
        <v/>
      </c>
      <c r="F120" s="223">
        <f>IF($B120="","",TIME(HOUR('Calendario C'!$F104)+2,MINUTE('Calendario C'!$F104),0))</f>
        <v/>
      </c>
      <c r="G120" s="68">
        <f>IF($B120="","",'Calendario C'!$B105)</f>
        <v/>
      </c>
      <c r="H120" s="68">
        <f>IF($B120="","",Campionato!$D$2&amp;" "&amp;Campionato!$D$6)</f>
        <v/>
      </c>
      <c r="I120" s="68" t="inlineStr"/>
    </row>
    <row r="121">
      <c r="A121" s="68">
        <f>IF($B121="","","BEGIN:VEVENT
DTSTAMP:"&amp;TEXT(NOW(),"yyyymmdd")&amp;"T000001Z
UID:evt120@ClaudeCoworkBaskin
DTSTART;TZID=Europe/Rome:"&amp;TEXT($C121,"yyyymmdd")&amp;"T"&amp;TEXT($D121,"hhmmss")&amp;"
DTEND;TZID=Europe/Rome:"&amp;TEXT($E121,"yyyymmdd")&amp;"T"&amp;TEXT($F121,"hhmmss")&amp;"
SUMMARY:"&amp;$B121&amp;"
LOCATION:"&amp;$G121&amp;"
DESCRIPTION:"&amp;$H121&amp;"
END:VEVENT")</f>
        <v/>
      </c>
      <c r="B121" s="68">
        <f>IF('Calendario C'!$B107="","",'Calendario C'!$B107&amp;" vs "&amp;'Calendario C'!$D107&amp;" "&amp;'Calendario C'!$AC107)</f>
        <v/>
      </c>
      <c r="C121" s="222">
        <f>IF($B121="","",DATE(YEAR('Calendario C'!$F107),MONTH('Calendario C'!$F107),DAY('Calendario C'!$F107)))</f>
        <v/>
      </c>
      <c r="D121" s="223">
        <f>IF($B121="","",TIME(HOUR('Calendario C'!$F107),MINUTE('Calendario C'!$F107),0))</f>
        <v/>
      </c>
      <c r="E121" s="222">
        <f>IF($B121="","",DATE(YEAR('Calendario C'!$F107),MONTH('Calendario C'!$F107),DAY('Calendario C'!$F107)))</f>
        <v/>
      </c>
      <c r="F121" s="223">
        <f>IF($B121="","",TIME(HOUR('Calendario C'!$F107)+2,MINUTE('Calendario C'!$F107),0))</f>
        <v/>
      </c>
      <c r="G121" s="68">
        <f>IF($B121="","",'Calendario C'!$B108)</f>
        <v/>
      </c>
      <c r="H121" s="68">
        <f>IF($B121="","",Campionato!$D$2&amp;" "&amp;Campionato!$D$6)</f>
        <v/>
      </c>
      <c r="I121" s="68" t="inlineStr"/>
    </row>
    <row r="122">
      <c r="A122" s="68">
        <f>IF($B122="","","BEGIN:VEVENT
DTSTAMP:"&amp;TEXT(NOW(),"yyyymmdd")&amp;"T000001Z
UID:evt121@ClaudeCoworkBaskin
DTSTART;TZID=Europe/Rome:"&amp;TEXT($C122,"yyyymmdd")&amp;"T"&amp;TEXT($D122,"hhmmss")&amp;"
DTEND;TZID=Europe/Rome:"&amp;TEXT($E122,"yyyymmdd")&amp;"T"&amp;TEXT($F122,"hhmmss")&amp;"
SUMMARY:"&amp;$B122&amp;"
LOCATION:"&amp;$G122&amp;"
DESCRIPTION:"&amp;$H122&amp;"
END:VEVENT")</f>
        <v/>
      </c>
      <c r="B122" s="68">
        <f>IF('Calendario C'!$B112="","",'Calendario C'!$B112&amp;" vs "&amp;'Calendario C'!$D112&amp;" "&amp;'Calendario C'!$AC112)</f>
        <v/>
      </c>
      <c r="C122" s="222">
        <f>IF($B122="","",DATE(YEAR('Calendario C'!$F112),MONTH('Calendario C'!$F112),DAY('Calendario C'!$F112)))</f>
        <v/>
      </c>
      <c r="D122" s="223">
        <f>IF($B122="","",TIME(HOUR('Calendario C'!$F112),MINUTE('Calendario C'!$F112),0))</f>
        <v/>
      </c>
      <c r="E122" s="222">
        <f>IF($B122="","",DATE(YEAR('Calendario C'!$F112),MONTH('Calendario C'!$F112),DAY('Calendario C'!$F112)))</f>
        <v/>
      </c>
      <c r="F122" s="223">
        <f>IF($B122="","",TIME(HOUR('Calendario C'!$F112)+2,MINUTE('Calendario C'!$F112),0))</f>
        <v/>
      </c>
      <c r="G122" s="68">
        <f>IF($B122="","",'Calendario C'!$B113)</f>
        <v/>
      </c>
      <c r="H122" s="68">
        <f>IF($B122="","",Campionato!$D$2&amp;" "&amp;Campionato!$D$6)</f>
        <v/>
      </c>
      <c r="I122" s="68" t="inlineStr"/>
    </row>
    <row r="123">
      <c r="A123" s="68">
        <f>IF($B123="","","BEGIN:VEVENT
DTSTAMP:"&amp;TEXT(NOW(),"yyyymmdd")&amp;"T000001Z
UID:evt122@ClaudeCoworkBaskin
DTSTART;TZID=Europe/Rome:"&amp;TEXT($C123,"yyyymmdd")&amp;"T"&amp;TEXT($D123,"hhmmss")&amp;"
DTEND;TZID=Europe/Rome:"&amp;TEXT($E123,"yyyymmdd")&amp;"T"&amp;TEXT($F123,"hhmmss")&amp;"
SUMMARY:"&amp;$B123&amp;"
LOCATION:"&amp;$G123&amp;"
DESCRIPTION:"&amp;$H123&amp;"
END:VEVENT")</f>
        <v/>
      </c>
      <c r="B123" s="68">
        <f>IF('Calendario C'!$B115="","",'Calendario C'!$B115&amp;" vs "&amp;'Calendario C'!$D115&amp;" "&amp;'Calendario C'!$AC115)</f>
        <v/>
      </c>
      <c r="C123" s="222">
        <f>IF($B123="","",DATE(YEAR('Calendario C'!$F115),MONTH('Calendario C'!$F115),DAY('Calendario C'!$F115)))</f>
        <v/>
      </c>
      <c r="D123" s="223">
        <f>IF($B123="","",TIME(HOUR('Calendario C'!$F115),MINUTE('Calendario C'!$F115),0))</f>
        <v/>
      </c>
      <c r="E123" s="222">
        <f>IF($B123="","",DATE(YEAR('Calendario C'!$F115),MONTH('Calendario C'!$F115),DAY('Calendario C'!$F115)))</f>
        <v/>
      </c>
      <c r="F123" s="223">
        <f>IF($B123="","",TIME(HOUR('Calendario C'!$F115)+2,MINUTE('Calendario C'!$F115),0))</f>
        <v/>
      </c>
      <c r="G123" s="68">
        <f>IF($B123="","",'Calendario C'!$B116)</f>
        <v/>
      </c>
      <c r="H123" s="68">
        <f>IF($B123="","",Campionato!$D$2&amp;" "&amp;Campionato!$D$6)</f>
        <v/>
      </c>
      <c r="I123" s="68" t="inlineStr"/>
    </row>
    <row r="124">
      <c r="A124" s="68">
        <f>IF($B124="","","BEGIN:VEVENT
DTSTAMP:"&amp;TEXT(NOW(),"yyyymmdd")&amp;"T000001Z
UID:evt123@ClaudeCoworkBaskin
DTSTART;TZID=Europe/Rome:"&amp;TEXT($C124,"yyyymmdd")&amp;"T"&amp;TEXT($D124,"hhmmss")&amp;"
DTEND;TZID=Europe/Rome:"&amp;TEXT($E124,"yyyymmdd")&amp;"T"&amp;TEXT($F124,"hhmmss")&amp;"
SUMMARY:"&amp;$B124&amp;"
LOCATION:"&amp;$G124&amp;"
DESCRIPTION:"&amp;$H124&amp;"
END:VEVENT")</f>
        <v/>
      </c>
      <c r="B124" s="68">
        <f>IF('Calendario C'!$B118="","",'Calendario C'!$B118&amp;" vs "&amp;'Calendario C'!$D118&amp;" "&amp;'Calendario C'!$AC118)</f>
        <v/>
      </c>
      <c r="C124" s="222">
        <f>IF($B124="","",DATE(YEAR('Calendario C'!$F118),MONTH('Calendario C'!$F118),DAY('Calendario C'!$F118)))</f>
        <v/>
      </c>
      <c r="D124" s="223">
        <f>IF($B124="","",TIME(HOUR('Calendario C'!$F118),MINUTE('Calendario C'!$F118),0))</f>
        <v/>
      </c>
      <c r="E124" s="222">
        <f>IF($B124="","",DATE(YEAR('Calendario C'!$F118),MONTH('Calendario C'!$F118),DAY('Calendario C'!$F118)))</f>
        <v/>
      </c>
      <c r="F124" s="223">
        <f>IF($B124="","",TIME(HOUR('Calendario C'!$F118)+2,MINUTE('Calendario C'!$F118),0))</f>
        <v/>
      </c>
      <c r="G124" s="68">
        <f>IF($B124="","",'Calendario C'!$B119)</f>
        <v/>
      </c>
      <c r="H124" s="68">
        <f>IF($B124="","",Campionato!$D$2&amp;" "&amp;Campionato!$D$6)</f>
        <v/>
      </c>
      <c r="I124" s="68" t="inlineStr"/>
    </row>
    <row r="125">
      <c r="A125" s="68">
        <f>IF($B125="","","BEGIN:VEVENT
DTSTAMP:"&amp;TEXT(NOW(),"yyyymmdd")&amp;"T000001Z
UID:evt124@ClaudeCoworkBaskin
DTSTART;TZID=Europe/Rome:"&amp;TEXT($C125,"yyyymmdd")&amp;"T"&amp;TEXT($D125,"hhmmss")&amp;"
DTEND;TZID=Europe/Rome:"&amp;TEXT($E125,"yyyymmdd")&amp;"T"&amp;TEXT($F125,"hhmmss")&amp;"
SUMMARY:"&amp;$B125&amp;"
LOCATION:"&amp;$G125&amp;"
DESCRIPTION:"&amp;$H125&amp;"
END:VEVENT")</f>
        <v/>
      </c>
      <c r="B125" s="68">
        <f>IF('Calendario C'!$B121="","",'Calendario C'!$B121&amp;" vs "&amp;'Calendario C'!$D121&amp;" "&amp;'Calendario C'!$AC121)</f>
        <v/>
      </c>
      <c r="C125" s="222">
        <f>IF($B125="","",DATE(YEAR('Calendario C'!$F121),MONTH('Calendario C'!$F121),DAY('Calendario C'!$F121)))</f>
        <v/>
      </c>
      <c r="D125" s="223">
        <f>IF($B125="","",TIME(HOUR('Calendario C'!$F121),MINUTE('Calendario C'!$F121),0))</f>
        <v/>
      </c>
      <c r="E125" s="222">
        <f>IF($B125="","",DATE(YEAR('Calendario C'!$F121),MONTH('Calendario C'!$F121),DAY('Calendario C'!$F121)))</f>
        <v/>
      </c>
      <c r="F125" s="223">
        <f>IF($B125="","",TIME(HOUR('Calendario C'!$F121)+2,MINUTE('Calendario C'!$F121),0))</f>
        <v/>
      </c>
      <c r="G125" s="68">
        <f>IF($B125="","",'Calendario C'!$B122)</f>
        <v/>
      </c>
      <c r="H125" s="68">
        <f>IF($B125="","",Campionato!$D$2&amp;" "&amp;Campionato!$D$6)</f>
        <v/>
      </c>
      <c r="I125" s="68" t="inlineStr"/>
    </row>
    <row r="126">
      <c r="A126" s="68">
        <f>IF($B126="","","BEGIN:VEVENT
DTSTAMP:"&amp;TEXT(NOW(),"yyyymmdd")&amp;"T000001Z
UID:evt125@ClaudeCoworkBaskin
DTSTART;TZID=Europe/Rome:"&amp;TEXT($C126,"yyyymmdd")&amp;"T"&amp;TEXT($D126,"hhmmss")&amp;"
DTEND;TZID=Europe/Rome:"&amp;TEXT($E126,"yyyymmdd")&amp;"T"&amp;TEXT($F126,"hhmmss")&amp;"
SUMMARY:"&amp;$B126&amp;"
LOCATION:"&amp;$G126&amp;"
DESCRIPTION:"&amp;$H126&amp;"
END:VEVENT")</f>
        <v/>
      </c>
      <c r="B126" s="68">
        <f>IF('Calendario C'!$B124="","",'Calendario C'!$B124&amp;" vs "&amp;'Calendario C'!$D124&amp;" "&amp;'Calendario C'!$AC124)</f>
        <v/>
      </c>
      <c r="C126" s="222">
        <f>IF($B126="","",DATE(YEAR('Calendario C'!$F124),MONTH('Calendario C'!$F124),DAY('Calendario C'!$F124)))</f>
        <v/>
      </c>
      <c r="D126" s="223">
        <f>IF($B126="","",TIME(HOUR('Calendario C'!$F124),MINUTE('Calendario C'!$F124),0))</f>
        <v/>
      </c>
      <c r="E126" s="222">
        <f>IF($B126="","",DATE(YEAR('Calendario C'!$F124),MONTH('Calendario C'!$F124),DAY('Calendario C'!$F124)))</f>
        <v/>
      </c>
      <c r="F126" s="223">
        <f>IF($B126="","",TIME(HOUR('Calendario C'!$F124)+2,MINUTE('Calendario C'!$F124),0))</f>
        <v/>
      </c>
      <c r="G126" s="68">
        <f>IF($B126="","",'Calendario C'!$B125)</f>
        <v/>
      </c>
      <c r="H126" s="68">
        <f>IF($B126="","",Campionato!$D$2&amp;" "&amp;Campionato!$D$6)</f>
        <v/>
      </c>
      <c r="I126" s="68" t="inlineStr"/>
    </row>
    <row r="127">
      <c r="A127" s="68">
        <f>IF($B127="","","BEGIN:VEVENT
DTSTAMP:"&amp;TEXT(NOW(),"yyyymmdd")&amp;"T000001Z
UID:evt126@ClaudeCoworkBaskin
DTSTART;TZID=Europe/Rome:"&amp;TEXT($C127,"yyyymmdd")&amp;"T"&amp;TEXT($D127,"hhmmss")&amp;"
DTEND;TZID=Europe/Rome:"&amp;TEXT($E127,"yyyymmdd")&amp;"T"&amp;TEXT($F127,"hhmmss")&amp;"
SUMMARY:"&amp;$B127&amp;"
LOCATION:"&amp;$G127&amp;"
DESCRIPTION:"&amp;$H127&amp;"
END:VEVENT")</f>
        <v/>
      </c>
      <c r="B127" s="68">
        <f>IF('Calendario C'!$B129="","",'Calendario C'!$B129&amp;" vs "&amp;'Calendario C'!$D129&amp;" "&amp;'Calendario C'!$AC129)</f>
        <v/>
      </c>
      <c r="C127" s="222">
        <f>IF($B127="","",DATE(YEAR('Calendario C'!$F129),MONTH('Calendario C'!$F129),DAY('Calendario C'!$F129)))</f>
        <v/>
      </c>
      <c r="D127" s="223">
        <f>IF($B127="","",TIME(HOUR('Calendario C'!$F129),MINUTE('Calendario C'!$F129),0))</f>
        <v/>
      </c>
      <c r="E127" s="222">
        <f>IF($B127="","",DATE(YEAR('Calendario C'!$F129),MONTH('Calendario C'!$F129),DAY('Calendario C'!$F129)))</f>
        <v/>
      </c>
      <c r="F127" s="223">
        <f>IF($B127="","",TIME(HOUR('Calendario C'!$F129)+2,MINUTE('Calendario C'!$F129),0))</f>
        <v/>
      </c>
      <c r="G127" s="68">
        <f>IF($B127="","",'Calendario C'!$B130)</f>
        <v/>
      </c>
      <c r="H127" s="68">
        <f>IF($B127="","",Campionato!$D$2&amp;" "&amp;Campionato!$D$6)</f>
        <v/>
      </c>
      <c r="I127" s="68" t="inlineStr"/>
    </row>
    <row r="128">
      <c r="A128" s="68">
        <f>IF($B128="","","BEGIN:VEVENT
DTSTAMP:"&amp;TEXT(NOW(),"yyyymmdd")&amp;"T000001Z
UID:evt127@ClaudeCoworkBaskin
DTSTART;TZID=Europe/Rome:"&amp;TEXT($C128,"yyyymmdd")&amp;"T"&amp;TEXT($D128,"hhmmss")&amp;"
DTEND;TZID=Europe/Rome:"&amp;TEXT($E128,"yyyymmdd")&amp;"T"&amp;TEXT($F128,"hhmmss")&amp;"
SUMMARY:"&amp;$B128&amp;"
LOCATION:"&amp;$G128&amp;"
DESCRIPTION:"&amp;$H128&amp;"
END:VEVENT")</f>
        <v/>
      </c>
      <c r="B128" s="68">
        <f>IF('Calendario C'!$B132="","",'Calendario C'!$B132&amp;" vs "&amp;'Calendario C'!$D132&amp;" "&amp;'Calendario C'!$AC132)</f>
        <v/>
      </c>
      <c r="C128" s="222">
        <f>IF($B128="","",DATE(YEAR('Calendario C'!$F132),MONTH('Calendario C'!$F132),DAY('Calendario C'!$F132)))</f>
        <v/>
      </c>
      <c r="D128" s="223">
        <f>IF($B128="","",TIME(HOUR('Calendario C'!$F132),MINUTE('Calendario C'!$F132),0))</f>
        <v/>
      </c>
      <c r="E128" s="222">
        <f>IF($B128="","",DATE(YEAR('Calendario C'!$F132),MONTH('Calendario C'!$F132),DAY('Calendario C'!$F132)))</f>
        <v/>
      </c>
      <c r="F128" s="223">
        <f>IF($B128="","",TIME(HOUR('Calendario C'!$F132)+2,MINUTE('Calendario C'!$F132),0))</f>
        <v/>
      </c>
      <c r="G128" s="68">
        <f>IF($B128="","",'Calendario C'!$B133)</f>
        <v/>
      </c>
      <c r="H128" s="68">
        <f>IF($B128="","",Campionato!$D$2&amp;" "&amp;Campionato!$D$6)</f>
        <v/>
      </c>
      <c r="I128" s="68" t="inlineStr"/>
    </row>
    <row r="129">
      <c r="A129" s="68">
        <f>IF($B129="","","BEGIN:VEVENT
DTSTAMP:"&amp;TEXT(NOW(),"yyyymmdd")&amp;"T000001Z
UID:evt128@ClaudeCoworkBaskin
DTSTART;TZID=Europe/Rome:"&amp;TEXT($C129,"yyyymmdd")&amp;"T"&amp;TEXT($D129,"hhmmss")&amp;"
DTEND;TZID=Europe/Rome:"&amp;TEXT($E129,"yyyymmdd")&amp;"T"&amp;TEXT($F129,"hhmmss")&amp;"
SUMMARY:"&amp;$B129&amp;"
LOCATION:"&amp;$G129&amp;"
DESCRIPTION:"&amp;$H129&amp;"
END:VEVENT")</f>
        <v/>
      </c>
      <c r="B129" s="68">
        <f>IF('Calendario C'!$B135="","",'Calendario C'!$B135&amp;" vs "&amp;'Calendario C'!$D135&amp;" "&amp;'Calendario C'!$AC135)</f>
        <v/>
      </c>
      <c r="C129" s="222">
        <f>IF($B129="","",DATE(YEAR('Calendario C'!$F135),MONTH('Calendario C'!$F135),DAY('Calendario C'!$F135)))</f>
        <v/>
      </c>
      <c r="D129" s="223">
        <f>IF($B129="","",TIME(HOUR('Calendario C'!$F135),MINUTE('Calendario C'!$F135),0))</f>
        <v/>
      </c>
      <c r="E129" s="222">
        <f>IF($B129="","",DATE(YEAR('Calendario C'!$F135),MONTH('Calendario C'!$F135),DAY('Calendario C'!$F135)))</f>
        <v/>
      </c>
      <c r="F129" s="223">
        <f>IF($B129="","",TIME(HOUR('Calendario C'!$F135)+2,MINUTE('Calendario C'!$F135),0))</f>
        <v/>
      </c>
      <c r="G129" s="68">
        <f>IF($B129="","",'Calendario C'!$B136)</f>
        <v/>
      </c>
      <c r="H129" s="68">
        <f>IF($B129="","",Campionato!$D$2&amp;" "&amp;Campionato!$D$6)</f>
        <v/>
      </c>
      <c r="I129" s="68" t="inlineStr"/>
    </row>
    <row r="130">
      <c r="A130" s="68">
        <f>IF($B130="","","BEGIN:VEVENT
DTSTAMP:"&amp;TEXT(NOW(),"yyyymmdd")&amp;"T000001Z
UID:evt129@ClaudeCoworkBaskin
DTSTART;TZID=Europe/Rome:"&amp;TEXT($C130,"yyyymmdd")&amp;"T"&amp;TEXT($D130,"hhmmss")&amp;"
DTEND;TZID=Europe/Rome:"&amp;TEXT($E130,"yyyymmdd")&amp;"T"&amp;TEXT($F130,"hhmmss")&amp;"
SUMMARY:"&amp;$B130&amp;"
LOCATION:"&amp;$G130&amp;"
DESCRIPTION:"&amp;$H130&amp;"
END:VEVENT")</f>
        <v/>
      </c>
      <c r="B130" s="68">
        <f>IF('Calendario C'!$B138="","",'Calendario C'!$B138&amp;" vs "&amp;'Calendario C'!$D138&amp;" "&amp;'Calendario C'!$AC138)</f>
        <v/>
      </c>
      <c r="C130" s="222">
        <f>IF($B130="","",DATE(YEAR('Calendario C'!$F138),MONTH('Calendario C'!$F138),DAY('Calendario C'!$F138)))</f>
        <v/>
      </c>
      <c r="D130" s="223">
        <f>IF($B130="","",TIME(HOUR('Calendario C'!$F138),MINUTE('Calendario C'!$F138),0))</f>
        <v/>
      </c>
      <c r="E130" s="222">
        <f>IF($B130="","",DATE(YEAR('Calendario C'!$F138),MONTH('Calendario C'!$F138),DAY('Calendario C'!$F138)))</f>
        <v/>
      </c>
      <c r="F130" s="223">
        <f>IF($B130="","",TIME(HOUR('Calendario C'!$F138)+2,MINUTE('Calendario C'!$F138),0))</f>
        <v/>
      </c>
      <c r="G130" s="68">
        <f>IF($B130="","",'Calendario C'!$B139)</f>
        <v/>
      </c>
      <c r="H130" s="68">
        <f>IF($B130="","",Campionato!$D$2&amp;" "&amp;Campionato!$D$6)</f>
        <v/>
      </c>
      <c r="I130" s="68" t="inlineStr"/>
    </row>
    <row r="131">
      <c r="A131" s="68">
        <f>IF($B131="","","BEGIN:VEVENT
DTSTAMP:"&amp;TEXT(NOW(),"yyyymmdd")&amp;"T000001Z
UID:evt130@ClaudeCoworkBaskin
DTSTART;TZID=Europe/Rome:"&amp;TEXT($C131,"yyyymmdd")&amp;"T"&amp;TEXT($D131,"hhmmss")&amp;"
DTEND;TZID=Europe/Rome:"&amp;TEXT($E131,"yyyymmdd")&amp;"T"&amp;TEXT($F131,"hhmmss")&amp;"
SUMMARY:"&amp;$B131&amp;"
LOCATION:"&amp;$G131&amp;"
DESCRIPTION:"&amp;$H131&amp;"
END:VEVENT")</f>
        <v/>
      </c>
      <c r="B131" s="68">
        <f>IF('Calendario C'!$B141="","",'Calendario C'!$B141&amp;" vs "&amp;'Calendario C'!$D141&amp;" "&amp;'Calendario C'!$AC141)</f>
        <v/>
      </c>
      <c r="C131" s="222">
        <f>IF($B131="","",DATE(YEAR('Calendario C'!$F141),MONTH('Calendario C'!$F141),DAY('Calendario C'!$F141)))</f>
        <v/>
      </c>
      <c r="D131" s="223">
        <f>IF($B131="","",TIME(HOUR('Calendario C'!$F141),MINUTE('Calendario C'!$F141),0))</f>
        <v/>
      </c>
      <c r="E131" s="222">
        <f>IF($B131="","",DATE(YEAR('Calendario C'!$F141),MONTH('Calendario C'!$F141),DAY('Calendario C'!$F141)))</f>
        <v/>
      </c>
      <c r="F131" s="223">
        <f>IF($B131="","",TIME(HOUR('Calendario C'!$F141)+2,MINUTE('Calendario C'!$F141),0))</f>
        <v/>
      </c>
      <c r="G131" s="68">
        <f>IF($B131="","",'Calendario C'!$B142)</f>
        <v/>
      </c>
      <c r="H131" s="68">
        <f>IF($B131="","",Campionato!$D$2&amp;" "&amp;Campionato!$D$6)</f>
        <v/>
      </c>
      <c r="I131" s="68" t="inlineStr"/>
    </row>
    <row r="132">
      <c r="A132" s="68">
        <f>IF($B132="","","BEGIN:VEVENT
DTSTAMP:"&amp;TEXT(NOW(),"yyyymmdd")&amp;"T000001Z
UID:evt131@ClaudeCoworkBaskin
DTSTART;TZID=Europe/Rome:"&amp;TEXT($C132,"yyyymmdd")&amp;"T"&amp;TEXT($D132,"hhmmss")&amp;"
DTEND;TZID=Europe/Rome:"&amp;TEXT($E132,"yyyymmdd")&amp;"T"&amp;TEXT($F132,"hhmmss")&amp;"
SUMMARY:"&amp;$B132&amp;"
LOCATION:"&amp;$G132&amp;"
DESCRIPTION:"&amp;$H132&amp;"
END:VEVENT")</f>
        <v/>
      </c>
      <c r="B132" s="68">
        <f>IF('Calendario C'!$B146="","",'Calendario C'!$B146&amp;" vs "&amp;'Calendario C'!$D146&amp;" "&amp;'Calendario C'!$AC146)</f>
        <v/>
      </c>
      <c r="C132" s="222">
        <f>IF($B132="","",DATE(YEAR('Calendario C'!$F146),MONTH('Calendario C'!$F146),DAY('Calendario C'!$F146)))</f>
        <v/>
      </c>
      <c r="D132" s="223">
        <f>IF($B132="","",TIME(HOUR('Calendario C'!$F146),MINUTE('Calendario C'!$F146),0))</f>
        <v/>
      </c>
      <c r="E132" s="222">
        <f>IF($B132="","",DATE(YEAR('Calendario C'!$F146),MONTH('Calendario C'!$F146),DAY('Calendario C'!$F146)))</f>
        <v/>
      </c>
      <c r="F132" s="223">
        <f>IF($B132="","",TIME(HOUR('Calendario C'!$F146)+2,MINUTE('Calendario C'!$F146),0))</f>
        <v/>
      </c>
      <c r="G132" s="68">
        <f>IF($B132="","",'Calendario C'!$B147)</f>
        <v/>
      </c>
      <c r="H132" s="68">
        <f>IF($B132="","",Campionato!$D$2&amp;" "&amp;Campionato!$D$6)</f>
        <v/>
      </c>
      <c r="I132" s="68" t="inlineStr"/>
    </row>
    <row r="133">
      <c r="A133" s="68">
        <f>IF($B133="","","BEGIN:VEVENT
DTSTAMP:"&amp;TEXT(NOW(),"yyyymmdd")&amp;"T000001Z
UID:evt132@ClaudeCoworkBaskin
DTSTART;TZID=Europe/Rome:"&amp;TEXT($C133,"yyyymmdd")&amp;"T"&amp;TEXT($D133,"hhmmss")&amp;"
DTEND;TZID=Europe/Rome:"&amp;TEXT($E133,"yyyymmdd")&amp;"T"&amp;TEXT($F133,"hhmmss")&amp;"
SUMMARY:"&amp;$B133&amp;"
LOCATION:"&amp;$G133&amp;"
DESCRIPTION:"&amp;$H133&amp;"
END:VEVENT")</f>
        <v/>
      </c>
      <c r="B133" s="68">
        <f>IF('Calendario C'!$B149="","",'Calendario C'!$B149&amp;" vs "&amp;'Calendario C'!$D149&amp;" "&amp;'Calendario C'!$AC149)</f>
        <v/>
      </c>
      <c r="C133" s="222">
        <f>IF($B133="","",DATE(YEAR('Calendario C'!$F149),MONTH('Calendario C'!$F149),DAY('Calendario C'!$F149)))</f>
        <v/>
      </c>
      <c r="D133" s="223">
        <f>IF($B133="","",TIME(HOUR('Calendario C'!$F149),MINUTE('Calendario C'!$F149),0))</f>
        <v/>
      </c>
      <c r="E133" s="222">
        <f>IF($B133="","",DATE(YEAR('Calendario C'!$F149),MONTH('Calendario C'!$F149),DAY('Calendario C'!$F149)))</f>
        <v/>
      </c>
      <c r="F133" s="223">
        <f>IF($B133="","",TIME(HOUR('Calendario C'!$F149)+2,MINUTE('Calendario C'!$F149),0))</f>
        <v/>
      </c>
      <c r="G133" s="68">
        <f>IF($B133="","",'Calendario C'!$B150)</f>
        <v/>
      </c>
      <c r="H133" s="68">
        <f>IF($B133="","",Campionato!$D$2&amp;" "&amp;Campionato!$D$6)</f>
        <v/>
      </c>
      <c r="I133" s="68" t="inlineStr"/>
    </row>
    <row r="134">
      <c r="A134" s="68">
        <f>IF($B134="","","BEGIN:VEVENT
DTSTAMP:"&amp;TEXT(NOW(),"yyyymmdd")&amp;"T000001Z
UID:evt133@ClaudeCoworkBaskin
DTSTART;TZID=Europe/Rome:"&amp;TEXT($C134,"yyyymmdd")&amp;"T"&amp;TEXT($D134,"hhmmss")&amp;"
DTEND;TZID=Europe/Rome:"&amp;TEXT($E134,"yyyymmdd")&amp;"T"&amp;TEXT($F134,"hhmmss")&amp;"
SUMMARY:"&amp;$B134&amp;"
LOCATION:"&amp;$G134&amp;"
DESCRIPTION:"&amp;$H134&amp;"
END:VEVENT")</f>
        <v/>
      </c>
      <c r="B134" s="68">
        <f>IF('Calendario C'!$B152="","",'Calendario C'!$B152&amp;" vs "&amp;'Calendario C'!$D152&amp;" "&amp;'Calendario C'!$AC152)</f>
        <v/>
      </c>
      <c r="C134" s="222">
        <f>IF($B134="","",DATE(YEAR('Calendario C'!$F152),MONTH('Calendario C'!$F152),DAY('Calendario C'!$F152)))</f>
        <v/>
      </c>
      <c r="D134" s="223">
        <f>IF($B134="","",TIME(HOUR('Calendario C'!$F152),MINUTE('Calendario C'!$F152),0))</f>
        <v/>
      </c>
      <c r="E134" s="222">
        <f>IF($B134="","",DATE(YEAR('Calendario C'!$F152),MONTH('Calendario C'!$F152),DAY('Calendario C'!$F152)))</f>
        <v/>
      </c>
      <c r="F134" s="223">
        <f>IF($B134="","",TIME(HOUR('Calendario C'!$F152)+2,MINUTE('Calendario C'!$F152),0))</f>
        <v/>
      </c>
      <c r="G134" s="68">
        <f>IF($B134="","",'Calendario C'!$B153)</f>
        <v/>
      </c>
      <c r="H134" s="68">
        <f>IF($B134="","",Campionato!$D$2&amp;" "&amp;Campionato!$D$6)</f>
        <v/>
      </c>
      <c r="I134" s="68" t="inlineStr"/>
    </row>
    <row r="135">
      <c r="A135" s="68">
        <f>IF($B135="","","BEGIN:VEVENT
DTSTAMP:"&amp;TEXT(NOW(),"yyyymmdd")&amp;"T000001Z
UID:evt134@ClaudeCoworkBaskin
DTSTART;TZID=Europe/Rome:"&amp;TEXT($C135,"yyyymmdd")&amp;"T"&amp;TEXT($D135,"hhmmss")&amp;"
DTEND;TZID=Europe/Rome:"&amp;TEXT($E135,"yyyymmdd")&amp;"T"&amp;TEXT($F135,"hhmmss")&amp;"
SUMMARY:"&amp;$B135&amp;"
LOCATION:"&amp;$G135&amp;"
DESCRIPTION:"&amp;$H135&amp;"
END:VEVENT")</f>
        <v/>
      </c>
      <c r="B135" s="68">
        <f>IF('Calendario C'!$B155="","",'Calendario C'!$B155&amp;" vs "&amp;'Calendario C'!$D155&amp;" "&amp;'Calendario C'!$AC155)</f>
        <v/>
      </c>
      <c r="C135" s="222">
        <f>IF($B135="","",DATE(YEAR('Calendario C'!$F155),MONTH('Calendario C'!$F155),DAY('Calendario C'!$F155)))</f>
        <v/>
      </c>
      <c r="D135" s="223">
        <f>IF($B135="","",TIME(HOUR('Calendario C'!$F155),MINUTE('Calendario C'!$F155),0))</f>
        <v/>
      </c>
      <c r="E135" s="222">
        <f>IF($B135="","",DATE(YEAR('Calendario C'!$F155),MONTH('Calendario C'!$F155),DAY('Calendario C'!$F155)))</f>
        <v/>
      </c>
      <c r="F135" s="223">
        <f>IF($B135="","",TIME(HOUR('Calendario C'!$F155)+2,MINUTE('Calendario C'!$F155),0))</f>
        <v/>
      </c>
      <c r="G135" s="68">
        <f>IF($B135="","",'Calendario C'!$B156)</f>
        <v/>
      </c>
      <c r="H135" s="68">
        <f>IF($B135="","",Campionato!$D$2&amp;" "&amp;Campionato!$D$6)</f>
        <v/>
      </c>
      <c r="I135" s="68" t="inlineStr"/>
    </row>
    <row r="136">
      <c r="A136" s="68">
        <f>IF($B136="","","BEGIN:VEVENT
DTSTAMP:"&amp;TEXT(NOW(),"yyyymmdd")&amp;"T000001Z
UID:evt135@ClaudeCoworkBaskin
DTSTART;TZID=Europe/Rome:"&amp;TEXT($C136,"yyyymmdd")&amp;"T"&amp;TEXT($D136,"hhmmss")&amp;"
DTEND;TZID=Europe/Rome:"&amp;TEXT($E136,"yyyymmdd")&amp;"T"&amp;TEXT($F136,"hhmmss")&amp;"
SUMMARY:"&amp;$B136&amp;"
LOCATION:"&amp;$G136&amp;"
DESCRIPTION:"&amp;$H136&amp;"
END:VEVENT")</f>
        <v/>
      </c>
      <c r="B136" s="68">
        <f>IF('Calendario C'!$B158="","",'Calendario C'!$B158&amp;" vs "&amp;'Calendario C'!$D158&amp;" "&amp;'Calendario C'!$AC158)</f>
        <v/>
      </c>
      <c r="C136" s="222">
        <f>IF($B136="","",DATE(YEAR('Calendario C'!$F158),MONTH('Calendario C'!$F158),DAY('Calendario C'!$F158)))</f>
        <v/>
      </c>
      <c r="D136" s="223">
        <f>IF($B136="","",TIME(HOUR('Calendario C'!$F158),MINUTE('Calendario C'!$F158),0))</f>
        <v/>
      </c>
      <c r="E136" s="222">
        <f>IF($B136="","",DATE(YEAR('Calendario C'!$F158),MONTH('Calendario C'!$F158),DAY('Calendario C'!$F158)))</f>
        <v/>
      </c>
      <c r="F136" s="223">
        <f>IF($B136="","",TIME(HOUR('Calendario C'!$F158)+2,MINUTE('Calendario C'!$F158),0))</f>
        <v/>
      </c>
      <c r="G136" s="68">
        <f>IF($B136="","",'Calendario C'!$B159)</f>
        <v/>
      </c>
      <c r="H136" s="68">
        <f>IF($B136="","",Campionato!$D$2&amp;" "&amp;Campionato!$D$6)</f>
        <v/>
      </c>
      <c r="I136" s="68" t="inlineStr"/>
    </row>
    <row r="137">
      <c r="A137" s="68">
        <f>IF($B137="","","BEGIN:VEVENT
DTSTAMP:"&amp;TEXT(NOW(),"yyyymmdd")&amp;"T000001Z
UID:evt136@ClaudeCoworkBaskin
DTSTART;TZID=Europe/Rome:"&amp;TEXT($C137,"yyyymmdd")&amp;"T"&amp;TEXT($D137,"hhmmss")&amp;"
DTEND;TZID=Europe/Rome:"&amp;TEXT($E137,"yyyymmdd")&amp;"T"&amp;TEXT($F137,"hhmmss")&amp;"
SUMMARY:"&amp;$B137&amp;"
LOCATION:"&amp;$G137&amp;"
DESCRIPTION:"&amp;$H137&amp;"
END:VEVENT")</f>
        <v/>
      </c>
      <c r="B137" s="68">
        <f>IF('Calendario D'!$B10="","",'Calendario D'!$B10&amp;" vs "&amp;'Calendario D'!$D10&amp;" "&amp;'Calendario D'!$AC10)</f>
        <v/>
      </c>
      <c r="C137" s="222">
        <f>IF($B137="","",DATE(YEAR('Calendario D'!$F10),MONTH('Calendario D'!$F10),DAY('Calendario D'!$F10)))</f>
        <v/>
      </c>
      <c r="D137" s="223">
        <f>IF($B137="","",TIME(HOUR('Calendario D'!$F10),MINUTE('Calendario D'!$F10),0))</f>
        <v/>
      </c>
      <c r="E137" s="222">
        <f>IF($B137="","",DATE(YEAR('Calendario D'!$F10),MONTH('Calendario D'!$F10),DAY('Calendario D'!$F10)))</f>
        <v/>
      </c>
      <c r="F137" s="223">
        <f>IF($B137="","",TIME(HOUR('Calendario D'!$F10)+2,MINUTE('Calendario D'!$F10),0))</f>
        <v/>
      </c>
      <c r="G137" s="68">
        <f>IF($B137="","",'Calendario D'!$B11)</f>
        <v/>
      </c>
      <c r="H137" s="68">
        <f>IF($B137="","",Campionato!$D$2&amp;" "&amp;Campionato!$D$6)</f>
        <v/>
      </c>
      <c r="I137" s="68" t="inlineStr"/>
    </row>
    <row r="138">
      <c r="A138" s="68">
        <f>IF($B138="","","BEGIN:VEVENT
DTSTAMP:"&amp;TEXT(NOW(),"yyyymmdd")&amp;"T000001Z
UID:evt137@ClaudeCoworkBaskin
DTSTART;TZID=Europe/Rome:"&amp;TEXT($C138,"yyyymmdd")&amp;"T"&amp;TEXT($D138,"hhmmss")&amp;"
DTEND;TZID=Europe/Rome:"&amp;TEXT($E138,"yyyymmdd")&amp;"T"&amp;TEXT($F138,"hhmmss")&amp;"
SUMMARY:"&amp;$B138&amp;"
LOCATION:"&amp;$G138&amp;"
DESCRIPTION:"&amp;$H138&amp;"
END:VEVENT")</f>
        <v/>
      </c>
      <c r="B138" s="68">
        <f>IF('Calendario D'!$B13="","",'Calendario D'!$B13&amp;" vs "&amp;'Calendario D'!$D13&amp;" "&amp;'Calendario D'!$AC13)</f>
        <v/>
      </c>
      <c r="C138" s="222">
        <f>IF($B138="","",DATE(YEAR('Calendario D'!$F13),MONTH('Calendario D'!$F13),DAY('Calendario D'!$F13)))</f>
        <v/>
      </c>
      <c r="D138" s="223">
        <f>IF($B138="","",TIME(HOUR('Calendario D'!$F13),MINUTE('Calendario D'!$F13),0))</f>
        <v/>
      </c>
      <c r="E138" s="222">
        <f>IF($B138="","",DATE(YEAR('Calendario D'!$F13),MONTH('Calendario D'!$F13),DAY('Calendario D'!$F13)))</f>
        <v/>
      </c>
      <c r="F138" s="223">
        <f>IF($B138="","",TIME(HOUR('Calendario D'!$F13)+2,MINUTE('Calendario D'!$F13),0))</f>
        <v/>
      </c>
      <c r="G138" s="68">
        <f>IF($B138="","",'Calendario D'!$B14)</f>
        <v/>
      </c>
      <c r="H138" s="68">
        <f>IF($B138="","",Campionato!$D$2&amp;" "&amp;Campionato!$D$6)</f>
        <v/>
      </c>
      <c r="I138" s="68" t="inlineStr"/>
    </row>
    <row r="139">
      <c r="A139" s="68">
        <f>IF($B139="","","BEGIN:VEVENT
DTSTAMP:"&amp;TEXT(NOW(),"yyyymmdd")&amp;"T000001Z
UID:evt138@ClaudeCoworkBaskin
DTSTART;TZID=Europe/Rome:"&amp;TEXT($C139,"yyyymmdd")&amp;"T"&amp;TEXT($D139,"hhmmss")&amp;"
DTEND;TZID=Europe/Rome:"&amp;TEXT($E139,"yyyymmdd")&amp;"T"&amp;TEXT($F139,"hhmmss")&amp;"
SUMMARY:"&amp;$B139&amp;"
LOCATION:"&amp;$G139&amp;"
DESCRIPTION:"&amp;$H139&amp;"
END:VEVENT")</f>
        <v/>
      </c>
      <c r="B139" s="68">
        <f>IF('Calendario D'!$B16="","",'Calendario D'!$B16&amp;" vs "&amp;'Calendario D'!$D16&amp;" "&amp;'Calendario D'!$AC16)</f>
        <v/>
      </c>
      <c r="C139" s="222">
        <f>IF($B139="","",DATE(YEAR('Calendario D'!$F16),MONTH('Calendario D'!$F16),DAY('Calendario D'!$F16)))</f>
        <v/>
      </c>
      <c r="D139" s="223">
        <f>IF($B139="","",TIME(HOUR('Calendario D'!$F16),MINUTE('Calendario D'!$F16),0))</f>
        <v/>
      </c>
      <c r="E139" s="222">
        <f>IF($B139="","",DATE(YEAR('Calendario D'!$F16),MONTH('Calendario D'!$F16),DAY('Calendario D'!$F16)))</f>
        <v/>
      </c>
      <c r="F139" s="223">
        <f>IF($B139="","",TIME(HOUR('Calendario D'!$F16)+2,MINUTE('Calendario D'!$F16),0))</f>
        <v/>
      </c>
      <c r="G139" s="68">
        <f>IF($B139="","",'Calendario D'!$B17)</f>
        <v/>
      </c>
      <c r="H139" s="68">
        <f>IF($B139="","",Campionato!$D$2&amp;" "&amp;Campionato!$D$6)</f>
        <v/>
      </c>
      <c r="I139" s="68" t="inlineStr"/>
    </row>
    <row r="140">
      <c r="A140" s="68">
        <f>IF($B140="","","BEGIN:VEVENT
DTSTAMP:"&amp;TEXT(NOW(),"yyyymmdd")&amp;"T000001Z
UID:evt139@ClaudeCoworkBaskin
DTSTART;TZID=Europe/Rome:"&amp;TEXT($C140,"yyyymmdd")&amp;"T"&amp;TEXT($D140,"hhmmss")&amp;"
DTEND;TZID=Europe/Rome:"&amp;TEXT($E140,"yyyymmdd")&amp;"T"&amp;TEXT($F140,"hhmmss")&amp;"
SUMMARY:"&amp;$B140&amp;"
LOCATION:"&amp;$G140&amp;"
DESCRIPTION:"&amp;$H140&amp;"
END:VEVENT")</f>
        <v/>
      </c>
      <c r="B140" s="68">
        <f>IF('Calendario D'!$B19="","",'Calendario D'!$B19&amp;" vs "&amp;'Calendario D'!$D19&amp;" "&amp;'Calendario D'!$AC19)</f>
        <v/>
      </c>
      <c r="C140" s="222">
        <f>IF($B140="","",DATE(YEAR('Calendario D'!$F19),MONTH('Calendario D'!$F19),DAY('Calendario D'!$F19)))</f>
        <v/>
      </c>
      <c r="D140" s="223">
        <f>IF($B140="","",TIME(HOUR('Calendario D'!$F19),MINUTE('Calendario D'!$F19),0))</f>
        <v/>
      </c>
      <c r="E140" s="222">
        <f>IF($B140="","",DATE(YEAR('Calendario D'!$F19),MONTH('Calendario D'!$F19),DAY('Calendario D'!$F19)))</f>
        <v/>
      </c>
      <c r="F140" s="223">
        <f>IF($B140="","",TIME(HOUR('Calendario D'!$F19)+2,MINUTE('Calendario D'!$F19),0))</f>
        <v/>
      </c>
      <c r="G140" s="68">
        <f>IF($B140="","",'Calendario D'!$B20)</f>
        <v/>
      </c>
      <c r="H140" s="68">
        <f>IF($B140="","",Campionato!$D$2&amp;" "&amp;Campionato!$D$6)</f>
        <v/>
      </c>
      <c r="I140" s="68" t="inlineStr"/>
    </row>
    <row r="141">
      <c r="A141" s="68">
        <f>IF($B141="","","BEGIN:VEVENT
DTSTAMP:"&amp;TEXT(NOW(),"yyyymmdd")&amp;"T000001Z
UID:evt140@ClaudeCoworkBaskin
DTSTART;TZID=Europe/Rome:"&amp;TEXT($C141,"yyyymmdd")&amp;"T"&amp;TEXT($D141,"hhmmss")&amp;"
DTEND;TZID=Europe/Rome:"&amp;TEXT($E141,"yyyymmdd")&amp;"T"&amp;TEXT($F141,"hhmmss")&amp;"
SUMMARY:"&amp;$B141&amp;"
LOCATION:"&amp;$G141&amp;"
DESCRIPTION:"&amp;$H141&amp;"
END:VEVENT")</f>
        <v/>
      </c>
      <c r="B141" s="68">
        <f>IF('Calendario D'!$B22="","",'Calendario D'!$B22&amp;" vs "&amp;'Calendario D'!$D22&amp;" "&amp;'Calendario D'!$AC22)</f>
        <v/>
      </c>
      <c r="C141" s="222">
        <f>IF($B141="","",DATE(YEAR('Calendario D'!$F22),MONTH('Calendario D'!$F22),DAY('Calendario D'!$F22)))</f>
        <v/>
      </c>
      <c r="D141" s="223">
        <f>IF($B141="","",TIME(HOUR('Calendario D'!$F22),MINUTE('Calendario D'!$F22),0))</f>
        <v/>
      </c>
      <c r="E141" s="222">
        <f>IF($B141="","",DATE(YEAR('Calendario D'!$F22),MONTH('Calendario D'!$F22),DAY('Calendario D'!$F22)))</f>
        <v/>
      </c>
      <c r="F141" s="223">
        <f>IF($B141="","",TIME(HOUR('Calendario D'!$F22)+2,MINUTE('Calendario D'!$F22),0))</f>
        <v/>
      </c>
      <c r="G141" s="68">
        <f>IF($B141="","",'Calendario D'!$B23)</f>
        <v/>
      </c>
      <c r="H141" s="68">
        <f>IF($B141="","",Campionato!$D$2&amp;" "&amp;Campionato!$D$6)</f>
        <v/>
      </c>
      <c r="I141" s="68" t="inlineStr"/>
    </row>
    <row r="142">
      <c r="A142" s="68">
        <f>IF($B142="","","BEGIN:VEVENT
DTSTAMP:"&amp;TEXT(NOW(),"yyyymmdd")&amp;"T000001Z
UID:evt141@ClaudeCoworkBaskin
DTSTART;TZID=Europe/Rome:"&amp;TEXT($C142,"yyyymmdd")&amp;"T"&amp;TEXT($D142,"hhmmss")&amp;"
DTEND;TZID=Europe/Rome:"&amp;TEXT($E142,"yyyymmdd")&amp;"T"&amp;TEXT($F142,"hhmmss")&amp;"
SUMMARY:"&amp;$B142&amp;"
LOCATION:"&amp;$G142&amp;"
DESCRIPTION:"&amp;$H142&amp;"
END:VEVENT")</f>
        <v/>
      </c>
      <c r="B142" s="68">
        <f>IF('Calendario D'!$B27="","",'Calendario D'!$B27&amp;" vs "&amp;'Calendario D'!$D27&amp;" "&amp;'Calendario D'!$AC27)</f>
        <v/>
      </c>
      <c r="C142" s="222">
        <f>IF($B142="","",DATE(YEAR('Calendario D'!$F27),MONTH('Calendario D'!$F27),DAY('Calendario D'!$F27)))</f>
        <v/>
      </c>
      <c r="D142" s="223">
        <f>IF($B142="","",TIME(HOUR('Calendario D'!$F27),MINUTE('Calendario D'!$F27),0))</f>
        <v/>
      </c>
      <c r="E142" s="222">
        <f>IF($B142="","",DATE(YEAR('Calendario D'!$F27),MONTH('Calendario D'!$F27),DAY('Calendario D'!$F27)))</f>
        <v/>
      </c>
      <c r="F142" s="223">
        <f>IF($B142="","",TIME(HOUR('Calendario D'!$F27)+2,MINUTE('Calendario D'!$F27),0))</f>
        <v/>
      </c>
      <c r="G142" s="68">
        <f>IF($B142="","",'Calendario D'!$B28)</f>
        <v/>
      </c>
      <c r="H142" s="68">
        <f>IF($B142="","",Campionato!$D$2&amp;" "&amp;Campionato!$D$6)</f>
        <v/>
      </c>
      <c r="I142" s="68" t="inlineStr"/>
    </row>
    <row r="143">
      <c r="A143" s="68">
        <f>IF($B143="","","BEGIN:VEVENT
DTSTAMP:"&amp;TEXT(NOW(),"yyyymmdd")&amp;"T000001Z
UID:evt142@ClaudeCoworkBaskin
DTSTART;TZID=Europe/Rome:"&amp;TEXT($C143,"yyyymmdd")&amp;"T"&amp;TEXT($D143,"hhmmss")&amp;"
DTEND;TZID=Europe/Rome:"&amp;TEXT($E143,"yyyymmdd")&amp;"T"&amp;TEXT($F143,"hhmmss")&amp;"
SUMMARY:"&amp;$B143&amp;"
LOCATION:"&amp;$G143&amp;"
DESCRIPTION:"&amp;$H143&amp;"
END:VEVENT")</f>
        <v/>
      </c>
      <c r="B143" s="68">
        <f>IF('Calendario D'!$B30="","",'Calendario D'!$B30&amp;" vs "&amp;'Calendario D'!$D30&amp;" "&amp;'Calendario D'!$AC30)</f>
        <v/>
      </c>
      <c r="C143" s="222">
        <f>IF($B143="","",DATE(YEAR('Calendario D'!$F30),MONTH('Calendario D'!$F30),DAY('Calendario D'!$F30)))</f>
        <v/>
      </c>
      <c r="D143" s="223">
        <f>IF($B143="","",TIME(HOUR('Calendario D'!$F30),MINUTE('Calendario D'!$F30),0))</f>
        <v/>
      </c>
      <c r="E143" s="222">
        <f>IF($B143="","",DATE(YEAR('Calendario D'!$F30),MONTH('Calendario D'!$F30),DAY('Calendario D'!$F30)))</f>
        <v/>
      </c>
      <c r="F143" s="223">
        <f>IF($B143="","",TIME(HOUR('Calendario D'!$F30)+2,MINUTE('Calendario D'!$F30),0))</f>
        <v/>
      </c>
      <c r="G143" s="68">
        <f>IF($B143="","",'Calendario D'!$B31)</f>
        <v/>
      </c>
      <c r="H143" s="68">
        <f>IF($B143="","",Campionato!$D$2&amp;" "&amp;Campionato!$D$6)</f>
        <v/>
      </c>
      <c r="I143" s="68" t="inlineStr"/>
    </row>
    <row r="144">
      <c r="A144" s="68">
        <f>IF($B144="","","BEGIN:VEVENT
DTSTAMP:"&amp;TEXT(NOW(),"yyyymmdd")&amp;"T000001Z
UID:evt143@ClaudeCoworkBaskin
DTSTART;TZID=Europe/Rome:"&amp;TEXT($C144,"yyyymmdd")&amp;"T"&amp;TEXT($D144,"hhmmss")&amp;"
DTEND;TZID=Europe/Rome:"&amp;TEXT($E144,"yyyymmdd")&amp;"T"&amp;TEXT($F144,"hhmmss")&amp;"
SUMMARY:"&amp;$B144&amp;"
LOCATION:"&amp;$G144&amp;"
DESCRIPTION:"&amp;$H144&amp;"
END:VEVENT")</f>
        <v/>
      </c>
      <c r="B144" s="68">
        <f>IF('Calendario D'!$B33="","",'Calendario D'!$B33&amp;" vs "&amp;'Calendario D'!$D33&amp;" "&amp;'Calendario D'!$AC33)</f>
        <v/>
      </c>
      <c r="C144" s="222">
        <f>IF($B144="","",DATE(YEAR('Calendario D'!$F33),MONTH('Calendario D'!$F33),DAY('Calendario D'!$F33)))</f>
        <v/>
      </c>
      <c r="D144" s="223">
        <f>IF($B144="","",TIME(HOUR('Calendario D'!$F33),MINUTE('Calendario D'!$F33),0))</f>
        <v/>
      </c>
      <c r="E144" s="222">
        <f>IF($B144="","",DATE(YEAR('Calendario D'!$F33),MONTH('Calendario D'!$F33),DAY('Calendario D'!$F33)))</f>
        <v/>
      </c>
      <c r="F144" s="223">
        <f>IF($B144="","",TIME(HOUR('Calendario D'!$F33)+2,MINUTE('Calendario D'!$F33),0))</f>
        <v/>
      </c>
      <c r="G144" s="68">
        <f>IF($B144="","",'Calendario D'!$B34)</f>
        <v/>
      </c>
      <c r="H144" s="68">
        <f>IF($B144="","",Campionato!$D$2&amp;" "&amp;Campionato!$D$6)</f>
        <v/>
      </c>
      <c r="I144" s="68" t="inlineStr"/>
    </row>
    <row r="145">
      <c r="A145" s="68">
        <f>IF($B145="","","BEGIN:VEVENT
DTSTAMP:"&amp;TEXT(NOW(),"yyyymmdd")&amp;"T000001Z
UID:evt144@ClaudeCoworkBaskin
DTSTART;TZID=Europe/Rome:"&amp;TEXT($C145,"yyyymmdd")&amp;"T"&amp;TEXT($D145,"hhmmss")&amp;"
DTEND;TZID=Europe/Rome:"&amp;TEXT($E145,"yyyymmdd")&amp;"T"&amp;TEXT($F145,"hhmmss")&amp;"
SUMMARY:"&amp;$B145&amp;"
LOCATION:"&amp;$G145&amp;"
DESCRIPTION:"&amp;$H145&amp;"
END:VEVENT")</f>
        <v/>
      </c>
      <c r="B145" s="68">
        <f>IF('Calendario D'!$B36="","",'Calendario D'!$B36&amp;" vs "&amp;'Calendario D'!$D36&amp;" "&amp;'Calendario D'!$AC36)</f>
        <v/>
      </c>
      <c r="C145" s="222">
        <f>IF($B145="","",DATE(YEAR('Calendario D'!$F36),MONTH('Calendario D'!$F36),DAY('Calendario D'!$F36)))</f>
        <v/>
      </c>
      <c r="D145" s="223">
        <f>IF($B145="","",TIME(HOUR('Calendario D'!$F36),MINUTE('Calendario D'!$F36),0))</f>
        <v/>
      </c>
      <c r="E145" s="222">
        <f>IF($B145="","",DATE(YEAR('Calendario D'!$F36),MONTH('Calendario D'!$F36),DAY('Calendario D'!$F36)))</f>
        <v/>
      </c>
      <c r="F145" s="223">
        <f>IF($B145="","",TIME(HOUR('Calendario D'!$F36)+2,MINUTE('Calendario D'!$F36),0))</f>
        <v/>
      </c>
      <c r="G145" s="68">
        <f>IF($B145="","",'Calendario D'!$B37)</f>
        <v/>
      </c>
      <c r="H145" s="68">
        <f>IF($B145="","",Campionato!$D$2&amp;" "&amp;Campionato!$D$6)</f>
        <v/>
      </c>
      <c r="I145" s="68" t="inlineStr"/>
    </row>
    <row r="146">
      <c r="A146" s="68">
        <f>IF($B146="","","BEGIN:VEVENT
DTSTAMP:"&amp;TEXT(NOW(),"yyyymmdd")&amp;"T000001Z
UID:evt145@ClaudeCoworkBaskin
DTSTART;TZID=Europe/Rome:"&amp;TEXT($C146,"yyyymmdd")&amp;"T"&amp;TEXT($D146,"hhmmss")&amp;"
DTEND;TZID=Europe/Rome:"&amp;TEXT($E146,"yyyymmdd")&amp;"T"&amp;TEXT($F146,"hhmmss")&amp;"
SUMMARY:"&amp;$B146&amp;"
LOCATION:"&amp;$G146&amp;"
DESCRIPTION:"&amp;$H146&amp;"
END:VEVENT")</f>
        <v/>
      </c>
      <c r="B146" s="68">
        <f>IF('Calendario D'!$B39="","",'Calendario D'!$B39&amp;" vs "&amp;'Calendario D'!$D39&amp;" "&amp;'Calendario D'!$AC39)</f>
        <v/>
      </c>
      <c r="C146" s="222">
        <f>IF($B146="","",DATE(YEAR('Calendario D'!$F39),MONTH('Calendario D'!$F39),DAY('Calendario D'!$F39)))</f>
        <v/>
      </c>
      <c r="D146" s="223">
        <f>IF($B146="","",TIME(HOUR('Calendario D'!$F39),MINUTE('Calendario D'!$F39),0))</f>
        <v/>
      </c>
      <c r="E146" s="222">
        <f>IF($B146="","",DATE(YEAR('Calendario D'!$F39),MONTH('Calendario D'!$F39),DAY('Calendario D'!$F39)))</f>
        <v/>
      </c>
      <c r="F146" s="223">
        <f>IF($B146="","",TIME(HOUR('Calendario D'!$F39)+2,MINUTE('Calendario D'!$F39),0))</f>
        <v/>
      </c>
      <c r="G146" s="68">
        <f>IF($B146="","",'Calendario D'!$B40)</f>
        <v/>
      </c>
      <c r="H146" s="68">
        <f>IF($B146="","",Campionato!$D$2&amp;" "&amp;Campionato!$D$6)</f>
        <v/>
      </c>
      <c r="I146" s="68" t="inlineStr"/>
    </row>
    <row r="147">
      <c r="A147" s="68">
        <f>IF($B147="","","BEGIN:VEVENT
DTSTAMP:"&amp;TEXT(NOW(),"yyyymmdd")&amp;"T000001Z
UID:evt146@ClaudeCoworkBaskin
DTSTART;TZID=Europe/Rome:"&amp;TEXT($C147,"yyyymmdd")&amp;"T"&amp;TEXT($D147,"hhmmss")&amp;"
DTEND;TZID=Europe/Rome:"&amp;TEXT($E147,"yyyymmdd")&amp;"T"&amp;TEXT($F147,"hhmmss")&amp;"
SUMMARY:"&amp;$B147&amp;"
LOCATION:"&amp;$G147&amp;"
DESCRIPTION:"&amp;$H147&amp;"
END:VEVENT")</f>
        <v/>
      </c>
      <c r="B147" s="68">
        <f>IF('Calendario D'!$B44="","",'Calendario D'!$B44&amp;" vs "&amp;'Calendario D'!$D44&amp;" "&amp;'Calendario D'!$AC44)</f>
        <v/>
      </c>
      <c r="C147" s="222">
        <f>IF($B147="","",DATE(YEAR('Calendario D'!$F44),MONTH('Calendario D'!$F44),DAY('Calendario D'!$F44)))</f>
        <v/>
      </c>
      <c r="D147" s="223">
        <f>IF($B147="","",TIME(HOUR('Calendario D'!$F44),MINUTE('Calendario D'!$F44),0))</f>
        <v/>
      </c>
      <c r="E147" s="222">
        <f>IF($B147="","",DATE(YEAR('Calendario D'!$F44),MONTH('Calendario D'!$F44),DAY('Calendario D'!$F44)))</f>
        <v/>
      </c>
      <c r="F147" s="223">
        <f>IF($B147="","",TIME(HOUR('Calendario D'!$F44)+2,MINUTE('Calendario D'!$F44),0))</f>
        <v/>
      </c>
      <c r="G147" s="68">
        <f>IF($B147="","",'Calendario D'!$B45)</f>
        <v/>
      </c>
      <c r="H147" s="68">
        <f>IF($B147="","",Campionato!$D$2&amp;" "&amp;Campionato!$D$6)</f>
        <v/>
      </c>
      <c r="I147" s="68" t="inlineStr"/>
    </row>
    <row r="148">
      <c r="A148" s="68">
        <f>IF($B148="","","BEGIN:VEVENT
DTSTAMP:"&amp;TEXT(NOW(),"yyyymmdd")&amp;"T000001Z
UID:evt147@ClaudeCoworkBaskin
DTSTART;TZID=Europe/Rome:"&amp;TEXT($C148,"yyyymmdd")&amp;"T"&amp;TEXT($D148,"hhmmss")&amp;"
DTEND;TZID=Europe/Rome:"&amp;TEXT($E148,"yyyymmdd")&amp;"T"&amp;TEXT($F148,"hhmmss")&amp;"
SUMMARY:"&amp;$B148&amp;"
LOCATION:"&amp;$G148&amp;"
DESCRIPTION:"&amp;$H148&amp;"
END:VEVENT")</f>
        <v/>
      </c>
      <c r="B148" s="68">
        <f>IF('Calendario D'!$B47="","",'Calendario D'!$B47&amp;" vs "&amp;'Calendario D'!$D47&amp;" "&amp;'Calendario D'!$AC47)</f>
        <v/>
      </c>
      <c r="C148" s="222">
        <f>IF($B148="","",DATE(YEAR('Calendario D'!$F47),MONTH('Calendario D'!$F47),DAY('Calendario D'!$F47)))</f>
        <v/>
      </c>
      <c r="D148" s="223">
        <f>IF($B148="","",TIME(HOUR('Calendario D'!$F47),MINUTE('Calendario D'!$F47),0))</f>
        <v/>
      </c>
      <c r="E148" s="222">
        <f>IF($B148="","",DATE(YEAR('Calendario D'!$F47),MONTH('Calendario D'!$F47),DAY('Calendario D'!$F47)))</f>
        <v/>
      </c>
      <c r="F148" s="223">
        <f>IF($B148="","",TIME(HOUR('Calendario D'!$F47)+2,MINUTE('Calendario D'!$F47),0))</f>
        <v/>
      </c>
      <c r="G148" s="68">
        <f>IF($B148="","",'Calendario D'!$B48)</f>
        <v/>
      </c>
      <c r="H148" s="68">
        <f>IF($B148="","",Campionato!$D$2&amp;" "&amp;Campionato!$D$6)</f>
        <v/>
      </c>
      <c r="I148" s="68" t="inlineStr"/>
    </row>
    <row r="149">
      <c r="A149" s="68">
        <f>IF($B149="","","BEGIN:VEVENT
DTSTAMP:"&amp;TEXT(NOW(),"yyyymmdd")&amp;"T000001Z
UID:evt148@ClaudeCoworkBaskin
DTSTART;TZID=Europe/Rome:"&amp;TEXT($C149,"yyyymmdd")&amp;"T"&amp;TEXT($D149,"hhmmss")&amp;"
DTEND;TZID=Europe/Rome:"&amp;TEXT($E149,"yyyymmdd")&amp;"T"&amp;TEXT($F149,"hhmmss")&amp;"
SUMMARY:"&amp;$B149&amp;"
LOCATION:"&amp;$G149&amp;"
DESCRIPTION:"&amp;$H149&amp;"
END:VEVENT")</f>
        <v/>
      </c>
      <c r="B149" s="68">
        <f>IF('Calendario D'!$B50="","",'Calendario D'!$B50&amp;" vs "&amp;'Calendario D'!$D50&amp;" "&amp;'Calendario D'!$AC50)</f>
        <v/>
      </c>
      <c r="C149" s="222">
        <f>IF($B149="","",DATE(YEAR('Calendario D'!$F50),MONTH('Calendario D'!$F50),DAY('Calendario D'!$F50)))</f>
        <v/>
      </c>
      <c r="D149" s="223">
        <f>IF($B149="","",TIME(HOUR('Calendario D'!$F50),MINUTE('Calendario D'!$F50),0))</f>
        <v/>
      </c>
      <c r="E149" s="222">
        <f>IF($B149="","",DATE(YEAR('Calendario D'!$F50),MONTH('Calendario D'!$F50),DAY('Calendario D'!$F50)))</f>
        <v/>
      </c>
      <c r="F149" s="223">
        <f>IF($B149="","",TIME(HOUR('Calendario D'!$F50)+2,MINUTE('Calendario D'!$F50),0))</f>
        <v/>
      </c>
      <c r="G149" s="68">
        <f>IF($B149="","",'Calendario D'!$B51)</f>
        <v/>
      </c>
      <c r="H149" s="68">
        <f>IF($B149="","",Campionato!$D$2&amp;" "&amp;Campionato!$D$6)</f>
        <v/>
      </c>
      <c r="I149" s="68" t="inlineStr"/>
    </row>
    <row r="150">
      <c r="A150" s="68">
        <f>IF($B150="","","BEGIN:VEVENT
DTSTAMP:"&amp;TEXT(NOW(),"yyyymmdd")&amp;"T000001Z
UID:evt149@ClaudeCoworkBaskin
DTSTART;TZID=Europe/Rome:"&amp;TEXT($C150,"yyyymmdd")&amp;"T"&amp;TEXT($D150,"hhmmss")&amp;"
DTEND;TZID=Europe/Rome:"&amp;TEXT($E150,"yyyymmdd")&amp;"T"&amp;TEXT($F150,"hhmmss")&amp;"
SUMMARY:"&amp;$B150&amp;"
LOCATION:"&amp;$G150&amp;"
DESCRIPTION:"&amp;$H150&amp;"
END:VEVENT")</f>
        <v/>
      </c>
      <c r="B150" s="68">
        <f>IF('Calendario D'!$B53="","",'Calendario D'!$B53&amp;" vs "&amp;'Calendario D'!$D53&amp;" "&amp;'Calendario D'!$AC53)</f>
        <v/>
      </c>
      <c r="C150" s="222">
        <f>IF($B150="","",DATE(YEAR('Calendario D'!$F53),MONTH('Calendario D'!$F53),DAY('Calendario D'!$F53)))</f>
        <v/>
      </c>
      <c r="D150" s="223">
        <f>IF($B150="","",TIME(HOUR('Calendario D'!$F53),MINUTE('Calendario D'!$F53),0))</f>
        <v/>
      </c>
      <c r="E150" s="222">
        <f>IF($B150="","",DATE(YEAR('Calendario D'!$F53),MONTH('Calendario D'!$F53),DAY('Calendario D'!$F53)))</f>
        <v/>
      </c>
      <c r="F150" s="223">
        <f>IF($B150="","",TIME(HOUR('Calendario D'!$F53)+2,MINUTE('Calendario D'!$F53),0))</f>
        <v/>
      </c>
      <c r="G150" s="68">
        <f>IF($B150="","",'Calendario D'!$B54)</f>
        <v/>
      </c>
      <c r="H150" s="68">
        <f>IF($B150="","",Campionato!$D$2&amp;" "&amp;Campionato!$D$6)</f>
        <v/>
      </c>
      <c r="I150" s="68" t="inlineStr"/>
    </row>
    <row r="151">
      <c r="A151" s="68">
        <f>IF($B151="","","BEGIN:VEVENT
DTSTAMP:"&amp;TEXT(NOW(),"yyyymmdd")&amp;"T000001Z
UID:evt150@ClaudeCoworkBaskin
DTSTART;TZID=Europe/Rome:"&amp;TEXT($C151,"yyyymmdd")&amp;"T"&amp;TEXT($D151,"hhmmss")&amp;"
DTEND;TZID=Europe/Rome:"&amp;TEXT($E151,"yyyymmdd")&amp;"T"&amp;TEXT($F151,"hhmmss")&amp;"
SUMMARY:"&amp;$B151&amp;"
LOCATION:"&amp;$G151&amp;"
DESCRIPTION:"&amp;$H151&amp;"
END:VEVENT")</f>
        <v/>
      </c>
      <c r="B151" s="68">
        <f>IF('Calendario D'!$B56="","",'Calendario D'!$B56&amp;" vs "&amp;'Calendario D'!$D56&amp;" "&amp;'Calendario D'!$AC56)</f>
        <v/>
      </c>
      <c r="C151" s="222">
        <f>IF($B151="","",DATE(YEAR('Calendario D'!$F56),MONTH('Calendario D'!$F56),DAY('Calendario D'!$F56)))</f>
        <v/>
      </c>
      <c r="D151" s="223">
        <f>IF($B151="","",TIME(HOUR('Calendario D'!$F56),MINUTE('Calendario D'!$F56),0))</f>
        <v/>
      </c>
      <c r="E151" s="222">
        <f>IF($B151="","",DATE(YEAR('Calendario D'!$F56),MONTH('Calendario D'!$F56),DAY('Calendario D'!$F56)))</f>
        <v/>
      </c>
      <c r="F151" s="223">
        <f>IF($B151="","",TIME(HOUR('Calendario D'!$F56)+2,MINUTE('Calendario D'!$F56),0))</f>
        <v/>
      </c>
      <c r="G151" s="68">
        <f>IF($B151="","",'Calendario D'!$B57)</f>
        <v/>
      </c>
      <c r="H151" s="68">
        <f>IF($B151="","",Campionato!$D$2&amp;" "&amp;Campionato!$D$6)</f>
        <v/>
      </c>
      <c r="I151" s="68" t="inlineStr"/>
    </row>
    <row r="152">
      <c r="A152" s="68">
        <f>IF($B152="","","BEGIN:VEVENT
DTSTAMP:"&amp;TEXT(NOW(),"yyyymmdd")&amp;"T000001Z
UID:evt151@ClaudeCoworkBaskin
DTSTART;TZID=Europe/Rome:"&amp;TEXT($C152,"yyyymmdd")&amp;"T"&amp;TEXT($D152,"hhmmss")&amp;"
DTEND;TZID=Europe/Rome:"&amp;TEXT($E152,"yyyymmdd")&amp;"T"&amp;TEXT($F152,"hhmmss")&amp;"
SUMMARY:"&amp;$B152&amp;"
LOCATION:"&amp;$G152&amp;"
DESCRIPTION:"&amp;$H152&amp;"
END:VEVENT")</f>
        <v/>
      </c>
      <c r="B152" s="68">
        <f>IF('Calendario D'!$B61="","",'Calendario D'!$B61&amp;" vs "&amp;'Calendario D'!$D61&amp;" "&amp;'Calendario D'!$AC61)</f>
        <v/>
      </c>
      <c r="C152" s="222">
        <f>IF($B152="","",DATE(YEAR('Calendario D'!$F61),MONTH('Calendario D'!$F61),DAY('Calendario D'!$F61)))</f>
        <v/>
      </c>
      <c r="D152" s="223">
        <f>IF($B152="","",TIME(HOUR('Calendario D'!$F61),MINUTE('Calendario D'!$F61),0))</f>
        <v/>
      </c>
      <c r="E152" s="222">
        <f>IF($B152="","",DATE(YEAR('Calendario D'!$F61),MONTH('Calendario D'!$F61),DAY('Calendario D'!$F61)))</f>
        <v/>
      </c>
      <c r="F152" s="223">
        <f>IF($B152="","",TIME(HOUR('Calendario D'!$F61)+2,MINUTE('Calendario D'!$F61),0))</f>
        <v/>
      </c>
      <c r="G152" s="68">
        <f>IF($B152="","",'Calendario D'!$B62)</f>
        <v/>
      </c>
      <c r="H152" s="68">
        <f>IF($B152="","",Campionato!$D$2&amp;" "&amp;Campionato!$D$6)</f>
        <v/>
      </c>
      <c r="I152" s="68" t="inlineStr"/>
    </row>
    <row r="153">
      <c r="A153" s="68">
        <f>IF($B153="","","BEGIN:VEVENT
DTSTAMP:"&amp;TEXT(NOW(),"yyyymmdd")&amp;"T000001Z
UID:evt152@ClaudeCoworkBaskin
DTSTART;TZID=Europe/Rome:"&amp;TEXT($C153,"yyyymmdd")&amp;"T"&amp;TEXT($D153,"hhmmss")&amp;"
DTEND;TZID=Europe/Rome:"&amp;TEXT($E153,"yyyymmdd")&amp;"T"&amp;TEXT($F153,"hhmmss")&amp;"
SUMMARY:"&amp;$B153&amp;"
LOCATION:"&amp;$G153&amp;"
DESCRIPTION:"&amp;$H153&amp;"
END:VEVENT")</f>
        <v/>
      </c>
      <c r="B153" s="68">
        <f>IF('Calendario D'!$B64="","",'Calendario D'!$B64&amp;" vs "&amp;'Calendario D'!$D64&amp;" "&amp;'Calendario D'!$AC64)</f>
        <v/>
      </c>
      <c r="C153" s="222">
        <f>IF($B153="","",DATE(YEAR('Calendario D'!$F64),MONTH('Calendario D'!$F64),DAY('Calendario D'!$F64)))</f>
        <v/>
      </c>
      <c r="D153" s="223">
        <f>IF($B153="","",TIME(HOUR('Calendario D'!$F64),MINUTE('Calendario D'!$F64),0))</f>
        <v/>
      </c>
      <c r="E153" s="222">
        <f>IF($B153="","",DATE(YEAR('Calendario D'!$F64),MONTH('Calendario D'!$F64),DAY('Calendario D'!$F64)))</f>
        <v/>
      </c>
      <c r="F153" s="223">
        <f>IF($B153="","",TIME(HOUR('Calendario D'!$F64)+2,MINUTE('Calendario D'!$F64),0))</f>
        <v/>
      </c>
      <c r="G153" s="68">
        <f>IF($B153="","",'Calendario D'!$B65)</f>
        <v/>
      </c>
      <c r="H153" s="68">
        <f>IF($B153="","",Campionato!$D$2&amp;" "&amp;Campionato!$D$6)</f>
        <v/>
      </c>
      <c r="I153" s="68" t="inlineStr"/>
    </row>
    <row r="154">
      <c r="A154" s="68">
        <f>IF($B154="","","BEGIN:VEVENT
DTSTAMP:"&amp;TEXT(NOW(),"yyyymmdd")&amp;"T000001Z
UID:evt153@ClaudeCoworkBaskin
DTSTART;TZID=Europe/Rome:"&amp;TEXT($C154,"yyyymmdd")&amp;"T"&amp;TEXT($D154,"hhmmss")&amp;"
DTEND;TZID=Europe/Rome:"&amp;TEXT($E154,"yyyymmdd")&amp;"T"&amp;TEXT($F154,"hhmmss")&amp;"
SUMMARY:"&amp;$B154&amp;"
LOCATION:"&amp;$G154&amp;"
DESCRIPTION:"&amp;$H154&amp;"
END:VEVENT")</f>
        <v/>
      </c>
      <c r="B154" s="68">
        <f>IF('Calendario D'!$B67="","",'Calendario D'!$B67&amp;" vs "&amp;'Calendario D'!$D67&amp;" "&amp;'Calendario D'!$AC67)</f>
        <v/>
      </c>
      <c r="C154" s="222">
        <f>IF($B154="","",DATE(YEAR('Calendario D'!$F67),MONTH('Calendario D'!$F67),DAY('Calendario D'!$F67)))</f>
        <v/>
      </c>
      <c r="D154" s="223">
        <f>IF($B154="","",TIME(HOUR('Calendario D'!$F67),MINUTE('Calendario D'!$F67),0))</f>
        <v/>
      </c>
      <c r="E154" s="222">
        <f>IF($B154="","",DATE(YEAR('Calendario D'!$F67),MONTH('Calendario D'!$F67),DAY('Calendario D'!$F67)))</f>
        <v/>
      </c>
      <c r="F154" s="223">
        <f>IF($B154="","",TIME(HOUR('Calendario D'!$F67)+2,MINUTE('Calendario D'!$F67),0))</f>
        <v/>
      </c>
      <c r="G154" s="68">
        <f>IF($B154="","",'Calendario D'!$B68)</f>
        <v/>
      </c>
      <c r="H154" s="68">
        <f>IF($B154="","",Campionato!$D$2&amp;" "&amp;Campionato!$D$6)</f>
        <v/>
      </c>
      <c r="I154" s="68" t="inlineStr"/>
    </row>
    <row r="155">
      <c r="A155" s="68">
        <f>IF($B155="","","BEGIN:VEVENT
DTSTAMP:"&amp;TEXT(NOW(),"yyyymmdd")&amp;"T000001Z
UID:evt154@ClaudeCoworkBaskin
DTSTART;TZID=Europe/Rome:"&amp;TEXT($C155,"yyyymmdd")&amp;"T"&amp;TEXT($D155,"hhmmss")&amp;"
DTEND;TZID=Europe/Rome:"&amp;TEXT($E155,"yyyymmdd")&amp;"T"&amp;TEXT($F155,"hhmmss")&amp;"
SUMMARY:"&amp;$B155&amp;"
LOCATION:"&amp;$G155&amp;"
DESCRIPTION:"&amp;$H155&amp;"
END:VEVENT")</f>
        <v/>
      </c>
      <c r="B155" s="68">
        <f>IF('Calendario D'!$B70="","",'Calendario D'!$B70&amp;" vs "&amp;'Calendario D'!$D70&amp;" "&amp;'Calendario D'!$AC70)</f>
        <v/>
      </c>
      <c r="C155" s="222">
        <f>IF($B155="","",DATE(YEAR('Calendario D'!$F70),MONTH('Calendario D'!$F70),DAY('Calendario D'!$F70)))</f>
        <v/>
      </c>
      <c r="D155" s="223">
        <f>IF($B155="","",TIME(HOUR('Calendario D'!$F70),MINUTE('Calendario D'!$F70),0))</f>
        <v/>
      </c>
      <c r="E155" s="222">
        <f>IF($B155="","",DATE(YEAR('Calendario D'!$F70),MONTH('Calendario D'!$F70),DAY('Calendario D'!$F70)))</f>
        <v/>
      </c>
      <c r="F155" s="223">
        <f>IF($B155="","",TIME(HOUR('Calendario D'!$F70)+2,MINUTE('Calendario D'!$F70),0))</f>
        <v/>
      </c>
      <c r="G155" s="68">
        <f>IF($B155="","",'Calendario D'!$B71)</f>
        <v/>
      </c>
      <c r="H155" s="68">
        <f>IF($B155="","",Campionato!$D$2&amp;" "&amp;Campionato!$D$6)</f>
        <v/>
      </c>
      <c r="I155" s="68" t="inlineStr"/>
    </row>
    <row r="156">
      <c r="A156" s="68">
        <f>IF($B156="","","BEGIN:VEVENT
DTSTAMP:"&amp;TEXT(NOW(),"yyyymmdd")&amp;"T000001Z
UID:evt155@ClaudeCoworkBaskin
DTSTART;TZID=Europe/Rome:"&amp;TEXT($C156,"yyyymmdd")&amp;"T"&amp;TEXT($D156,"hhmmss")&amp;"
DTEND;TZID=Europe/Rome:"&amp;TEXT($E156,"yyyymmdd")&amp;"T"&amp;TEXT($F156,"hhmmss")&amp;"
SUMMARY:"&amp;$B156&amp;"
LOCATION:"&amp;$G156&amp;"
DESCRIPTION:"&amp;$H156&amp;"
END:VEVENT")</f>
        <v/>
      </c>
      <c r="B156" s="68">
        <f>IF('Calendario D'!$B73="","",'Calendario D'!$B73&amp;" vs "&amp;'Calendario D'!$D73&amp;" "&amp;'Calendario D'!$AC73)</f>
        <v/>
      </c>
      <c r="C156" s="222">
        <f>IF($B156="","",DATE(YEAR('Calendario D'!$F73),MONTH('Calendario D'!$F73),DAY('Calendario D'!$F73)))</f>
        <v/>
      </c>
      <c r="D156" s="223">
        <f>IF($B156="","",TIME(HOUR('Calendario D'!$F73),MINUTE('Calendario D'!$F73),0))</f>
        <v/>
      </c>
      <c r="E156" s="222">
        <f>IF($B156="","",DATE(YEAR('Calendario D'!$F73),MONTH('Calendario D'!$F73),DAY('Calendario D'!$F73)))</f>
        <v/>
      </c>
      <c r="F156" s="223">
        <f>IF($B156="","",TIME(HOUR('Calendario D'!$F73)+2,MINUTE('Calendario D'!$F73),0))</f>
        <v/>
      </c>
      <c r="G156" s="68">
        <f>IF($B156="","",'Calendario D'!$B74)</f>
        <v/>
      </c>
      <c r="H156" s="68">
        <f>IF($B156="","",Campionato!$D$2&amp;" "&amp;Campionato!$D$6)</f>
        <v/>
      </c>
      <c r="I156" s="68" t="inlineStr"/>
    </row>
    <row r="157">
      <c r="A157" s="68">
        <f>IF($B157="","","BEGIN:VEVENT
DTSTAMP:"&amp;TEXT(NOW(),"yyyymmdd")&amp;"T000001Z
UID:evt156@ClaudeCoworkBaskin
DTSTART;TZID=Europe/Rome:"&amp;TEXT($C157,"yyyymmdd")&amp;"T"&amp;TEXT($D157,"hhmmss")&amp;"
DTEND;TZID=Europe/Rome:"&amp;TEXT($E157,"yyyymmdd")&amp;"T"&amp;TEXT($F157,"hhmmss")&amp;"
SUMMARY:"&amp;$B157&amp;"
LOCATION:"&amp;$G157&amp;"
DESCRIPTION:"&amp;$H157&amp;"
END:VEVENT")</f>
        <v/>
      </c>
      <c r="B157" s="68">
        <f>IF('Calendario D'!$B78="","",'Calendario D'!$B78&amp;" vs "&amp;'Calendario D'!$D78&amp;" "&amp;'Calendario D'!$AC78)</f>
        <v/>
      </c>
      <c r="C157" s="222">
        <f>IF($B157="","",DATE(YEAR('Calendario D'!$F78),MONTH('Calendario D'!$F78),DAY('Calendario D'!$F78)))</f>
        <v/>
      </c>
      <c r="D157" s="223">
        <f>IF($B157="","",TIME(HOUR('Calendario D'!$F78),MINUTE('Calendario D'!$F78),0))</f>
        <v/>
      </c>
      <c r="E157" s="222">
        <f>IF($B157="","",DATE(YEAR('Calendario D'!$F78),MONTH('Calendario D'!$F78),DAY('Calendario D'!$F78)))</f>
        <v/>
      </c>
      <c r="F157" s="223">
        <f>IF($B157="","",TIME(HOUR('Calendario D'!$F78)+2,MINUTE('Calendario D'!$F78),0))</f>
        <v/>
      </c>
      <c r="G157" s="68">
        <f>IF($B157="","",'Calendario D'!$B79)</f>
        <v/>
      </c>
      <c r="H157" s="68">
        <f>IF($B157="","",Campionato!$D$2&amp;" "&amp;Campionato!$D$6)</f>
        <v/>
      </c>
      <c r="I157" s="68" t="inlineStr"/>
    </row>
    <row r="158">
      <c r="A158" s="68">
        <f>IF($B158="","","BEGIN:VEVENT
DTSTAMP:"&amp;TEXT(NOW(),"yyyymmdd")&amp;"T000001Z
UID:evt157@ClaudeCoworkBaskin
DTSTART;TZID=Europe/Rome:"&amp;TEXT($C158,"yyyymmdd")&amp;"T"&amp;TEXT($D158,"hhmmss")&amp;"
DTEND;TZID=Europe/Rome:"&amp;TEXT($E158,"yyyymmdd")&amp;"T"&amp;TEXT($F158,"hhmmss")&amp;"
SUMMARY:"&amp;$B158&amp;"
LOCATION:"&amp;$G158&amp;"
DESCRIPTION:"&amp;$H158&amp;"
END:VEVENT")</f>
        <v/>
      </c>
      <c r="B158" s="68">
        <f>IF('Calendario D'!$B81="","",'Calendario D'!$B81&amp;" vs "&amp;'Calendario D'!$D81&amp;" "&amp;'Calendario D'!$AC81)</f>
        <v/>
      </c>
      <c r="C158" s="222">
        <f>IF($B158="","",DATE(YEAR('Calendario D'!$F81),MONTH('Calendario D'!$F81),DAY('Calendario D'!$F81)))</f>
        <v/>
      </c>
      <c r="D158" s="223">
        <f>IF($B158="","",TIME(HOUR('Calendario D'!$F81),MINUTE('Calendario D'!$F81),0))</f>
        <v/>
      </c>
      <c r="E158" s="222">
        <f>IF($B158="","",DATE(YEAR('Calendario D'!$F81),MONTH('Calendario D'!$F81),DAY('Calendario D'!$F81)))</f>
        <v/>
      </c>
      <c r="F158" s="223">
        <f>IF($B158="","",TIME(HOUR('Calendario D'!$F81)+2,MINUTE('Calendario D'!$F81),0))</f>
        <v/>
      </c>
      <c r="G158" s="68">
        <f>IF($B158="","",'Calendario D'!$B82)</f>
        <v/>
      </c>
      <c r="H158" s="68">
        <f>IF($B158="","",Campionato!$D$2&amp;" "&amp;Campionato!$D$6)</f>
        <v/>
      </c>
      <c r="I158" s="68" t="inlineStr"/>
    </row>
    <row r="159">
      <c r="A159" s="68">
        <f>IF($B159="","","BEGIN:VEVENT
DTSTAMP:"&amp;TEXT(NOW(),"yyyymmdd")&amp;"T000001Z
UID:evt158@ClaudeCoworkBaskin
DTSTART;TZID=Europe/Rome:"&amp;TEXT($C159,"yyyymmdd")&amp;"T"&amp;TEXT($D159,"hhmmss")&amp;"
DTEND;TZID=Europe/Rome:"&amp;TEXT($E159,"yyyymmdd")&amp;"T"&amp;TEXT($F159,"hhmmss")&amp;"
SUMMARY:"&amp;$B159&amp;"
LOCATION:"&amp;$G159&amp;"
DESCRIPTION:"&amp;$H159&amp;"
END:VEVENT")</f>
        <v/>
      </c>
      <c r="B159" s="68">
        <f>IF('Calendario D'!$B84="","",'Calendario D'!$B84&amp;" vs "&amp;'Calendario D'!$D84&amp;" "&amp;'Calendario D'!$AC84)</f>
        <v/>
      </c>
      <c r="C159" s="222">
        <f>IF($B159="","",DATE(YEAR('Calendario D'!$F84),MONTH('Calendario D'!$F84),DAY('Calendario D'!$F84)))</f>
        <v/>
      </c>
      <c r="D159" s="223">
        <f>IF($B159="","",TIME(HOUR('Calendario D'!$F84),MINUTE('Calendario D'!$F84),0))</f>
        <v/>
      </c>
      <c r="E159" s="222">
        <f>IF($B159="","",DATE(YEAR('Calendario D'!$F84),MONTH('Calendario D'!$F84),DAY('Calendario D'!$F84)))</f>
        <v/>
      </c>
      <c r="F159" s="223">
        <f>IF($B159="","",TIME(HOUR('Calendario D'!$F84)+2,MINUTE('Calendario D'!$F84),0))</f>
        <v/>
      </c>
      <c r="G159" s="68">
        <f>IF($B159="","",'Calendario D'!$B85)</f>
        <v/>
      </c>
      <c r="H159" s="68">
        <f>IF($B159="","",Campionato!$D$2&amp;" "&amp;Campionato!$D$6)</f>
        <v/>
      </c>
      <c r="I159" s="68" t="inlineStr"/>
    </row>
    <row r="160">
      <c r="A160" s="68">
        <f>IF($B160="","","BEGIN:VEVENT
DTSTAMP:"&amp;TEXT(NOW(),"yyyymmdd")&amp;"T000001Z
UID:evt159@ClaudeCoworkBaskin
DTSTART;TZID=Europe/Rome:"&amp;TEXT($C160,"yyyymmdd")&amp;"T"&amp;TEXT($D160,"hhmmss")&amp;"
DTEND;TZID=Europe/Rome:"&amp;TEXT($E160,"yyyymmdd")&amp;"T"&amp;TEXT($F160,"hhmmss")&amp;"
SUMMARY:"&amp;$B160&amp;"
LOCATION:"&amp;$G160&amp;"
DESCRIPTION:"&amp;$H160&amp;"
END:VEVENT")</f>
        <v/>
      </c>
      <c r="B160" s="68">
        <f>IF('Calendario D'!$B87="","",'Calendario D'!$B87&amp;" vs "&amp;'Calendario D'!$D87&amp;" "&amp;'Calendario D'!$AC87)</f>
        <v/>
      </c>
      <c r="C160" s="222">
        <f>IF($B160="","",DATE(YEAR('Calendario D'!$F87),MONTH('Calendario D'!$F87),DAY('Calendario D'!$F87)))</f>
        <v/>
      </c>
      <c r="D160" s="223">
        <f>IF($B160="","",TIME(HOUR('Calendario D'!$F87),MINUTE('Calendario D'!$F87),0))</f>
        <v/>
      </c>
      <c r="E160" s="222">
        <f>IF($B160="","",DATE(YEAR('Calendario D'!$F87),MONTH('Calendario D'!$F87),DAY('Calendario D'!$F87)))</f>
        <v/>
      </c>
      <c r="F160" s="223">
        <f>IF($B160="","",TIME(HOUR('Calendario D'!$F87)+2,MINUTE('Calendario D'!$F87),0))</f>
        <v/>
      </c>
      <c r="G160" s="68">
        <f>IF($B160="","",'Calendario D'!$B88)</f>
        <v/>
      </c>
      <c r="H160" s="68">
        <f>IF($B160="","",Campionato!$D$2&amp;" "&amp;Campionato!$D$6)</f>
        <v/>
      </c>
      <c r="I160" s="68" t="inlineStr"/>
    </row>
    <row r="161">
      <c r="A161" s="68">
        <f>IF($B161="","","BEGIN:VEVENT
DTSTAMP:"&amp;TEXT(NOW(),"yyyymmdd")&amp;"T000001Z
UID:evt160@ClaudeCoworkBaskin
DTSTART;TZID=Europe/Rome:"&amp;TEXT($C161,"yyyymmdd")&amp;"T"&amp;TEXT($D161,"hhmmss")&amp;"
DTEND;TZID=Europe/Rome:"&amp;TEXT($E161,"yyyymmdd")&amp;"T"&amp;TEXT($F161,"hhmmss")&amp;"
SUMMARY:"&amp;$B161&amp;"
LOCATION:"&amp;$G161&amp;"
DESCRIPTION:"&amp;$H161&amp;"
END:VEVENT")</f>
        <v/>
      </c>
      <c r="B161" s="68">
        <f>IF('Calendario D'!$B90="","",'Calendario D'!$B90&amp;" vs "&amp;'Calendario D'!$D90&amp;" "&amp;'Calendario D'!$AC90)</f>
        <v/>
      </c>
      <c r="C161" s="222">
        <f>IF($B161="","",DATE(YEAR('Calendario D'!$F90),MONTH('Calendario D'!$F90),DAY('Calendario D'!$F90)))</f>
        <v/>
      </c>
      <c r="D161" s="223">
        <f>IF($B161="","",TIME(HOUR('Calendario D'!$F90),MINUTE('Calendario D'!$F90),0))</f>
        <v/>
      </c>
      <c r="E161" s="222">
        <f>IF($B161="","",DATE(YEAR('Calendario D'!$F90),MONTH('Calendario D'!$F90),DAY('Calendario D'!$F90)))</f>
        <v/>
      </c>
      <c r="F161" s="223">
        <f>IF($B161="","",TIME(HOUR('Calendario D'!$F90)+2,MINUTE('Calendario D'!$F90),0))</f>
        <v/>
      </c>
      <c r="G161" s="68">
        <f>IF($B161="","",'Calendario D'!$B91)</f>
        <v/>
      </c>
      <c r="H161" s="68">
        <f>IF($B161="","",Campionato!$D$2&amp;" "&amp;Campionato!$D$6)</f>
        <v/>
      </c>
      <c r="I161" s="68" t="inlineStr"/>
    </row>
    <row r="162">
      <c r="A162" s="68">
        <f>IF($B162="","","BEGIN:VEVENT
DTSTAMP:"&amp;TEXT(NOW(),"yyyymmdd")&amp;"T000001Z
UID:evt161@ClaudeCoworkBaskin
DTSTART;TZID=Europe/Rome:"&amp;TEXT($C162,"yyyymmdd")&amp;"T"&amp;TEXT($D162,"hhmmss")&amp;"
DTEND;TZID=Europe/Rome:"&amp;TEXT($E162,"yyyymmdd")&amp;"T"&amp;TEXT($F162,"hhmmss")&amp;"
SUMMARY:"&amp;$B162&amp;"
LOCATION:"&amp;$G162&amp;"
DESCRIPTION:"&amp;$H162&amp;"
END:VEVENT")</f>
        <v/>
      </c>
      <c r="B162" s="68">
        <f>IF('Calendario D'!$B95="","",'Calendario D'!$B95&amp;" vs "&amp;'Calendario D'!$D95&amp;" "&amp;'Calendario D'!$AC95)</f>
        <v/>
      </c>
      <c r="C162" s="222">
        <f>IF($B162="","",DATE(YEAR('Calendario D'!$F95),MONTH('Calendario D'!$F95),DAY('Calendario D'!$F95)))</f>
        <v/>
      </c>
      <c r="D162" s="223">
        <f>IF($B162="","",TIME(HOUR('Calendario D'!$F95),MINUTE('Calendario D'!$F95),0))</f>
        <v/>
      </c>
      <c r="E162" s="222">
        <f>IF($B162="","",DATE(YEAR('Calendario D'!$F95),MONTH('Calendario D'!$F95),DAY('Calendario D'!$F95)))</f>
        <v/>
      </c>
      <c r="F162" s="223">
        <f>IF($B162="","",TIME(HOUR('Calendario D'!$F95)+2,MINUTE('Calendario D'!$F95),0))</f>
        <v/>
      </c>
      <c r="G162" s="68">
        <f>IF($B162="","",'Calendario D'!$B96)</f>
        <v/>
      </c>
      <c r="H162" s="68">
        <f>IF($B162="","",Campionato!$D$2&amp;" "&amp;Campionato!$D$6)</f>
        <v/>
      </c>
      <c r="I162" s="68" t="inlineStr"/>
    </row>
    <row r="163">
      <c r="A163" s="68">
        <f>IF($B163="","","BEGIN:VEVENT
DTSTAMP:"&amp;TEXT(NOW(),"yyyymmdd")&amp;"T000001Z
UID:evt162@ClaudeCoworkBaskin
DTSTART;TZID=Europe/Rome:"&amp;TEXT($C163,"yyyymmdd")&amp;"T"&amp;TEXT($D163,"hhmmss")&amp;"
DTEND;TZID=Europe/Rome:"&amp;TEXT($E163,"yyyymmdd")&amp;"T"&amp;TEXT($F163,"hhmmss")&amp;"
SUMMARY:"&amp;$B163&amp;"
LOCATION:"&amp;$G163&amp;"
DESCRIPTION:"&amp;$H163&amp;"
END:VEVENT")</f>
        <v/>
      </c>
      <c r="B163" s="68">
        <f>IF('Calendario D'!$B98="","",'Calendario D'!$B98&amp;" vs "&amp;'Calendario D'!$D98&amp;" "&amp;'Calendario D'!$AC98)</f>
        <v/>
      </c>
      <c r="C163" s="222">
        <f>IF($B163="","",DATE(YEAR('Calendario D'!$F98),MONTH('Calendario D'!$F98),DAY('Calendario D'!$F98)))</f>
        <v/>
      </c>
      <c r="D163" s="223">
        <f>IF($B163="","",TIME(HOUR('Calendario D'!$F98),MINUTE('Calendario D'!$F98),0))</f>
        <v/>
      </c>
      <c r="E163" s="222">
        <f>IF($B163="","",DATE(YEAR('Calendario D'!$F98),MONTH('Calendario D'!$F98),DAY('Calendario D'!$F98)))</f>
        <v/>
      </c>
      <c r="F163" s="223">
        <f>IF($B163="","",TIME(HOUR('Calendario D'!$F98)+2,MINUTE('Calendario D'!$F98),0))</f>
        <v/>
      </c>
      <c r="G163" s="68">
        <f>IF($B163="","",'Calendario D'!$B99)</f>
        <v/>
      </c>
      <c r="H163" s="68">
        <f>IF($B163="","",Campionato!$D$2&amp;" "&amp;Campionato!$D$6)</f>
        <v/>
      </c>
      <c r="I163" s="68" t="inlineStr"/>
    </row>
    <row r="164">
      <c r="A164" s="68">
        <f>IF($B164="","","BEGIN:VEVENT
DTSTAMP:"&amp;TEXT(NOW(),"yyyymmdd")&amp;"T000001Z
UID:evt163@ClaudeCoworkBaskin
DTSTART;TZID=Europe/Rome:"&amp;TEXT($C164,"yyyymmdd")&amp;"T"&amp;TEXT($D164,"hhmmss")&amp;"
DTEND;TZID=Europe/Rome:"&amp;TEXT($E164,"yyyymmdd")&amp;"T"&amp;TEXT($F164,"hhmmss")&amp;"
SUMMARY:"&amp;$B164&amp;"
LOCATION:"&amp;$G164&amp;"
DESCRIPTION:"&amp;$H164&amp;"
END:VEVENT")</f>
        <v/>
      </c>
      <c r="B164" s="68">
        <f>IF('Calendario D'!$B101="","",'Calendario D'!$B101&amp;" vs "&amp;'Calendario D'!$D101&amp;" "&amp;'Calendario D'!$AC101)</f>
        <v/>
      </c>
      <c r="C164" s="222">
        <f>IF($B164="","",DATE(YEAR('Calendario D'!$F101),MONTH('Calendario D'!$F101),DAY('Calendario D'!$F101)))</f>
        <v/>
      </c>
      <c r="D164" s="223">
        <f>IF($B164="","",TIME(HOUR('Calendario D'!$F101),MINUTE('Calendario D'!$F101),0))</f>
        <v/>
      </c>
      <c r="E164" s="222">
        <f>IF($B164="","",DATE(YEAR('Calendario D'!$F101),MONTH('Calendario D'!$F101),DAY('Calendario D'!$F101)))</f>
        <v/>
      </c>
      <c r="F164" s="223">
        <f>IF($B164="","",TIME(HOUR('Calendario D'!$F101)+2,MINUTE('Calendario D'!$F101),0))</f>
        <v/>
      </c>
      <c r="G164" s="68">
        <f>IF($B164="","",'Calendario D'!$B102)</f>
        <v/>
      </c>
      <c r="H164" s="68">
        <f>IF($B164="","",Campionato!$D$2&amp;" "&amp;Campionato!$D$6)</f>
        <v/>
      </c>
      <c r="I164" s="68" t="inlineStr"/>
    </row>
    <row r="165">
      <c r="A165" s="68">
        <f>IF($B165="","","BEGIN:VEVENT
DTSTAMP:"&amp;TEXT(NOW(),"yyyymmdd")&amp;"T000001Z
UID:evt164@ClaudeCoworkBaskin
DTSTART;TZID=Europe/Rome:"&amp;TEXT($C165,"yyyymmdd")&amp;"T"&amp;TEXT($D165,"hhmmss")&amp;"
DTEND;TZID=Europe/Rome:"&amp;TEXT($E165,"yyyymmdd")&amp;"T"&amp;TEXT($F165,"hhmmss")&amp;"
SUMMARY:"&amp;$B165&amp;"
LOCATION:"&amp;$G165&amp;"
DESCRIPTION:"&amp;$H165&amp;"
END:VEVENT")</f>
        <v/>
      </c>
      <c r="B165" s="68">
        <f>IF('Calendario D'!$B104="","",'Calendario D'!$B104&amp;" vs "&amp;'Calendario D'!$D104&amp;" "&amp;'Calendario D'!$AC104)</f>
        <v/>
      </c>
      <c r="C165" s="222">
        <f>IF($B165="","",DATE(YEAR('Calendario D'!$F104),MONTH('Calendario D'!$F104),DAY('Calendario D'!$F104)))</f>
        <v/>
      </c>
      <c r="D165" s="223">
        <f>IF($B165="","",TIME(HOUR('Calendario D'!$F104),MINUTE('Calendario D'!$F104),0))</f>
        <v/>
      </c>
      <c r="E165" s="222">
        <f>IF($B165="","",DATE(YEAR('Calendario D'!$F104),MONTH('Calendario D'!$F104),DAY('Calendario D'!$F104)))</f>
        <v/>
      </c>
      <c r="F165" s="223">
        <f>IF($B165="","",TIME(HOUR('Calendario D'!$F104)+2,MINUTE('Calendario D'!$F104),0))</f>
        <v/>
      </c>
      <c r="G165" s="68">
        <f>IF($B165="","",'Calendario D'!$B105)</f>
        <v/>
      </c>
      <c r="H165" s="68">
        <f>IF($B165="","",Campionato!$D$2&amp;" "&amp;Campionato!$D$6)</f>
        <v/>
      </c>
      <c r="I165" s="68" t="inlineStr"/>
    </row>
    <row r="166">
      <c r="A166" s="68">
        <f>IF($B166="","","BEGIN:VEVENT
DTSTAMP:"&amp;TEXT(NOW(),"yyyymmdd")&amp;"T000001Z
UID:evt165@ClaudeCoworkBaskin
DTSTART;TZID=Europe/Rome:"&amp;TEXT($C166,"yyyymmdd")&amp;"T"&amp;TEXT($D166,"hhmmss")&amp;"
DTEND;TZID=Europe/Rome:"&amp;TEXT($E166,"yyyymmdd")&amp;"T"&amp;TEXT($F166,"hhmmss")&amp;"
SUMMARY:"&amp;$B166&amp;"
LOCATION:"&amp;$G166&amp;"
DESCRIPTION:"&amp;$H166&amp;"
END:VEVENT")</f>
        <v/>
      </c>
      <c r="B166" s="68">
        <f>IF('Calendario D'!$B107="","",'Calendario D'!$B107&amp;" vs "&amp;'Calendario D'!$D107&amp;" "&amp;'Calendario D'!$AC107)</f>
        <v/>
      </c>
      <c r="C166" s="222">
        <f>IF($B166="","",DATE(YEAR('Calendario D'!$F107),MONTH('Calendario D'!$F107),DAY('Calendario D'!$F107)))</f>
        <v/>
      </c>
      <c r="D166" s="223">
        <f>IF($B166="","",TIME(HOUR('Calendario D'!$F107),MINUTE('Calendario D'!$F107),0))</f>
        <v/>
      </c>
      <c r="E166" s="222">
        <f>IF($B166="","",DATE(YEAR('Calendario D'!$F107),MONTH('Calendario D'!$F107),DAY('Calendario D'!$F107)))</f>
        <v/>
      </c>
      <c r="F166" s="223">
        <f>IF($B166="","",TIME(HOUR('Calendario D'!$F107)+2,MINUTE('Calendario D'!$F107),0))</f>
        <v/>
      </c>
      <c r="G166" s="68">
        <f>IF($B166="","",'Calendario D'!$B108)</f>
        <v/>
      </c>
      <c r="H166" s="68">
        <f>IF($B166="","",Campionato!$D$2&amp;" "&amp;Campionato!$D$6)</f>
        <v/>
      </c>
      <c r="I166" s="68" t="inlineStr"/>
    </row>
    <row r="167">
      <c r="A167" s="68">
        <f>IF($B167="","","BEGIN:VEVENT
DTSTAMP:"&amp;TEXT(NOW(),"yyyymmdd")&amp;"T000001Z
UID:evt166@ClaudeCoworkBaskin
DTSTART;TZID=Europe/Rome:"&amp;TEXT($C167,"yyyymmdd")&amp;"T"&amp;TEXT($D167,"hhmmss")&amp;"
DTEND;TZID=Europe/Rome:"&amp;TEXT($E167,"yyyymmdd")&amp;"T"&amp;TEXT($F167,"hhmmss")&amp;"
SUMMARY:"&amp;$B167&amp;"
LOCATION:"&amp;$G167&amp;"
DESCRIPTION:"&amp;$H167&amp;"
END:VEVENT")</f>
        <v/>
      </c>
      <c r="B167" s="68">
        <f>IF('Calendario D'!$B112="","",'Calendario D'!$B112&amp;" vs "&amp;'Calendario D'!$D112&amp;" "&amp;'Calendario D'!$AC112)</f>
        <v/>
      </c>
      <c r="C167" s="222">
        <f>IF($B167="","",DATE(YEAR('Calendario D'!$F112),MONTH('Calendario D'!$F112),DAY('Calendario D'!$F112)))</f>
        <v/>
      </c>
      <c r="D167" s="223">
        <f>IF($B167="","",TIME(HOUR('Calendario D'!$F112),MINUTE('Calendario D'!$F112),0))</f>
        <v/>
      </c>
      <c r="E167" s="222">
        <f>IF($B167="","",DATE(YEAR('Calendario D'!$F112),MONTH('Calendario D'!$F112),DAY('Calendario D'!$F112)))</f>
        <v/>
      </c>
      <c r="F167" s="223">
        <f>IF($B167="","",TIME(HOUR('Calendario D'!$F112)+2,MINUTE('Calendario D'!$F112),0))</f>
        <v/>
      </c>
      <c r="G167" s="68">
        <f>IF($B167="","",'Calendario D'!$B113)</f>
        <v/>
      </c>
      <c r="H167" s="68">
        <f>IF($B167="","",Campionato!$D$2&amp;" "&amp;Campionato!$D$6)</f>
        <v/>
      </c>
      <c r="I167" s="68" t="inlineStr"/>
    </row>
    <row r="168">
      <c r="A168" s="68">
        <f>IF($B168="","","BEGIN:VEVENT
DTSTAMP:"&amp;TEXT(NOW(),"yyyymmdd")&amp;"T000001Z
UID:evt167@ClaudeCoworkBaskin
DTSTART;TZID=Europe/Rome:"&amp;TEXT($C168,"yyyymmdd")&amp;"T"&amp;TEXT($D168,"hhmmss")&amp;"
DTEND;TZID=Europe/Rome:"&amp;TEXT($E168,"yyyymmdd")&amp;"T"&amp;TEXT($F168,"hhmmss")&amp;"
SUMMARY:"&amp;$B168&amp;"
LOCATION:"&amp;$G168&amp;"
DESCRIPTION:"&amp;$H168&amp;"
END:VEVENT")</f>
        <v/>
      </c>
      <c r="B168" s="68">
        <f>IF('Calendario D'!$B115="","",'Calendario D'!$B115&amp;" vs "&amp;'Calendario D'!$D115&amp;" "&amp;'Calendario D'!$AC115)</f>
        <v/>
      </c>
      <c r="C168" s="222">
        <f>IF($B168="","",DATE(YEAR('Calendario D'!$F115),MONTH('Calendario D'!$F115),DAY('Calendario D'!$F115)))</f>
        <v/>
      </c>
      <c r="D168" s="223">
        <f>IF($B168="","",TIME(HOUR('Calendario D'!$F115),MINUTE('Calendario D'!$F115),0))</f>
        <v/>
      </c>
      <c r="E168" s="222">
        <f>IF($B168="","",DATE(YEAR('Calendario D'!$F115),MONTH('Calendario D'!$F115),DAY('Calendario D'!$F115)))</f>
        <v/>
      </c>
      <c r="F168" s="223">
        <f>IF($B168="","",TIME(HOUR('Calendario D'!$F115)+2,MINUTE('Calendario D'!$F115),0))</f>
        <v/>
      </c>
      <c r="G168" s="68">
        <f>IF($B168="","",'Calendario D'!$B116)</f>
        <v/>
      </c>
      <c r="H168" s="68">
        <f>IF($B168="","",Campionato!$D$2&amp;" "&amp;Campionato!$D$6)</f>
        <v/>
      </c>
      <c r="I168" s="68" t="inlineStr"/>
    </row>
    <row r="169">
      <c r="A169" s="68">
        <f>IF($B169="","","BEGIN:VEVENT
DTSTAMP:"&amp;TEXT(NOW(),"yyyymmdd")&amp;"T000001Z
UID:evt168@ClaudeCoworkBaskin
DTSTART;TZID=Europe/Rome:"&amp;TEXT($C169,"yyyymmdd")&amp;"T"&amp;TEXT($D169,"hhmmss")&amp;"
DTEND;TZID=Europe/Rome:"&amp;TEXT($E169,"yyyymmdd")&amp;"T"&amp;TEXT($F169,"hhmmss")&amp;"
SUMMARY:"&amp;$B169&amp;"
LOCATION:"&amp;$G169&amp;"
DESCRIPTION:"&amp;$H169&amp;"
END:VEVENT")</f>
        <v/>
      </c>
      <c r="B169" s="68">
        <f>IF('Calendario D'!$B118="","",'Calendario D'!$B118&amp;" vs "&amp;'Calendario D'!$D118&amp;" "&amp;'Calendario D'!$AC118)</f>
        <v/>
      </c>
      <c r="C169" s="222">
        <f>IF($B169="","",DATE(YEAR('Calendario D'!$F118),MONTH('Calendario D'!$F118),DAY('Calendario D'!$F118)))</f>
        <v/>
      </c>
      <c r="D169" s="223">
        <f>IF($B169="","",TIME(HOUR('Calendario D'!$F118),MINUTE('Calendario D'!$F118),0))</f>
        <v/>
      </c>
      <c r="E169" s="222">
        <f>IF($B169="","",DATE(YEAR('Calendario D'!$F118),MONTH('Calendario D'!$F118),DAY('Calendario D'!$F118)))</f>
        <v/>
      </c>
      <c r="F169" s="223">
        <f>IF($B169="","",TIME(HOUR('Calendario D'!$F118)+2,MINUTE('Calendario D'!$F118),0))</f>
        <v/>
      </c>
      <c r="G169" s="68">
        <f>IF($B169="","",'Calendario D'!$B119)</f>
        <v/>
      </c>
      <c r="H169" s="68">
        <f>IF($B169="","",Campionato!$D$2&amp;" "&amp;Campionato!$D$6)</f>
        <v/>
      </c>
      <c r="I169" s="68" t="inlineStr"/>
    </row>
    <row r="170">
      <c r="A170" s="68">
        <f>IF($B170="","","BEGIN:VEVENT
DTSTAMP:"&amp;TEXT(NOW(),"yyyymmdd")&amp;"T000001Z
UID:evt169@ClaudeCoworkBaskin
DTSTART;TZID=Europe/Rome:"&amp;TEXT($C170,"yyyymmdd")&amp;"T"&amp;TEXT($D170,"hhmmss")&amp;"
DTEND;TZID=Europe/Rome:"&amp;TEXT($E170,"yyyymmdd")&amp;"T"&amp;TEXT($F170,"hhmmss")&amp;"
SUMMARY:"&amp;$B170&amp;"
LOCATION:"&amp;$G170&amp;"
DESCRIPTION:"&amp;$H170&amp;"
END:VEVENT")</f>
        <v/>
      </c>
      <c r="B170" s="68">
        <f>IF('Calendario D'!$B121="","",'Calendario D'!$B121&amp;" vs "&amp;'Calendario D'!$D121&amp;" "&amp;'Calendario D'!$AC121)</f>
        <v/>
      </c>
      <c r="C170" s="222">
        <f>IF($B170="","",DATE(YEAR('Calendario D'!$F121),MONTH('Calendario D'!$F121),DAY('Calendario D'!$F121)))</f>
        <v/>
      </c>
      <c r="D170" s="223">
        <f>IF($B170="","",TIME(HOUR('Calendario D'!$F121),MINUTE('Calendario D'!$F121),0))</f>
        <v/>
      </c>
      <c r="E170" s="222">
        <f>IF($B170="","",DATE(YEAR('Calendario D'!$F121),MONTH('Calendario D'!$F121),DAY('Calendario D'!$F121)))</f>
        <v/>
      </c>
      <c r="F170" s="223">
        <f>IF($B170="","",TIME(HOUR('Calendario D'!$F121)+2,MINUTE('Calendario D'!$F121),0))</f>
        <v/>
      </c>
      <c r="G170" s="68">
        <f>IF($B170="","",'Calendario D'!$B122)</f>
        <v/>
      </c>
      <c r="H170" s="68">
        <f>IF($B170="","",Campionato!$D$2&amp;" "&amp;Campionato!$D$6)</f>
        <v/>
      </c>
      <c r="I170" s="68" t="inlineStr"/>
    </row>
    <row r="171">
      <c r="A171" s="68">
        <f>IF($B171="","","BEGIN:VEVENT
DTSTAMP:"&amp;TEXT(NOW(),"yyyymmdd")&amp;"T000001Z
UID:evt170@ClaudeCoworkBaskin
DTSTART;TZID=Europe/Rome:"&amp;TEXT($C171,"yyyymmdd")&amp;"T"&amp;TEXT($D171,"hhmmss")&amp;"
DTEND;TZID=Europe/Rome:"&amp;TEXT($E171,"yyyymmdd")&amp;"T"&amp;TEXT($F171,"hhmmss")&amp;"
SUMMARY:"&amp;$B171&amp;"
LOCATION:"&amp;$G171&amp;"
DESCRIPTION:"&amp;$H171&amp;"
END:VEVENT")</f>
        <v/>
      </c>
      <c r="B171" s="68">
        <f>IF('Calendario D'!$B124="","",'Calendario D'!$B124&amp;" vs "&amp;'Calendario D'!$D124&amp;" "&amp;'Calendario D'!$AC124)</f>
        <v/>
      </c>
      <c r="C171" s="222">
        <f>IF($B171="","",DATE(YEAR('Calendario D'!$F124),MONTH('Calendario D'!$F124),DAY('Calendario D'!$F124)))</f>
        <v/>
      </c>
      <c r="D171" s="223">
        <f>IF($B171="","",TIME(HOUR('Calendario D'!$F124),MINUTE('Calendario D'!$F124),0))</f>
        <v/>
      </c>
      <c r="E171" s="222">
        <f>IF($B171="","",DATE(YEAR('Calendario D'!$F124),MONTH('Calendario D'!$F124),DAY('Calendario D'!$F124)))</f>
        <v/>
      </c>
      <c r="F171" s="223">
        <f>IF($B171="","",TIME(HOUR('Calendario D'!$F124)+2,MINUTE('Calendario D'!$F124),0))</f>
        <v/>
      </c>
      <c r="G171" s="68">
        <f>IF($B171="","",'Calendario D'!$B125)</f>
        <v/>
      </c>
      <c r="H171" s="68">
        <f>IF($B171="","",Campionato!$D$2&amp;" "&amp;Campionato!$D$6)</f>
        <v/>
      </c>
      <c r="I171" s="68" t="inlineStr"/>
    </row>
    <row r="172">
      <c r="A172" s="68">
        <f>IF($B172="","","BEGIN:VEVENT
DTSTAMP:"&amp;TEXT(NOW(),"yyyymmdd")&amp;"T000001Z
UID:evt171@ClaudeCoworkBaskin
DTSTART;TZID=Europe/Rome:"&amp;TEXT($C172,"yyyymmdd")&amp;"T"&amp;TEXT($D172,"hhmmss")&amp;"
DTEND;TZID=Europe/Rome:"&amp;TEXT($E172,"yyyymmdd")&amp;"T"&amp;TEXT($F172,"hhmmss")&amp;"
SUMMARY:"&amp;$B172&amp;"
LOCATION:"&amp;$G172&amp;"
DESCRIPTION:"&amp;$H172&amp;"
END:VEVENT")</f>
        <v/>
      </c>
      <c r="B172" s="68">
        <f>IF('Calendario D'!$B129="","",'Calendario D'!$B129&amp;" vs "&amp;'Calendario D'!$D129&amp;" "&amp;'Calendario D'!$AC129)</f>
        <v/>
      </c>
      <c r="C172" s="222">
        <f>IF($B172="","",DATE(YEAR('Calendario D'!$F129),MONTH('Calendario D'!$F129),DAY('Calendario D'!$F129)))</f>
        <v/>
      </c>
      <c r="D172" s="223">
        <f>IF($B172="","",TIME(HOUR('Calendario D'!$F129),MINUTE('Calendario D'!$F129),0))</f>
        <v/>
      </c>
      <c r="E172" s="222">
        <f>IF($B172="","",DATE(YEAR('Calendario D'!$F129),MONTH('Calendario D'!$F129),DAY('Calendario D'!$F129)))</f>
        <v/>
      </c>
      <c r="F172" s="223">
        <f>IF($B172="","",TIME(HOUR('Calendario D'!$F129)+2,MINUTE('Calendario D'!$F129),0))</f>
        <v/>
      </c>
      <c r="G172" s="68">
        <f>IF($B172="","",'Calendario D'!$B130)</f>
        <v/>
      </c>
      <c r="H172" s="68">
        <f>IF($B172="","",Campionato!$D$2&amp;" "&amp;Campionato!$D$6)</f>
        <v/>
      </c>
      <c r="I172" s="68" t="inlineStr"/>
    </row>
    <row r="173">
      <c r="A173" s="68">
        <f>IF($B173="","","BEGIN:VEVENT
DTSTAMP:"&amp;TEXT(NOW(),"yyyymmdd")&amp;"T000001Z
UID:evt172@ClaudeCoworkBaskin
DTSTART;TZID=Europe/Rome:"&amp;TEXT($C173,"yyyymmdd")&amp;"T"&amp;TEXT($D173,"hhmmss")&amp;"
DTEND;TZID=Europe/Rome:"&amp;TEXT($E173,"yyyymmdd")&amp;"T"&amp;TEXT($F173,"hhmmss")&amp;"
SUMMARY:"&amp;$B173&amp;"
LOCATION:"&amp;$G173&amp;"
DESCRIPTION:"&amp;$H173&amp;"
END:VEVENT")</f>
        <v/>
      </c>
      <c r="B173" s="68">
        <f>IF('Calendario D'!$B132="","",'Calendario D'!$B132&amp;" vs "&amp;'Calendario D'!$D132&amp;" "&amp;'Calendario D'!$AC132)</f>
        <v/>
      </c>
      <c r="C173" s="222">
        <f>IF($B173="","",DATE(YEAR('Calendario D'!$F132),MONTH('Calendario D'!$F132),DAY('Calendario D'!$F132)))</f>
        <v/>
      </c>
      <c r="D173" s="223">
        <f>IF($B173="","",TIME(HOUR('Calendario D'!$F132),MINUTE('Calendario D'!$F132),0))</f>
        <v/>
      </c>
      <c r="E173" s="222">
        <f>IF($B173="","",DATE(YEAR('Calendario D'!$F132),MONTH('Calendario D'!$F132),DAY('Calendario D'!$F132)))</f>
        <v/>
      </c>
      <c r="F173" s="223">
        <f>IF($B173="","",TIME(HOUR('Calendario D'!$F132)+2,MINUTE('Calendario D'!$F132),0))</f>
        <v/>
      </c>
      <c r="G173" s="68">
        <f>IF($B173="","",'Calendario D'!$B133)</f>
        <v/>
      </c>
      <c r="H173" s="68">
        <f>IF($B173="","",Campionato!$D$2&amp;" "&amp;Campionato!$D$6)</f>
        <v/>
      </c>
      <c r="I173" s="68" t="inlineStr"/>
    </row>
    <row r="174">
      <c r="A174" s="68">
        <f>IF($B174="","","BEGIN:VEVENT
DTSTAMP:"&amp;TEXT(NOW(),"yyyymmdd")&amp;"T000001Z
UID:evt173@ClaudeCoworkBaskin
DTSTART;TZID=Europe/Rome:"&amp;TEXT($C174,"yyyymmdd")&amp;"T"&amp;TEXT($D174,"hhmmss")&amp;"
DTEND;TZID=Europe/Rome:"&amp;TEXT($E174,"yyyymmdd")&amp;"T"&amp;TEXT($F174,"hhmmss")&amp;"
SUMMARY:"&amp;$B174&amp;"
LOCATION:"&amp;$G174&amp;"
DESCRIPTION:"&amp;$H174&amp;"
END:VEVENT")</f>
        <v/>
      </c>
      <c r="B174" s="68">
        <f>IF('Calendario D'!$B135="","",'Calendario D'!$B135&amp;" vs "&amp;'Calendario D'!$D135&amp;" "&amp;'Calendario D'!$AC135)</f>
        <v/>
      </c>
      <c r="C174" s="222">
        <f>IF($B174="","",DATE(YEAR('Calendario D'!$F135),MONTH('Calendario D'!$F135),DAY('Calendario D'!$F135)))</f>
        <v/>
      </c>
      <c r="D174" s="223">
        <f>IF($B174="","",TIME(HOUR('Calendario D'!$F135),MINUTE('Calendario D'!$F135),0))</f>
        <v/>
      </c>
      <c r="E174" s="222">
        <f>IF($B174="","",DATE(YEAR('Calendario D'!$F135),MONTH('Calendario D'!$F135),DAY('Calendario D'!$F135)))</f>
        <v/>
      </c>
      <c r="F174" s="223">
        <f>IF($B174="","",TIME(HOUR('Calendario D'!$F135)+2,MINUTE('Calendario D'!$F135),0))</f>
        <v/>
      </c>
      <c r="G174" s="68">
        <f>IF($B174="","",'Calendario D'!$B136)</f>
        <v/>
      </c>
      <c r="H174" s="68">
        <f>IF($B174="","",Campionato!$D$2&amp;" "&amp;Campionato!$D$6)</f>
        <v/>
      </c>
      <c r="I174" s="68" t="inlineStr"/>
    </row>
    <row r="175">
      <c r="A175" s="68">
        <f>IF($B175="","","BEGIN:VEVENT
DTSTAMP:"&amp;TEXT(NOW(),"yyyymmdd")&amp;"T000001Z
UID:evt174@ClaudeCoworkBaskin
DTSTART;TZID=Europe/Rome:"&amp;TEXT($C175,"yyyymmdd")&amp;"T"&amp;TEXT($D175,"hhmmss")&amp;"
DTEND;TZID=Europe/Rome:"&amp;TEXT($E175,"yyyymmdd")&amp;"T"&amp;TEXT($F175,"hhmmss")&amp;"
SUMMARY:"&amp;$B175&amp;"
LOCATION:"&amp;$G175&amp;"
DESCRIPTION:"&amp;$H175&amp;"
END:VEVENT")</f>
        <v/>
      </c>
      <c r="B175" s="68">
        <f>IF('Calendario D'!$B138="","",'Calendario D'!$B138&amp;" vs "&amp;'Calendario D'!$D138&amp;" "&amp;'Calendario D'!$AC138)</f>
        <v/>
      </c>
      <c r="C175" s="222">
        <f>IF($B175="","",DATE(YEAR('Calendario D'!$F138),MONTH('Calendario D'!$F138),DAY('Calendario D'!$F138)))</f>
        <v/>
      </c>
      <c r="D175" s="223">
        <f>IF($B175="","",TIME(HOUR('Calendario D'!$F138),MINUTE('Calendario D'!$F138),0))</f>
        <v/>
      </c>
      <c r="E175" s="222">
        <f>IF($B175="","",DATE(YEAR('Calendario D'!$F138),MONTH('Calendario D'!$F138),DAY('Calendario D'!$F138)))</f>
        <v/>
      </c>
      <c r="F175" s="223">
        <f>IF($B175="","",TIME(HOUR('Calendario D'!$F138)+2,MINUTE('Calendario D'!$F138),0))</f>
        <v/>
      </c>
      <c r="G175" s="68">
        <f>IF($B175="","",'Calendario D'!$B139)</f>
        <v/>
      </c>
      <c r="H175" s="68">
        <f>IF($B175="","",Campionato!$D$2&amp;" "&amp;Campionato!$D$6)</f>
        <v/>
      </c>
      <c r="I175" s="68" t="inlineStr"/>
    </row>
    <row r="176">
      <c r="A176" s="68">
        <f>IF($B176="","","BEGIN:VEVENT
DTSTAMP:"&amp;TEXT(NOW(),"yyyymmdd")&amp;"T000001Z
UID:evt175@ClaudeCoworkBaskin
DTSTART;TZID=Europe/Rome:"&amp;TEXT($C176,"yyyymmdd")&amp;"T"&amp;TEXT($D176,"hhmmss")&amp;"
DTEND;TZID=Europe/Rome:"&amp;TEXT($E176,"yyyymmdd")&amp;"T"&amp;TEXT($F176,"hhmmss")&amp;"
SUMMARY:"&amp;$B176&amp;"
LOCATION:"&amp;$G176&amp;"
DESCRIPTION:"&amp;$H176&amp;"
END:VEVENT")</f>
        <v/>
      </c>
      <c r="B176" s="68">
        <f>IF('Calendario D'!$B141="","",'Calendario D'!$B141&amp;" vs "&amp;'Calendario D'!$D141&amp;" "&amp;'Calendario D'!$AC141)</f>
        <v/>
      </c>
      <c r="C176" s="222">
        <f>IF($B176="","",DATE(YEAR('Calendario D'!$F141),MONTH('Calendario D'!$F141),DAY('Calendario D'!$F141)))</f>
        <v/>
      </c>
      <c r="D176" s="223">
        <f>IF($B176="","",TIME(HOUR('Calendario D'!$F141),MINUTE('Calendario D'!$F141),0))</f>
        <v/>
      </c>
      <c r="E176" s="222">
        <f>IF($B176="","",DATE(YEAR('Calendario D'!$F141),MONTH('Calendario D'!$F141),DAY('Calendario D'!$F141)))</f>
        <v/>
      </c>
      <c r="F176" s="223">
        <f>IF($B176="","",TIME(HOUR('Calendario D'!$F141)+2,MINUTE('Calendario D'!$F141),0))</f>
        <v/>
      </c>
      <c r="G176" s="68">
        <f>IF($B176="","",'Calendario D'!$B142)</f>
        <v/>
      </c>
      <c r="H176" s="68">
        <f>IF($B176="","",Campionato!$D$2&amp;" "&amp;Campionato!$D$6)</f>
        <v/>
      </c>
      <c r="I176" s="68" t="inlineStr"/>
    </row>
    <row r="177">
      <c r="A177" s="68">
        <f>IF($B177="","","BEGIN:VEVENT
DTSTAMP:"&amp;TEXT(NOW(),"yyyymmdd")&amp;"T000001Z
UID:evt176@ClaudeCoworkBaskin
DTSTART;TZID=Europe/Rome:"&amp;TEXT($C177,"yyyymmdd")&amp;"T"&amp;TEXT($D177,"hhmmss")&amp;"
DTEND;TZID=Europe/Rome:"&amp;TEXT($E177,"yyyymmdd")&amp;"T"&amp;TEXT($F177,"hhmmss")&amp;"
SUMMARY:"&amp;$B177&amp;"
LOCATION:"&amp;$G177&amp;"
DESCRIPTION:"&amp;$H177&amp;"
END:VEVENT")</f>
        <v/>
      </c>
      <c r="B177" s="68">
        <f>IF('Calendario D'!$B146="","",'Calendario D'!$B146&amp;" vs "&amp;'Calendario D'!$D146&amp;" "&amp;'Calendario D'!$AC146)</f>
        <v/>
      </c>
      <c r="C177" s="222">
        <f>IF($B177="","",DATE(YEAR('Calendario D'!$F146),MONTH('Calendario D'!$F146),DAY('Calendario D'!$F146)))</f>
        <v/>
      </c>
      <c r="D177" s="223">
        <f>IF($B177="","",TIME(HOUR('Calendario D'!$F146),MINUTE('Calendario D'!$F146),0))</f>
        <v/>
      </c>
      <c r="E177" s="222">
        <f>IF($B177="","",DATE(YEAR('Calendario D'!$F146),MONTH('Calendario D'!$F146),DAY('Calendario D'!$F146)))</f>
        <v/>
      </c>
      <c r="F177" s="223">
        <f>IF($B177="","",TIME(HOUR('Calendario D'!$F146)+2,MINUTE('Calendario D'!$F146),0))</f>
        <v/>
      </c>
      <c r="G177" s="68">
        <f>IF($B177="","",'Calendario D'!$B147)</f>
        <v/>
      </c>
      <c r="H177" s="68">
        <f>IF($B177="","",Campionato!$D$2&amp;" "&amp;Campionato!$D$6)</f>
        <v/>
      </c>
      <c r="I177" s="68" t="inlineStr"/>
    </row>
    <row r="178">
      <c r="A178" s="68">
        <f>IF($B178="","","BEGIN:VEVENT
DTSTAMP:"&amp;TEXT(NOW(),"yyyymmdd")&amp;"T000001Z
UID:evt177@ClaudeCoworkBaskin
DTSTART;TZID=Europe/Rome:"&amp;TEXT($C178,"yyyymmdd")&amp;"T"&amp;TEXT($D178,"hhmmss")&amp;"
DTEND;TZID=Europe/Rome:"&amp;TEXT($E178,"yyyymmdd")&amp;"T"&amp;TEXT($F178,"hhmmss")&amp;"
SUMMARY:"&amp;$B178&amp;"
LOCATION:"&amp;$G178&amp;"
DESCRIPTION:"&amp;$H178&amp;"
END:VEVENT")</f>
        <v/>
      </c>
      <c r="B178" s="68">
        <f>IF('Calendario D'!$B149="","",'Calendario D'!$B149&amp;" vs "&amp;'Calendario D'!$D149&amp;" "&amp;'Calendario D'!$AC149)</f>
        <v/>
      </c>
      <c r="C178" s="222">
        <f>IF($B178="","",DATE(YEAR('Calendario D'!$F149),MONTH('Calendario D'!$F149),DAY('Calendario D'!$F149)))</f>
        <v/>
      </c>
      <c r="D178" s="223">
        <f>IF($B178="","",TIME(HOUR('Calendario D'!$F149),MINUTE('Calendario D'!$F149),0))</f>
        <v/>
      </c>
      <c r="E178" s="222">
        <f>IF($B178="","",DATE(YEAR('Calendario D'!$F149),MONTH('Calendario D'!$F149),DAY('Calendario D'!$F149)))</f>
        <v/>
      </c>
      <c r="F178" s="223">
        <f>IF($B178="","",TIME(HOUR('Calendario D'!$F149)+2,MINUTE('Calendario D'!$F149),0))</f>
        <v/>
      </c>
      <c r="G178" s="68">
        <f>IF($B178="","",'Calendario D'!$B150)</f>
        <v/>
      </c>
      <c r="H178" s="68">
        <f>IF($B178="","",Campionato!$D$2&amp;" "&amp;Campionato!$D$6)</f>
        <v/>
      </c>
      <c r="I178" s="68" t="inlineStr"/>
    </row>
    <row r="179">
      <c r="A179" s="68">
        <f>IF($B179="","","BEGIN:VEVENT
DTSTAMP:"&amp;TEXT(NOW(),"yyyymmdd")&amp;"T000001Z
UID:evt178@ClaudeCoworkBaskin
DTSTART;TZID=Europe/Rome:"&amp;TEXT($C179,"yyyymmdd")&amp;"T"&amp;TEXT($D179,"hhmmss")&amp;"
DTEND;TZID=Europe/Rome:"&amp;TEXT($E179,"yyyymmdd")&amp;"T"&amp;TEXT($F179,"hhmmss")&amp;"
SUMMARY:"&amp;$B179&amp;"
LOCATION:"&amp;$G179&amp;"
DESCRIPTION:"&amp;$H179&amp;"
END:VEVENT")</f>
        <v/>
      </c>
      <c r="B179" s="68">
        <f>IF('Calendario D'!$B152="","",'Calendario D'!$B152&amp;" vs "&amp;'Calendario D'!$D152&amp;" "&amp;'Calendario D'!$AC152)</f>
        <v/>
      </c>
      <c r="C179" s="222">
        <f>IF($B179="","",DATE(YEAR('Calendario D'!$F152),MONTH('Calendario D'!$F152),DAY('Calendario D'!$F152)))</f>
        <v/>
      </c>
      <c r="D179" s="223">
        <f>IF($B179="","",TIME(HOUR('Calendario D'!$F152),MINUTE('Calendario D'!$F152),0))</f>
        <v/>
      </c>
      <c r="E179" s="222">
        <f>IF($B179="","",DATE(YEAR('Calendario D'!$F152),MONTH('Calendario D'!$F152),DAY('Calendario D'!$F152)))</f>
        <v/>
      </c>
      <c r="F179" s="223">
        <f>IF($B179="","",TIME(HOUR('Calendario D'!$F152)+2,MINUTE('Calendario D'!$F152),0))</f>
        <v/>
      </c>
      <c r="G179" s="68">
        <f>IF($B179="","",'Calendario D'!$B153)</f>
        <v/>
      </c>
      <c r="H179" s="68">
        <f>IF($B179="","",Campionato!$D$2&amp;" "&amp;Campionato!$D$6)</f>
        <v/>
      </c>
      <c r="I179" s="68" t="inlineStr"/>
    </row>
    <row r="180">
      <c r="A180" s="68">
        <f>IF($B180="","","BEGIN:VEVENT
DTSTAMP:"&amp;TEXT(NOW(),"yyyymmdd")&amp;"T000001Z
UID:evt179@ClaudeCoworkBaskin
DTSTART;TZID=Europe/Rome:"&amp;TEXT($C180,"yyyymmdd")&amp;"T"&amp;TEXT($D180,"hhmmss")&amp;"
DTEND;TZID=Europe/Rome:"&amp;TEXT($E180,"yyyymmdd")&amp;"T"&amp;TEXT($F180,"hhmmss")&amp;"
SUMMARY:"&amp;$B180&amp;"
LOCATION:"&amp;$G180&amp;"
DESCRIPTION:"&amp;$H180&amp;"
END:VEVENT")</f>
        <v/>
      </c>
      <c r="B180" s="68">
        <f>IF('Calendario D'!$B155="","",'Calendario D'!$B155&amp;" vs "&amp;'Calendario D'!$D155&amp;" "&amp;'Calendario D'!$AC155)</f>
        <v/>
      </c>
      <c r="C180" s="222">
        <f>IF($B180="","",DATE(YEAR('Calendario D'!$F155),MONTH('Calendario D'!$F155),DAY('Calendario D'!$F155)))</f>
        <v/>
      </c>
      <c r="D180" s="223">
        <f>IF($B180="","",TIME(HOUR('Calendario D'!$F155),MINUTE('Calendario D'!$F155),0))</f>
        <v/>
      </c>
      <c r="E180" s="222">
        <f>IF($B180="","",DATE(YEAR('Calendario D'!$F155),MONTH('Calendario D'!$F155),DAY('Calendario D'!$F155)))</f>
        <v/>
      </c>
      <c r="F180" s="223">
        <f>IF($B180="","",TIME(HOUR('Calendario D'!$F155)+2,MINUTE('Calendario D'!$F155),0))</f>
        <v/>
      </c>
      <c r="G180" s="68">
        <f>IF($B180="","",'Calendario D'!$B156)</f>
        <v/>
      </c>
      <c r="H180" s="68">
        <f>IF($B180="","",Campionato!$D$2&amp;" "&amp;Campionato!$D$6)</f>
        <v/>
      </c>
      <c r="I180" s="68" t="inlineStr"/>
    </row>
    <row r="181">
      <c r="A181" s="68">
        <f>IF($B181="","","BEGIN:VEVENT
DTSTAMP:"&amp;TEXT(NOW(),"yyyymmdd")&amp;"T000001Z
UID:evt180@ClaudeCoworkBaskin
DTSTART;TZID=Europe/Rome:"&amp;TEXT($C181,"yyyymmdd")&amp;"T"&amp;TEXT($D181,"hhmmss")&amp;"
DTEND;TZID=Europe/Rome:"&amp;TEXT($E181,"yyyymmdd")&amp;"T"&amp;TEXT($F181,"hhmmss")&amp;"
SUMMARY:"&amp;$B181&amp;"
LOCATION:"&amp;$G181&amp;"
DESCRIPTION:"&amp;$H181&amp;"
END:VEVENT")</f>
        <v/>
      </c>
      <c r="B181" s="68">
        <f>IF('Calendario D'!$B158="","",'Calendario D'!$B158&amp;" vs "&amp;'Calendario D'!$D158&amp;" "&amp;'Calendario D'!$AC158)</f>
        <v/>
      </c>
      <c r="C181" s="222">
        <f>IF($B181="","",DATE(YEAR('Calendario D'!$F158),MONTH('Calendario D'!$F158),DAY('Calendario D'!$F158)))</f>
        <v/>
      </c>
      <c r="D181" s="223">
        <f>IF($B181="","",TIME(HOUR('Calendario D'!$F158),MINUTE('Calendario D'!$F158),0))</f>
        <v/>
      </c>
      <c r="E181" s="222">
        <f>IF($B181="","",DATE(YEAR('Calendario D'!$F158),MONTH('Calendario D'!$F158),DAY('Calendario D'!$F158)))</f>
        <v/>
      </c>
      <c r="F181" s="223">
        <f>IF($B181="","",TIME(HOUR('Calendario D'!$F158)+2,MINUTE('Calendario D'!$F158),0))</f>
        <v/>
      </c>
      <c r="G181" s="68">
        <f>IF($B181="","",'Calendario D'!$B159)</f>
        <v/>
      </c>
      <c r="H181" s="68">
        <f>IF($B181="","",Campionato!$D$2&amp;" "&amp;Campionato!$D$6)</f>
        <v/>
      </c>
      <c r="I181" s="68" t="inlineStr"/>
    </row>
    <row r="182">
      <c r="A182" s="68">
        <f>IF($B182="","","BEGIN:VEVENT
DTSTAMP:"&amp;TEXT(NOW(),"yyyymmdd")&amp;"T000001Z
UID:evt181@ClaudeCoworkBaskin
DTSTART;TZID=Europe/Rome:"&amp;TEXT($C182,"yyyymmdd")&amp;"T"&amp;TEXT($D182,"hhmmss")&amp;"
DTEND;TZID=Europe/Rome:"&amp;TEXT($E182,"yyyymmdd")&amp;"T"&amp;TEXT($F182,"hhmmss")&amp;"
SUMMARY:"&amp;$B182&amp;"
LOCATION:"&amp;$G182&amp;"
DESCRIPTION:"&amp;$H182&amp;"
END:VEVENT")</f>
        <v/>
      </c>
      <c r="B182" s="68">
        <f>IF('Calendario E'!$B10="","",'Calendario E'!$B10&amp;" vs "&amp;'Calendario E'!$D10&amp;" "&amp;'Calendario E'!$AC10)</f>
        <v/>
      </c>
      <c r="C182" s="222">
        <f>IF($B182="","",DATE(YEAR('Calendario E'!$F10),MONTH('Calendario E'!$F10),DAY('Calendario E'!$F10)))</f>
        <v/>
      </c>
      <c r="D182" s="223">
        <f>IF($B182="","",TIME(HOUR('Calendario E'!$F10),MINUTE('Calendario E'!$F10),0))</f>
        <v/>
      </c>
      <c r="E182" s="222">
        <f>IF($B182="","",DATE(YEAR('Calendario E'!$F10),MONTH('Calendario E'!$F10),DAY('Calendario E'!$F10)))</f>
        <v/>
      </c>
      <c r="F182" s="223">
        <f>IF($B182="","",TIME(HOUR('Calendario E'!$F10)+2,MINUTE('Calendario E'!$F10),0))</f>
        <v/>
      </c>
      <c r="G182" s="68">
        <f>IF($B182="","",'Calendario E'!$B11)</f>
        <v/>
      </c>
      <c r="H182" s="68">
        <f>IF($B182="","",Campionato!$D$2&amp;" "&amp;Campionato!$D$6)</f>
        <v/>
      </c>
      <c r="I182" s="68" t="inlineStr"/>
    </row>
    <row r="183">
      <c r="A183" s="68">
        <f>IF($B183="","","BEGIN:VEVENT
DTSTAMP:"&amp;TEXT(NOW(),"yyyymmdd")&amp;"T000001Z
UID:evt182@ClaudeCoworkBaskin
DTSTART;TZID=Europe/Rome:"&amp;TEXT($C183,"yyyymmdd")&amp;"T"&amp;TEXT($D183,"hhmmss")&amp;"
DTEND;TZID=Europe/Rome:"&amp;TEXT($E183,"yyyymmdd")&amp;"T"&amp;TEXT($F183,"hhmmss")&amp;"
SUMMARY:"&amp;$B183&amp;"
LOCATION:"&amp;$G183&amp;"
DESCRIPTION:"&amp;$H183&amp;"
END:VEVENT")</f>
        <v/>
      </c>
      <c r="B183" s="68">
        <f>IF('Calendario E'!$B13="","",'Calendario E'!$B13&amp;" vs "&amp;'Calendario E'!$D13&amp;" "&amp;'Calendario E'!$AC13)</f>
        <v/>
      </c>
      <c r="C183" s="222">
        <f>IF($B183="","",DATE(YEAR('Calendario E'!$F13),MONTH('Calendario E'!$F13),DAY('Calendario E'!$F13)))</f>
        <v/>
      </c>
      <c r="D183" s="223">
        <f>IF($B183="","",TIME(HOUR('Calendario E'!$F13),MINUTE('Calendario E'!$F13),0))</f>
        <v/>
      </c>
      <c r="E183" s="222">
        <f>IF($B183="","",DATE(YEAR('Calendario E'!$F13),MONTH('Calendario E'!$F13),DAY('Calendario E'!$F13)))</f>
        <v/>
      </c>
      <c r="F183" s="223">
        <f>IF($B183="","",TIME(HOUR('Calendario E'!$F13)+2,MINUTE('Calendario E'!$F13),0))</f>
        <v/>
      </c>
      <c r="G183" s="68">
        <f>IF($B183="","",'Calendario E'!$B14)</f>
        <v/>
      </c>
      <c r="H183" s="68">
        <f>IF($B183="","",Campionato!$D$2&amp;" "&amp;Campionato!$D$6)</f>
        <v/>
      </c>
      <c r="I183" s="68" t="inlineStr"/>
    </row>
    <row r="184">
      <c r="A184" s="68">
        <f>IF($B184="","","BEGIN:VEVENT
DTSTAMP:"&amp;TEXT(NOW(),"yyyymmdd")&amp;"T000001Z
UID:evt183@ClaudeCoworkBaskin
DTSTART;TZID=Europe/Rome:"&amp;TEXT($C184,"yyyymmdd")&amp;"T"&amp;TEXT($D184,"hhmmss")&amp;"
DTEND;TZID=Europe/Rome:"&amp;TEXT($E184,"yyyymmdd")&amp;"T"&amp;TEXT($F184,"hhmmss")&amp;"
SUMMARY:"&amp;$B184&amp;"
LOCATION:"&amp;$G184&amp;"
DESCRIPTION:"&amp;$H184&amp;"
END:VEVENT")</f>
        <v/>
      </c>
      <c r="B184" s="68">
        <f>IF('Calendario E'!$B16="","",'Calendario E'!$B16&amp;" vs "&amp;'Calendario E'!$D16&amp;" "&amp;'Calendario E'!$AC16)</f>
        <v/>
      </c>
      <c r="C184" s="222">
        <f>IF($B184="","",DATE(YEAR('Calendario E'!$F16),MONTH('Calendario E'!$F16),DAY('Calendario E'!$F16)))</f>
        <v/>
      </c>
      <c r="D184" s="223">
        <f>IF($B184="","",TIME(HOUR('Calendario E'!$F16),MINUTE('Calendario E'!$F16),0))</f>
        <v/>
      </c>
      <c r="E184" s="222">
        <f>IF($B184="","",DATE(YEAR('Calendario E'!$F16),MONTH('Calendario E'!$F16),DAY('Calendario E'!$F16)))</f>
        <v/>
      </c>
      <c r="F184" s="223">
        <f>IF($B184="","",TIME(HOUR('Calendario E'!$F16)+2,MINUTE('Calendario E'!$F16),0))</f>
        <v/>
      </c>
      <c r="G184" s="68">
        <f>IF($B184="","",'Calendario E'!$B17)</f>
        <v/>
      </c>
      <c r="H184" s="68">
        <f>IF($B184="","",Campionato!$D$2&amp;" "&amp;Campionato!$D$6)</f>
        <v/>
      </c>
      <c r="I184" s="68" t="inlineStr"/>
    </row>
    <row r="185">
      <c r="A185" s="68">
        <f>IF($B185="","","BEGIN:VEVENT
DTSTAMP:"&amp;TEXT(NOW(),"yyyymmdd")&amp;"T000001Z
UID:evt184@ClaudeCoworkBaskin
DTSTART;TZID=Europe/Rome:"&amp;TEXT($C185,"yyyymmdd")&amp;"T"&amp;TEXT($D185,"hhmmss")&amp;"
DTEND;TZID=Europe/Rome:"&amp;TEXT($E185,"yyyymmdd")&amp;"T"&amp;TEXT($F185,"hhmmss")&amp;"
SUMMARY:"&amp;$B185&amp;"
LOCATION:"&amp;$G185&amp;"
DESCRIPTION:"&amp;$H185&amp;"
END:VEVENT")</f>
        <v/>
      </c>
      <c r="B185" s="68">
        <f>IF('Calendario E'!$B19="","",'Calendario E'!$B19&amp;" vs "&amp;'Calendario E'!$D19&amp;" "&amp;'Calendario E'!$AC19)</f>
        <v/>
      </c>
      <c r="C185" s="222">
        <f>IF($B185="","",DATE(YEAR('Calendario E'!$F19),MONTH('Calendario E'!$F19),DAY('Calendario E'!$F19)))</f>
        <v/>
      </c>
      <c r="D185" s="223">
        <f>IF($B185="","",TIME(HOUR('Calendario E'!$F19),MINUTE('Calendario E'!$F19),0))</f>
        <v/>
      </c>
      <c r="E185" s="222">
        <f>IF($B185="","",DATE(YEAR('Calendario E'!$F19),MONTH('Calendario E'!$F19),DAY('Calendario E'!$F19)))</f>
        <v/>
      </c>
      <c r="F185" s="223">
        <f>IF($B185="","",TIME(HOUR('Calendario E'!$F19)+2,MINUTE('Calendario E'!$F19),0))</f>
        <v/>
      </c>
      <c r="G185" s="68">
        <f>IF($B185="","",'Calendario E'!$B20)</f>
        <v/>
      </c>
      <c r="H185" s="68">
        <f>IF($B185="","",Campionato!$D$2&amp;" "&amp;Campionato!$D$6)</f>
        <v/>
      </c>
      <c r="I185" s="68" t="inlineStr"/>
    </row>
    <row r="186">
      <c r="A186" s="68">
        <f>IF($B186="","","BEGIN:VEVENT
DTSTAMP:"&amp;TEXT(NOW(),"yyyymmdd")&amp;"T000001Z
UID:evt185@ClaudeCoworkBaskin
DTSTART;TZID=Europe/Rome:"&amp;TEXT($C186,"yyyymmdd")&amp;"T"&amp;TEXT($D186,"hhmmss")&amp;"
DTEND;TZID=Europe/Rome:"&amp;TEXT($E186,"yyyymmdd")&amp;"T"&amp;TEXT($F186,"hhmmss")&amp;"
SUMMARY:"&amp;$B186&amp;"
LOCATION:"&amp;$G186&amp;"
DESCRIPTION:"&amp;$H186&amp;"
END:VEVENT")</f>
        <v/>
      </c>
      <c r="B186" s="68">
        <f>IF('Calendario E'!$B22="","",'Calendario E'!$B22&amp;" vs "&amp;'Calendario E'!$D22&amp;" "&amp;'Calendario E'!$AC22)</f>
        <v/>
      </c>
      <c r="C186" s="222">
        <f>IF($B186="","",DATE(YEAR('Calendario E'!$F22),MONTH('Calendario E'!$F22),DAY('Calendario E'!$F22)))</f>
        <v/>
      </c>
      <c r="D186" s="223">
        <f>IF($B186="","",TIME(HOUR('Calendario E'!$F22),MINUTE('Calendario E'!$F22),0))</f>
        <v/>
      </c>
      <c r="E186" s="222">
        <f>IF($B186="","",DATE(YEAR('Calendario E'!$F22),MONTH('Calendario E'!$F22),DAY('Calendario E'!$F22)))</f>
        <v/>
      </c>
      <c r="F186" s="223">
        <f>IF($B186="","",TIME(HOUR('Calendario E'!$F22)+2,MINUTE('Calendario E'!$F22),0))</f>
        <v/>
      </c>
      <c r="G186" s="68">
        <f>IF($B186="","",'Calendario E'!$B23)</f>
        <v/>
      </c>
      <c r="H186" s="68">
        <f>IF($B186="","",Campionato!$D$2&amp;" "&amp;Campionato!$D$6)</f>
        <v/>
      </c>
      <c r="I186" s="68" t="inlineStr"/>
    </row>
    <row r="187">
      <c r="A187" s="68">
        <f>IF($B187="","","BEGIN:VEVENT
DTSTAMP:"&amp;TEXT(NOW(),"yyyymmdd")&amp;"T000001Z
UID:evt186@ClaudeCoworkBaskin
DTSTART;TZID=Europe/Rome:"&amp;TEXT($C187,"yyyymmdd")&amp;"T"&amp;TEXT($D187,"hhmmss")&amp;"
DTEND;TZID=Europe/Rome:"&amp;TEXT($E187,"yyyymmdd")&amp;"T"&amp;TEXT($F187,"hhmmss")&amp;"
SUMMARY:"&amp;$B187&amp;"
LOCATION:"&amp;$G187&amp;"
DESCRIPTION:"&amp;$H187&amp;"
END:VEVENT")</f>
        <v/>
      </c>
      <c r="B187" s="68">
        <f>IF('Calendario E'!$B27="","",'Calendario E'!$B27&amp;" vs "&amp;'Calendario E'!$D27&amp;" "&amp;'Calendario E'!$AC27)</f>
        <v/>
      </c>
      <c r="C187" s="222">
        <f>IF($B187="","",DATE(YEAR('Calendario E'!$F27),MONTH('Calendario E'!$F27),DAY('Calendario E'!$F27)))</f>
        <v/>
      </c>
      <c r="D187" s="223">
        <f>IF($B187="","",TIME(HOUR('Calendario E'!$F27),MINUTE('Calendario E'!$F27),0))</f>
        <v/>
      </c>
      <c r="E187" s="222">
        <f>IF($B187="","",DATE(YEAR('Calendario E'!$F27),MONTH('Calendario E'!$F27),DAY('Calendario E'!$F27)))</f>
        <v/>
      </c>
      <c r="F187" s="223">
        <f>IF($B187="","",TIME(HOUR('Calendario E'!$F27)+2,MINUTE('Calendario E'!$F27),0))</f>
        <v/>
      </c>
      <c r="G187" s="68">
        <f>IF($B187="","",'Calendario E'!$B28)</f>
        <v/>
      </c>
      <c r="H187" s="68">
        <f>IF($B187="","",Campionato!$D$2&amp;" "&amp;Campionato!$D$6)</f>
        <v/>
      </c>
      <c r="I187" s="68" t="inlineStr"/>
    </row>
    <row r="188">
      <c r="A188" s="68">
        <f>IF($B188="","","BEGIN:VEVENT
DTSTAMP:"&amp;TEXT(NOW(),"yyyymmdd")&amp;"T000001Z
UID:evt187@ClaudeCoworkBaskin
DTSTART;TZID=Europe/Rome:"&amp;TEXT($C188,"yyyymmdd")&amp;"T"&amp;TEXT($D188,"hhmmss")&amp;"
DTEND;TZID=Europe/Rome:"&amp;TEXT($E188,"yyyymmdd")&amp;"T"&amp;TEXT($F188,"hhmmss")&amp;"
SUMMARY:"&amp;$B188&amp;"
LOCATION:"&amp;$G188&amp;"
DESCRIPTION:"&amp;$H188&amp;"
END:VEVENT")</f>
        <v/>
      </c>
      <c r="B188" s="68">
        <f>IF('Calendario E'!$B30="","",'Calendario E'!$B30&amp;" vs "&amp;'Calendario E'!$D30&amp;" "&amp;'Calendario E'!$AC30)</f>
        <v/>
      </c>
      <c r="C188" s="222">
        <f>IF($B188="","",DATE(YEAR('Calendario E'!$F30),MONTH('Calendario E'!$F30),DAY('Calendario E'!$F30)))</f>
        <v/>
      </c>
      <c r="D188" s="223">
        <f>IF($B188="","",TIME(HOUR('Calendario E'!$F30),MINUTE('Calendario E'!$F30),0))</f>
        <v/>
      </c>
      <c r="E188" s="222">
        <f>IF($B188="","",DATE(YEAR('Calendario E'!$F30),MONTH('Calendario E'!$F30),DAY('Calendario E'!$F30)))</f>
        <v/>
      </c>
      <c r="F188" s="223">
        <f>IF($B188="","",TIME(HOUR('Calendario E'!$F30)+2,MINUTE('Calendario E'!$F30),0))</f>
        <v/>
      </c>
      <c r="G188" s="68">
        <f>IF($B188="","",'Calendario E'!$B31)</f>
        <v/>
      </c>
      <c r="H188" s="68">
        <f>IF($B188="","",Campionato!$D$2&amp;" "&amp;Campionato!$D$6)</f>
        <v/>
      </c>
      <c r="I188" s="68" t="inlineStr"/>
    </row>
    <row r="189">
      <c r="A189" s="68">
        <f>IF($B189="","","BEGIN:VEVENT
DTSTAMP:"&amp;TEXT(NOW(),"yyyymmdd")&amp;"T000001Z
UID:evt188@ClaudeCoworkBaskin
DTSTART;TZID=Europe/Rome:"&amp;TEXT($C189,"yyyymmdd")&amp;"T"&amp;TEXT($D189,"hhmmss")&amp;"
DTEND;TZID=Europe/Rome:"&amp;TEXT($E189,"yyyymmdd")&amp;"T"&amp;TEXT($F189,"hhmmss")&amp;"
SUMMARY:"&amp;$B189&amp;"
LOCATION:"&amp;$G189&amp;"
DESCRIPTION:"&amp;$H189&amp;"
END:VEVENT")</f>
        <v/>
      </c>
      <c r="B189" s="68">
        <f>IF('Calendario E'!$B33="","",'Calendario E'!$B33&amp;" vs "&amp;'Calendario E'!$D33&amp;" "&amp;'Calendario E'!$AC33)</f>
        <v/>
      </c>
      <c r="C189" s="222">
        <f>IF($B189="","",DATE(YEAR('Calendario E'!$F33),MONTH('Calendario E'!$F33),DAY('Calendario E'!$F33)))</f>
        <v/>
      </c>
      <c r="D189" s="223">
        <f>IF($B189="","",TIME(HOUR('Calendario E'!$F33),MINUTE('Calendario E'!$F33),0))</f>
        <v/>
      </c>
      <c r="E189" s="222">
        <f>IF($B189="","",DATE(YEAR('Calendario E'!$F33),MONTH('Calendario E'!$F33),DAY('Calendario E'!$F33)))</f>
        <v/>
      </c>
      <c r="F189" s="223">
        <f>IF($B189="","",TIME(HOUR('Calendario E'!$F33)+2,MINUTE('Calendario E'!$F33),0))</f>
        <v/>
      </c>
      <c r="G189" s="68">
        <f>IF($B189="","",'Calendario E'!$B34)</f>
        <v/>
      </c>
      <c r="H189" s="68">
        <f>IF($B189="","",Campionato!$D$2&amp;" "&amp;Campionato!$D$6)</f>
        <v/>
      </c>
      <c r="I189" s="68" t="inlineStr"/>
    </row>
    <row r="190">
      <c r="A190" s="68">
        <f>IF($B190="","","BEGIN:VEVENT
DTSTAMP:"&amp;TEXT(NOW(),"yyyymmdd")&amp;"T000001Z
UID:evt189@ClaudeCoworkBaskin
DTSTART;TZID=Europe/Rome:"&amp;TEXT($C190,"yyyymmdd")&amp;"T"&amp;TEXT($D190,"hhmmss")&amp;"
DTEND;TZID=Europe/Rome:"&amp;TEXT($E190,"yyyymmdd")&amp;"T"&amp;TEXT($F190,"hhmmss")&amp;"
SUMMARY:"&amp;$B190&amp;"
LOCATION:"&amp;$G190&amp;"
DESCRIPTION:"&amp;$H190&amp;"
END:VEVENT")</f>
        <v/>
      </c>
      <c r="B190" s="68">
        <f>IF('Calendario E'!$B36="","",'Calendario E'!$B36&amp;" vs "&amp;'Calendario E'!$D36&amp;" "&amp;'Calendario E'!$AC36)</f>
        <v/>
      </c>
      <c r="C190" s="222">
        <f>IF($B190="","",DATE(YEAR('Calendario E'!$F36),MONTH('Calendario E'!$F36),DAY('Calendario E'!$F36)))</f>
        <v/>
      </c>
      <c r="D190" s="223">
        <f>IF($B190="","",TIME(HOUR('Calendario E'!$F36),MINUTE('Calendario E'!$F36),0))</f>
        <v/>
      </c>
      <c r="E190" s="222">
        <f>IF($B190="","",DATE(YEAR('Calendario E'!$F36),MONTH('Calendario E'!$F36),DAY('Calendario E'!$F36)))</f>
        <v/>
      </c>
      <c r="F190" s="223">
        <f>IF($B190="","",TIME(HOUR('Calendario E'!$F36)+2,MINUTE('Calendario E'!$F36),0))</f>
        <v/>
      </c>
      <c r="G190" s="68">
        <f>IF($B190="","",'Calendario E'!$B37)</f>
        <v/>
      </c>
      <c r="H190" s="68">
        <f>IF($B190="","",Campionato!$D$2&amp;" "&amp;Campionato!$D$6)</f>
        <v/>
      </c>
      <c r="I190" s="68" t="inlineStr"/>
    </row>
    <row r="191">
      <c r="A191" s="68">
        <f>IF($B191="","","BEGIN:VEVENT
DTSTAMP:"&amp;TEXT(NOW(),"yyyymmdd")&amp;"T000001Z
UID:evt190@ClaudeCoworkBaskin
DTSTART;TZID=Europe/Rome:"&amp;TEXT($C191,"yyyymmdd")&amp;"T"&amp;TEXT($D191,"hhmmss")&amp;"
DTEND;TZID=Europe/Rome:"&amp;TEXT($E191,"yyyymmdd")&amp;"T"&amp;TEXT($F191,"hhmmss")&amp;"
SUMMARY:"&amp;$B191&amp;"
LOCATION:"&amp;$G191&amp;"
DESCRIPTION:"&amp;$H191&amp;"
END:VEVENT")</f>
        <v/>
      </c>
      <c r="B191" s="68">
        <f>IF('Calendario E'!$B39="","",'Calendario E'!$B39&amp;" vs "&amp;'Calendario E'!$D39&amp;" "&amp;'Calendario E'!$AC39)</f>
        <v/>
      </c>
      <c r="C191" s="222">
        <f>IF($B191="","",DATE(YEAR('Calendario E'!$F39),MONTH('Calendario E'!$F39),DAY('Calendario E'!$F39)))</f>
        <v/>
      </c>
      <c r="D191" s="223">
        <f>IF($B191="","",TIME(HOUR('Calendario E'!$F39),MINUTE('Calendario E'!$F39),0))</f>
        <v/>
      </c>
      <c r="E191" s="222">
        <f>IF($B191="","",DATE(YEAR('Calendario E'!$F39),MONTH('Calendario E'!$F39),DAY('Calendario E'!$F39)))</f>
        <v/>
      </c>
      <c r="F191" s="223">
        <f>IF($B191="","",TIME(HOUR('Calendario E'!$F39)+2,MINUTE('Calendario E'!$F39),0))</f>
        <v/>
      </c>
      <c r="G191" s="68">
        <f>IF($B191="","",'Calendario E'!$B40)</f>
        <v/>
      </c>
      <c r="H191" s="68">
        <f>IF($B191="","",Campionato!$D$2&amp;" "&amp;Campionato!$D$6)</f>
        <v/>
      </c>
      <c r="I191" s="68" t="inlineStr"/>
    </row>
    <row r="192">
      <c r="A192" s="68">
        <f>IF($B192="","","BEGIN:VEVENT
DTSTAMP:"&amp;TEXT(NOW(),"yyyymmdd")&amp;"T000001Z
UID:evt191@ClaudeCoworkBaskin
DTSTART;TZID=Europe/Rome:"&amp;TEXT($C192,"yyyymmdd")&amp;"T"&amp;TEXT($D192,"hhmmss")&amp;"
DTEND;TZID=Europe/Rome:"&amp;TEXT($E192,"yyyymmdd")&amp;"T"&amp;TEXT($F192,"hhmmss")&amp;"
SUMMARY:"&amp;$B192&amp;"
LOCATION:"&amp;$G192&amp;"
DESCRIPTION:"&amp;$H192&amp;"
END:VEVENT")</f>
        <v/>
      </c>
      <c r="B192" s="68">
        <f>IF('Calendario E'!$B44="","",'Calendario E'!$B44&amp;" vs "&amp;'Calendario E'!$D44&amp;" "&amp;'Calendario E'!$AC44)</f>
        <v/>
      </c>
      <c r="C192" s="222">
        <f>IF($B192="","",DATE(YEAR('Calendario E'!$F44),MONTH('Calendario E'!$F44),DAY('Calendario E'!$F44)))</f>
        <v/>
      </c>
      <c r="D192" s="223">
        <f>IF($B192="","",TIME(HOUR('Calendario E'!$F44),MINUTE('Calendario E'!$F44),0))</f>
        <v/>
      </c>
      <c r="E192" s="222">
        <f>IF($B192="","",DATE(YEAR('Calendario E'!$F44),MONTH('Calendario E'!$F44),DAY('Calendario E'!$F44)))</f>
        <v/>
      </c>
      <c r="F192" s="223">
        <f>IF($B192="","",TIME(HOUR('Calendario E'!$F44)+2,MINUTE('Calendario E'!$F44),0))</f>
        <v/>
      </c>
      <c r="G192" s="68">
        <f>IF($B192="","",'Calendario E'!$B45)</f>
        <v/>
      </c>
      <c r="H192" s="68">
        <f>IF($B192="","",Campionato!$D$2&amp;" "&amp;Campionato!$D$6)</f>
        <v/>
      </c>
      <c r="I192" s="68" t="inlineStr"/>
    </row>
    <row r="193">
      <c r="A193" s="68">
        <f>IF($B193="","","BEGIN:VEVENT
DTSTAMP:"&amp;TEXT(NOW(),"yyyymmdd")&amp;"T000001Z
UID:evt192@ClaudeCoworkBaskin
DTSTART;TZID=Europe/Rome:"&amp;TEXT($C193,"yyyymmdd")&amp;"T"&amp;TEXT($D193,"hhmmss")&amp;"
DTEND;TZID=Europe/Rome:"&amp;TEXT($E193,"yyyymmdd")&amp;"T"&amp;TEXT($F193,"hhmmss")&amp;"
SUMMARY:"&amp;$B193&amp;"
LOCATION:"&amp;$G193&amp;"
DESCRIPTION:"&amp;$H193&amp;"
END:VEVENT")</f>
        <v/>
      </c>
      <c r="B193" s="68">
        <f>IF('Calendario E'!$B47="","",'Calendario E'!$B47&amp;" vs "&amp;'Calendario E'!$D47&amp;" "&amp;'Calendario E'!$AC47)</f>
        <v/>
      </c>
      <c r="C193" s="222">
        <f>IF($B193="","",DATE(YEAR('Calendario E'!$F47),MONTH('Calendario E'!$F47),DAY('Calendario E'!$F47)))</f>
        <v/>
      </c>
      <c r="D193" s="223">
        <f>IF($B193="","",TIME(HOUR('Calendario E'!$F47),MINUTE('Calendario E'!$F47),0))</f>
        <v/>
      </c>
      <c r="E193" s="222">
        <f>IF($B193="","",DATE(YEAR('Calendario E'!$F47),MONTH('Calendario E'!$F47),DAY('Calendario E'!$F47)))</f>
        <v/>
      </c>
      <c r="F193" s="223">
        <f>IF($B193="","",TIME(HOUR('Calendario E'!$F47)+2,MINUTE('Calendario E'!$F47),0))</f>
        <v/>
      </c>
      <c r="G193" s="68">
        <f>IF($B193="","",'Calendario E'!$B48)</f>
        <v/>
      </c>
      <c r="H193" s="68">
        <f>IF($B193="","",Campionato!$D$2&amp;" "&amp;Campionato!$D$6)</f>
        <v/>
      </c>
      <c r="I193" s="68" t="inlineStr"/>
    </row>
    <row r="194">
      <c r="A194" s="68">
        <f>IF($B194="","","BEGIN:VEVENT
DTSTAMP:"&amp;TEXT(NOW(),"yyyymmdd")&amp;"T000001Z
UID:evt193@ClaudeCoworkBaskin
DTSTART;TZID=Europe/Rome:"&amp;TEXT($C194,"yyyymmdd")&amp;"T"&amp;TEXT($D194,"hhmmss")&amp;"
DTEND;TZID=Europe/Rome:"&amp;TEXT($E194,"yyyymmdd")&amp;"T"&amp;TEXT($F194,"hhmmss")&amp;"
SUMMARY:"&amp;$B194&amp;"
LOCATION:"&amp;$G194&amp;"
DESCRIPTION:"&amp;$H194&amp;"
END:VEVENT")</f>
        <v/>
      </c>
      <c r="B194" s="68">
        <f>IF('Calendario E'!$B50="","",'Calendario E'!$B50&amp;" vs "&amp;'Calendario E'!$D50&amp;" "&amp;'Calendario E'!$AC50)</f>
        <v/>
      </c>
      <c r="C194" s="222">
        <f>IF($B194="","",DATE(YEAR('Calendario E'!$F50),MONTH('Calendario E'!$F50),DAY('Calendario E'!$F50)))</f>
        <v/>
      </c>
      <c r="D194" s="223">
        <f>IF($B194="","",TIME(HOUR('Calendario E'!$F50),MINUTE('Calendario E'!$F50),0))</f>
        <v/>
      </c>
      <c r="E194" s="222">
        <f>IF($B194="","",DATE(YEAR('Calendario E'!$F50),MONTH('Calendario E'!$F50),DAY('Calendario E'!$F50)))</f>
        <v/>
      </c>
      <c r="F194" s="223">
        <f>IF($B194="","",TIME(HOUR('Calendario E'!$F50)+2,MINUTE('Calendario E'!$F50),0))</f>
        <v/>
      </c>
      <c r="G194" s="68">
        <f>IF($B194="","",'Calendario E'!$B51)</f>
        <v/>
      </c>
      <c r="H194" s="68">
        <f>IF($B194="","",Campionato!$D$2&amp;" "&amp;Campionato!$D$6)</f>
        <v/>
      </c>
      <c r="I194" s="68" t="inlineStr"/>
    </row>
    <row r="195">
      <c r="A195" s="68">
        <f>IF($B195="","","BEGIN:VEVENT
DTSTAMP:"&amp;TEXT(NOW(),"yyyymmdd")&amp;"T000001Z
UID:evt194@ClaudeCoworkBaskin
DTSTART;TZID=Europe/Rome:"&amp;TEXT($C195,"yyyymmdd")&amp;"T"&amp;TEXT($D195,"hhmmss")&amp;"
DTEND;TZID=Europe/Rome:"&amp;TEXT($E195,"yyyymmdd")&amp;"T"&amp;TEXT($F195,"hhmmss")&amp;"
SUMMARY:"&amp;$B195&amp;"
LOCATION:"&amp;$G195&amp;"
DESCRIPTION:"&amp;$H195&amp;"
END:VEVENT")</f>
        <v/>
      </c>
      <c r="B195" s="68">
        <f>IF('Calendario E'!$B53="","",'Calendario E'!$B53&amp;" vs "&amp;'Calendario E'!$D53&amp;" "&amp;'Calendario E'!$AC53)</f>
        <v/>
      </c>
      <c r="C195" s="222">
        <f>IF($B195="","",DATE(YEAR('Calendario E'!$F53),MONTH('Calendario E'!$F53),DAY('Calendario E'!$F53)))</f>
        <v/>
      </c>
      <c r="D195" s="223">
        <f>IF($B195="","",TIME(HOUR('Calendario E'!$F53),MINUTE('Calendario E'!$F53),0))</f>
        <v/>
      </c>
      <c r="E195" s="222">
        <f>IF($B195="","",DATE(YEAR('Calendario E'!$F53),MONTH('Calendario E'!$F53),DAY('Calendario E'!$F53)))</f>
        <v/>
      </c>
      <c r="F195" s="223">
        <f>IF($B195="","",TIME(HOUR('Calendario E'!$F53)+2,MINUTE('Calendario E'!$F53),0))</f>
        <v/>
      </c>
      <c r="G195" s="68">
        <f>IF($B195="","",'Calendario E'!$B54)</f>
        <v/>
      </c>
      <c r="H195" s="68">
        <f>IF($B195="","",Campionato!$D$2&amp;" "&amp;Campionato!$D$6)</f>
        <v/>
      </c>
      <c r="I195" s="68" t="inlineStr"/>
    </row>
    <row r="196">
      <c r="A196" s="68">
        <f>IF($B196="","","BEGIN:VEVENT
DTSTAMP:"&amp;TEXT(NOW(),"yyyymmdd")&amp;"T000001Z
UID:evt195@ClaudeCoworkBaskin
DTSTART;TZID=Europe/Rome:"&amp;TEXT($C196,"yyyymmdd")&amp;"T"&amp;TEXT($D196,"hhmmss")&amp;"
DTEND;TZID=Europe/Rome:"&amp;TEXT($E196,"yyyymmdd")&amp;"T"&amp;TEXT($F196,"hhmmss")&amp;"
SUMMARY:"&amp;$B196&amp;"
LOCATION:"&amp;$G196&amp;"
DESCRIPTION:"&amp;$H196&amp;"
END:VEVENT")</f>
        <v/>
      </c>
      <c r="B196" s="68">
        <f>IF('Calendario E'!$B56="","",'Calendario E'!$B56&amp;" vs "&amp;'Calendario E'!$D56&amp;" "&amp;'Calendario E'!$AC56)</f>
        <v/>
      </c>
      <c r="C196" s="222">
        <f>IF($B196="","",DATE(YEAR('Calendario E'!$F56),MONTH('Calendario E'!$F56),DAY('Calendario E'!$F56)))</f>
        <v/>
      </c>
      <c r="D196" s="223">
        <f>IF($B196="","",TIME(HOUR('Calendario E'!$F56),MINUTE('Calendario E'!$F56),0))</f>
        <v/>
      </c>
      <c r="E196" s="222">
        <f>IF($B196="","",DATE(YEAR('Calendario E'!$F56),MONTH('Calendario E'!$F56),DAY('Calendario E'!$F56)))</f>
        <v/>
      </c>
      <c r="F196" s="223">
        <f>IF($B196="","",TIME(HOUR('Calendario E'!$F56)+2,MINUTE('Calendario E'!$F56),0))</f>
        <v/>
      </c>
      <c r="G196" s="68">
        <f>IF($B196="","",'Calendario E'!$B57)</f>
        <v/>
      </c>
      <c r="H196" s="68">
        <f>IF($B196="","",Campionato!$D$2&amp;" "&amp;Campionato!$D$6)</f>
        <v/>
      </c>
      <c r="I196" s="68" t="inlineStr"/>
    </row>
    <row r="197">
      <c r="A197" s="68">
        <f>IF($B197="","","BEGIN:VEVENT
DTSTAMP:"&amp;TEXT(NOW(),"yyyymmdd")&amp;"T000001Z
UID:evt196@ClaudeCoworkBaskin
DTSTART;TZID=Europe/Rome:"&amp;TEXT($C197,"yyyymmdd")&amp;"T"&amp;TEXT($D197,"hhmmss")&amp;"
DTEND;TZID=Europe/Rome:"&amp;TEXT($E197,"yyyymmdd")&amp;"T"&amp;TEXT($F197,"hhmmss")&amp;"
SUMMARY:"&amp;$B197&amp;"
LOCATION:"&amp;$G197&amp;"
DESCRIPTION:"&amp;$H197&amp;"
END:VEVENT")</f>
        <v/>
      </c>
      <c r="B197" s="68">
        <f>IF('Calendario E'!$B61="","",'Calendario E'!$B61&amp;" vs "&amp;'Calendario E'!$D61&amp;" "&amp;'Calendario E'!$AC61)</f>
        <v/>
      </c>
      <c r="C197" s="222">
        <f>IF($B197="","",DATE(YEAR('Calendario E'!$F61),MONTH('Calendario E'!$F61),DAY('Calendario E'!$F61)))</f>
        <v/>
      </c>
      <c r="D197" s="223">
        <f>IF($B197="","",TIME(HOUR('Calendario E'!$F61),MINUTE('Calendario E'!$F61),0))</f>
        <v/>
      </c>
      <c r="E197" s="222">
        <f>IF($B197="","",DATE(YEAR('Calendario E'!$F61),MONTH('Calendario E'!$F61),DAY('Calendario E'!$F61)))</f>
        <v/>
      </c>
      <c r="F197" s="223">
        <f>IF($B197="","",TIME(HOUR('Calendario E'!$F61)+2,MINUTE('Calendario E'!$F61),0))</f>
        <v/>
      </c>
      <c r="G197" s="68">
        <f>IF($B197="","",'Calendario E'!$B62)</f>
        <v/>
      </c>
      <c r="H197" s="68">
        <f>IF($B197="","",Campionato!$D$2&amp;" "&amp;Campionato!$D$6)</f>
        <v/>
      </c>
      <c r="I197" s="68" t="inlineStr"/>
    </row>
    <row r="198">
      <c r="A198" s="68">
        <f>IF($B198="","","BEGIN:VEVENT
DTSTAMP:"&amp;TEXT(NOW(),"yyyymmdd")&amp;"T000001Z
UID:evt197@ClaudeCoworkBaskin
DTSTART;TZID=Europe/Rome:"&amp;TEXT($C198,"yyyymmdd")&amp;"T"&amp;TEXT($D198,"hhmmss")&amp;"
DTEND;TZID=Europe/Rome:"&amp;TEXT($E198,"yyyymmdd")&amp;"T"&amp;TEXT($F198,"hhmmss")&amp;"
SUMMARY:"&amp;$B198&amp;"
LOCATION:"&amp;$G198&amp;"
DESCRIPTION:"&amp;$H198&amp;"
END:VEVENT")</f>
        <v/>
      </c>
      <c r="B198" s="68">
        <f>IF('Calendario E'!$B64="","",'Calendario E'!$B64&amp;" vs "&amp;'Calendario E'!$D64&amp;" "&amp;'Calendario E'!$AC64)</f>
        <v/>
      </c>
      <c r="C198" s="222">
        <f>IF($B198="","",DATE(YEAR('Calendario E'!$F64),MONTH('Calendario E'!$F64),DAY('Calendario E'!$F64)))</f>
        <v/>
      </c>
      <c r="D198" s="223">
        <f>IF($B198="","",TIME(HOUR('Calendario E'!$F64),MINUTE('Calendario E'!$F64),0))</f>
        <v/>
      </c>
      <c r="E198" s="222">
        <f>IF($B198="","",DATE(YEAR('Calendario E'!$F64),MONTH('Calendario E'!$F64),DAY('Calendario E'!$F64)))</f>
        <v/>
      </c>
      <c r="F198" s="223">
        <f>IF($B198="","",TIME(HOUR('Calendario E'!$F64)+2,MINUTE('Calendario E'!$F64),0))</f>
        <v/>
      </c>
      <c r="G198" s="68">
        <f>IF($B198="","",'Calendario E'!$B65)</f>
        <v/>
      </c>
      <c r="H198" s="68">
        <f>IF($B198="","",Campionato!$D$2&amp;" "&amp;Campionato!$D$6)</f>
        <v/>
      </c>
      <c r="I198" s="68" t="inlineStr"/>
    </row>
    <row r="199">
      <c r="A199" s="68">
        <f>IF($B199="","","BEGIN:VEVENT
DTSTAMP:"&amp;TEXT(NOW(),"yyyymmdd")&amp;"T000001Z
UID:evt198@ClaudeCoworkBaskin
DTSTART;TZID=Europe/Rome:"&amp;TEXT($C199,"yyyymmdd")&amp;"T"&amp;TEXT($D199,"hhmmss")&amp;"
DTEND;TZID=Europe/Rome:"&amp;TEXT($E199,"yyyymmdd")&amp;"T"&amp;TEXT($F199,"hhmmss")&amp;"
SUMMARY:"&amp;$B199&amp;"
LOCATION:"&amp;$G199&amp;"
DESCRIPTION:"&amp;$H199&amp;"
END:VEVENT")</f>
        <v/>
      </c>
      <c r="B199" s="68">
        <f>IF('Calendario E'!$B67="","",'Calendario E'!$B67&amp;" vs "&amp;'Calendario E'!$D67&amp;" "&amp;'Calendario E'!$AC67)</f>
        <v/>
      </c>
      <c r="C199" s="222">
        <f>IF($B199="","",DATE(YEAR('Calendario E'!$F67),MONTH('Calendario E'!$F67),DAY('Calendario E'!$F67)))</f>
        <v/>
      </c>
      <c r="D199" s="223">
        <f>IF($B199="","",TIME(HOUR('Calendario E'!$F67),MINUTE('Calendario E'!$F67),0))</f>
        <v/>
      </c>
      <c r="E199" s="222">
        <f>IF($B199="","",DATE(YEAR('Calendario E'!$F67),MONTH('Calendario E'!$F67),DAY('Calendario E'!$F67)))</f>
        <v/>
      </c>
      <c r="F199" s="223">
        <f>IF($B199="","",TIME(HOUR('Calendario E'!$F67)+2,MINUTE('Calendario E'!$F67),0))</f>
        <v/>
      </c>
      <c r="G199" s="68">
        <f>IF($B199="","",'Calendario E'!$B68)</f>
        <v/>
      </c>
      <c r="H199" s="68">
        <f>IF($B199="","",Campionato!$D$2&amp;" "&amp;Campionato!$D$6)</f>
        <v/>
      </c>
      <c r="I199" s="68" t="inlineStr"/>
    </row>
    <row r="200">
      <c r="A200" s="68">
        <f>IF($B200="","","BEGIN:VEVENT
DTSTAMP:"&amp;TEXT(NOW(),"yyyymmdd")&amp;"T000001Z
UID:evt199@ClaudeCoworkBaskin
DTSTART;TZID=Europe/Rome:"&amp;TEXT($C200,"yyyymmdd")&amp;"T"&amp;TEXT($D200,"hhmmss")&amp;"
DTEND;TZID=Europe/Rome:"&amp;TEXT($E200,"yyyymmdd")&amp;"T"&amp;TEXT($F200,"hhmmss")&amp;"
SUMMARY:"&amp;$B200&amp;"
LOCATION:"&amp;$G200&amp;"
DESCRIPTION:"&amp;$H200&amp;"
END:VEVENT")</f>
        <v/>
      </c>
      <c r="B200" s="68">
        <f>IF('Calendario E'!$B70="","",'Calendario E'!$B70&amp;" vs "&amp;'Calendario E'!$D70&amp;" "&amp;'Calendario E'!$AC70)</f>
        <v/>
      </c>
      <c r="C200" s="222">
        <f>IF($B200="","",DATE(YEAR('Calendario E'!$F70),MONTH('Calendario E'!$F70),DAY('Calendario E'!$F70)))</f>
        <v/>
      </c>
      <c r="D200" s="223">
        <f>IF($B200="","",TIME(HOUR('Calendario E'!$F70),MINUTE('Calendario E'!$F70),0))</f>
        <v/>
      </c>
      <c r="E200" s="222">
        <f>IF($B200="","",DATE(YEAR('Calendario E'!$F70),MONTH('Calendario E'!$F70),DAY('Calendario E'!$F70)))</f>
        <v/>
      </c>
      <c r="F200" s="223">
        <f>IF($B200="","",TIME(HOUR('Calendario E'!$F70)+2,MINUTE('Calendario E'!$F70),0))</f>
        <v/>
      </c>
      <c r="G200" s="68">
        <f>IF($B200="","",'Calendario E'!$B71)</f>
        <v/>
      </c>
      <c r="H200" s="68">
        <f>IF($B200="","",Campionato!$D$2&amp;" "&amp;Campionato!$D$6)</f>
        <v/>
      </c>
      <c r="I200" s="68" t="inlineStr"/>
    </row>
    <row r="201">
      <c r="A201" s="68">
        <f>IF($B201="","","BEGIN:VEVENT
DTSTAMP:"&amp;TEXT(NOW(),"yyyymmdd")&amp;"T000001Z
UID:evt200@ClaudeCoworkBaskin
DTSTART;TZID=Europe/Rome:"&amp;TEXT($C201,"yyyymmdd")&amp;"T"&amp;TEXT($D201,"hhmmss")&amp;"
DTEND;TZID=Europe/Rome:"&amp;TEXT($E201,"yyyymmdd")&amp;"T"&amp;TEXT($F201,"hhmmss")&amp;"
SUMMARY:"&amp;$B201&amp;"
LOCATION:"&amp;$G201&amp;"
DESCRIPTION:"&amp;$H201&amp;"
END:VEVENT")</f>
        <v/>
      </c>
      <c r="B201" s="68">
        <f>IF('Calendario E'!$B73="","",'Calendario E'!$B73&amp;" vs "&amp;'Calendario E'!$D73&amp;" "&amp;'Calendario E'!$AC73)</f>
        <v/>
      </c>
      <c r="C201" s="222">
        <f>IF($B201="","",DATE(YEAR('Calendario E'!$F73),MONTH('Calendario E'!$F73),DAY('Calendario E'!$F73)))</f>
        <v/>
      </c>
      <c r="D201" s="223">
        <f>IF($B201="","",TIME(HOUR('Calendario E'!$F73),MINUTE('Calendario E'!$F73),0))</f>
        <v/>
      </c>
      <c r="E201" s="222">
        <f>IF($B201="","",DATE(YEAR('Calendario E'!$F73),MONTH('Calendario E'!$F73),DAY('Calendario E'!$F73)))</f>
        <v/>
      </c>
      <c r="F201" s="223">
        <f>IF($B201="","",TIME(HOUR('Calendario E'!$F73)+2,MINUTE('Calendario E'!$F73),0))</f>
        <v/>
      </c>
      <c r="G201" s="68">
        <f>IF($B201="","",'Calendario E'!$B74)</f>
        <v/>
      </c>
      <c r="H201" s="68">
        <f>IF($B201="","",Campionato!$D$2&amp;" "&amp;Campionato!$D$6)</f>
        <v/>
      </c>
      <c r="I201" s="68" t="inlineStr"/>
    </row>
    <row r="202">
      <c r="A202" s="68">
        <f>IF($B202="","","BEGIN:VEVENT
DTSTAMP:"&amp;TEXT(NOW(),"yyyymmdd")&amp;"T000001Z
UID:evt201@ClaudeCoworkBaskin
DTSTART;TZID=Europe/Rome:"&amp;TEXT($C202,"yyyymmdd")&amp;"T"&amp;TEXT($D202,"hhmmss")&amp;"
DTEND;TZID=Europe/Rome:"&amp;TEXT($E202,"yyyymmdd")&amp;"T"&amp;TEXT($F202,"hhmmss")&amp;"
SUMMARY:"&amp;$B202&amp;"
LOCATION:"&amp;$G202&amp;"
DESCRIPTION:"&amp;$H202&amp;"
END:VEVENT")</f>
        <v/>
      </c>
      <c r="B202" s="68">
        <f>IF('Calendario E'!$B78="","",'Calendario E'!$B78&amp;" vs "&amp;'Calendario E'!$D78&amp;" "&amp;'Calendario E'!$AC78)</f>
        <v/>
      </c>
      <c r="C202" s="222">
        <f>IF($B202="","",DATE(YEAR('Calendario E'!$F78),MONTH('Calendario E'!$F78),DAY('Calendario E'!$F78)))</f>
        <v/>
      </c>
      <c r="D202" s="223">
        <f>IF($B202="","",TIME(HOUR('Calendario E'!$F78),MINUTE('Calendario E'!$F78),0))</f>
        <v/>
      </c>
      <c r="E202" s="222">
        <f>IF($B202="","",DATE(YEAR('Calendario E'!$F78),MONTH('Calendario E'!$F78),DAY('Calendario E'!$F78)))</f>
        <v/>
      </c>
      <c r="F202" s="223">
        <f>IF($B202="","",TIME(HOUR('Calendario E'!$F78)+2,MINUTE('Calendario E'!$F78),0))</f>
        <v/>
      </c>
      <c r="G202" s="68">
        <f>IF($B202="","",'Calendario E'!$B79)</f>
        <v/>
      </c>
      <c r="H202" s="68">
        <f>IF($B202="","",Campionato!$D$2&amp;" "&amp;Campionato!$D$6)</f>
        <v/>
      </c>
      <c r="I202" s="68" t="inlineStr"/>
    </row>
    <row r="203">
      <c r="A203" s="68">
        <f>IF($B203="","","BEGIN:VEVENT
DTSTAMP:"&amp;TEXT(NOW(),"yyyymmdd")&amp;"T000001Z
UID:evt202@ClaudeCoworkBaskin
DTSTART;TZID=Europe/Rome:"&amp;TEXT($C203,"yyyymmdd")&amp;"T"&amp;TEXT($D203,"hhmmss")&amp;"
DTEND;TZID=Europe/Rome:"&amp;TEXT($E203,"yyyymmdd")&amp;"T"&amp;TEXT($F203,"hhmmss")&amp;"
SUMMARY:"&amp;$B203&amp;"
LOCATION:"&amp;$G203&amp;"
DESCRIPTION:"&amp;$H203&amp;"
END:VEVENT")</f>
        <v/>
      </c>
      <c r="B203" s="68">
        <f>IF('Calendario E'!$B81="","",'Calendario E'!$B81&amp;" vs "&amp;'Calendario E'!$D81&amp;" "&amp;'Calendario E'!$AC81)</f>
        <v/>
      </c>
      <c r="C203" s="222">
        <f>IF($B203="","",DATE(YEAR('Calendario E'!$F81),MONTH('Calendario E'!$F81),DAY('Calendario E'!$F81)))</f>
        <v/>
      </c>
      <c r="D203" s="223">
        <f>IF($B203="","",TIME(HOUR('Calendario E'!$F81),MINUTE('Calendario E'!$F81),0))</f>
        <v/>
      </c>
      <c r="E203" s="222">
        <f>IF($B203="","",DATE(YEAR('Calendario E'!$F81),MONTH('Calendario E'!$F81),DAY('Calendario E'!$F81)))</f>
        <v/>
      </c>
      <c r="F203" s="223">
        <f>IF($B203="","",TIME(HOUR('Calendario E'!$F81)+2,MINUTE('Calendario E'!$F81),0))</f>
        <v/>
      </c>
      <c r="G203" s="68">
        <f>IF($B203="","",'Calendario E'!$B82)</f>
        <v/>
      </c>
      <c r="H203" s="68">
        <f>IF($B203="","",Campionato!$D$2&amp;" "&amp;Campionato!$D$6)</f>
        <v/>
      </c>
      <c r="I203" s="68" t="inlineStr"/>
    </row>
    <row r="204">
      <c r="A204" s="68">
        <f>IF($B204="","","BEGIN:VEVENT
DTSTAMP:"&amp;TEXT(NOW(),"yyyymmdd")&amp;"T000001Z
UID:evt203@ClaudeCoworkBaskin
DTSTART;TZID=Europe/Rome:"&amp;TEXT($C204,"yyyymmdd")&amp;"T"&amp;TEXT($D204,"hhmmss")&amp;"
DTEND;TZID=Europe/Rome:"&amp;TEXT($E204,"yyyymmdd")&amp;"T"&amp;TEXT($F204,"hhmmss")&amp;"
SUMMARY:"&amp;$B204&amp;"
LOCATION:"&amp;$G204&amp;"
DESCRIPTION:"&amp;$H204&amp;"
END:VEVENT")</f>
        <v/>
      </c>
      <c r="B204" s="68">
        <f>IF('Calendario E'!$B84="","",'Calendario E'!$B84&amp;" vs "&amp;'Calendario E'!$D84&amp;" "&amp;'Calendario E'!$AC84)</f>
        <v/>
      </c>
      <c r="C204" s="222">
        <f>IF($B204="","",DATE(YEAR('Calendario E'!$F84),MONTH('Calendario E'!$F84),DAY('Calendario E'!$F84)))</f>
        <v/>
      </c>
      <c r="D204" s="223">
        <f>IF($B204="","",TIME(HOUR('Calendario E'!$F84),MINUTE('Calendario E'!$F84),0))</f>
        <v/>
      </c>
      <c r="E204" s="222">
        <f>IF($B204="","",DATE(YEAR('Calendario E'!$F84),MONTH('Calendario E'!$F84),DAY('Calendario E'!$F84)))</f>
        <v/>
      </c>
      <c r="F204" s="223">
        <f>IF($B204="","",TIME(HOUR('Calendario E'!$F84)+2,MINUTE('Calendario E'!$F84),0))</f>
        <v/>
      </c>
      <c r="G204" s="68">
        <f>IF($B204="","",'Calendario E'!$B85)</f>
        <v/>
      </c>
      <c r="H204" s="68">
        <f>IF($B204="","",Campionato!$D$2&amp;" "&amp;Campionato!$D$6)</f>
        <v/>
      </c>
      <c r="I204" s="68" t="inlineStr"/>
    </row>
    <row r="205">
      <c r="A205" s="68">
        <f>IF($B205="","","BEGIN:VEVENT
DTSTAMP:"&amp;TEXT(NOW(),"yyyymmdd")&amp;"T000001Z
UID:evt204@ClaudeCoworkBaskin
DTSTART;TZID=Europe/Rome:"&amp;TEXT($C205,"yyyymmdd")&amp;"T"&amp;TEXT($D205,"hhmmss")&amp;"
DTEND;TZID=Europe/Rome:"&amp;TEXT($E205,"yyyymmdd")&amp;"T"&amp;TEXT($F205,"hhmmss")&amp;"
SUMMARY:"&amp;$B205&amp;"
LOCATION:"&amp;$G205&amp;"
DESCRIPTION:"&amp;$H205&amp;"
END:VEVENT")</f>
        <v/>
      </c>
      <c r="B205" s="68">
        <f>IF('Calendario E'!$B87="","",'Calendario E'!$B87&amp;" vs "&amp;'Calendario E'!$D87&amp;" "&amp;'Calendario E'!$AC87)</f>
        <v/>
      </c>
      <c r="C205" s="222">
        <f>IF($B205="","",DATE(YEAR('Calendario E'!$F87),MONTH('Calendario E'!$F87),DAY('Calendario E'!$F87)))</f>
        <v/>
      </c>
      <c r="D205" s="223">
        <f>IF($B205="","",TIME(HOUR('Calendario E'!$F87),MINUTE('Calendario E'!$F87),0))</f>
        <v/>
      </c>
      <c r="E205" s="222">
        <f>IF($B205="","",DATE(YEAR('Calendario E'!$F87),MONTH('Calendario E'!$F87),DAY('Calendario E'!$F87)))</f>
        <v/>
      </c>
      <c r="F205" s="223">
        <f>IF($B205="","",TIME(HOUR('Calendario E'!$F87)+2,MINUTE('Calendario E'!$F87),0))</f>
        <v/>
      </c>
      <c r="G205" s="68">
        <f>IF($B205="","",'Calendario E'!$B88)</f>
        <v/>
      </c>
      <c r="H205" s="68">
        <f>IF($B205="","",Campionato!$D$2&amp;" "&amp;Campionato!$D$6)</f>
        <v/>
      </c>
      <c r="I205" s="68" t="inlineStr"/>
    </row>
    <row r="206">
      <c r="A206" s="68">
        <f>IF($B206="","","BEGIN:VEVENT
DTSTAMP:"&amp;TEXT(NOW(),"yyyymmdd")&amp;"T000001Z
UID:evt205@ClaudeCoworkBaskin
DTSTART;TZID=Europe/Rome:"&amp;TEXT($C206,"yyyymmdd")&amp;"T"&amp;TEXT($D206,"hhmmss")&amp;"
DTEND;TZID=Europe/Rome:"&amp;TEXT($E206,"yyyymmdd")&amp;"T"&amp;TEXT($F206,"hhmmss")&amp;"
SUMMARY:"&amp;$B206&amp;"
LOCATION:"&amp;$G206&amp;"
DESCRIPTION:"&amp;$H206&amp;"
END:VEVENT")</f>
        <v/>
      </c>
      <c r="B206" s="68">
        <f>IF('Calendario E'!$B90="","",'Calendario E'!$B90&amp;" vs "&amp;'Calendario E'!$D90&amp;" "&amp;'Calendario E'!$AC90)</f>
        <v/>
      </c>
      <c r="C206" s="222">
        <f>IF($B206="","",DATE(YEAR('Calendario E'!$F90),MONTH('Calendario E'!$F90),DAY('Calendario E'!$F90)))</f>
        <v/>
      </c>
      <c r="D206" s="223">
        <f>IF($B206="","",TIME(HOUR('Calendario E'!$F90),MINUTE('Calendario E'!$F90),0))</f>
        <v/>
      </c>
      <c r="E206" s="222">
        <f>IF($B206="","",DATE(YEAR('Calendario E'!$F90),MONTH('Calendario E'!$F90),DAY('Calendario E'!$F90)))</f>
        <v/>
      </c>
      <c r="F206" s="223">
        <f>IF($B206="","",TIME(HOUR('Calendario E'!$F90)+2,MINUTE('Calendario E'!$F90),0))</f>
        <v/>
      </c>
      <c r="G206" s="68">
        <f>IF($B206="","",'Calendario E'!$B91)</f>
        <v/>
      </c>
      <c r="H206" s="68">
        <f>IF($B206="","",Campionato!$D$2&amp;" "&amp;Campionato!$D$6)</f>
        <v/>
      </c>
      <c r="I206" s="68" t="inlineStr"/>
    </row>
    <row r="207">
      <c r="A207" s="68">
        <f>IF($B207="","","BEGIN:VEVENT
DTSTAMP:"&amp;TEXT(NOW(),"yyyymmdd")&amp;"T000001Z
UID:evt206@ClaudeCoworkBaskin
DTSTART;TZID=Europe/Rome:"&amp;TEXT($C207,"yyyymmdd")&amp;"T"&amp;TEXT($D207,"hhmmss")&amp;"
DTEND;TZID=Europe/Rome:"&amp;TEXT($E207,"yyyymmdd")&amp;"T"&amp;TEXT($F207,"hhmmss")&amp;"
SUMMARY:"&amp;$B207&amp;"
LOCATION:"&amp;$G207&amp;"
DESCRIPTION:"&amp;$H207&amp;"
END:VEVENT")</f>
        <v/>
      </c>
      <c r="B207" s="68">
        <f>IF('Calendario E'!$B95="","",'Calendario E'!$B95&amp;" vs "&amp;'Calendario E'!$D95&amp;" "&amp;'Calendario E'!$AC95)</f>
        <v/>
      </c>
      <c r="C207" s="222">
        <f>IF($B207="","",DATE(YEAR('Calendario E'!$F95),MONTH('Calendario E'!$F95),DAY('Calendario E'!$F95)))</f>
        <v/>
      </c>
      <c r="D207" s="223">
        <f>IF($B207="","",TIME(HOUR('Calendario E'!$F95),MINUTE('Calendario E'!$F95),0))</f>
        <v/>
      </c>
      <c r="E207" s="222">
        <f>IF($B207="","",DATE(YEAR('Calendario E'!$F95),MONTH('Calendario E'!$F95),DAY('Calendario E'!$F95)))</f>
        <v/>
      </c>
      <c r="F207" s="223">
        <f>IF($B207="","",TIME(HOUR('Calendario E'!$F95)+2,MINUTE('Calendario E'!$F95),0))</f>
        <v/>
      </c>
      <c r="G207" s="68">
        <f>IF($B207="","",'Calendario E'!$B96)</f>
        <v/>
      </c>
      <c r="H207" s="68">
        <f>IF($B207="","",Campionato!$D$2&amp;" "&amp;Campionato!$D$6)</f>
        <v/>
      </c>
      <c r="I207" s="68" t="inlineStr"/>
    </row>
    <row r="208">
      <c r="A208" s="68">
        <f>IF($B208="","","BEGIN:VEVENT
DTSTAMP:"&amp;TEXT(NOW(),"yyyymmdd")&amp;"T000001Z
UID:evt207@ClaudeCoworkBaskin
DTSTART;TZID=Europe/Rome:"&amp;TEXT($C208,"yyyymmdd")&amp;"T"&amp;TEXT($D208,"hhmmss")&amp;"
DTEND;TZID=Europe/Rome:"&amp;TEXT($E208,"yyyymmdd")&amp;"T"&amp;TEXT($F208,"hhmmss")&amp;"
SUMMARY:"&amp;$B208&amp;"
LOCATION:"&amp;$G208&amp;"
DESCRIPTION:"&amp;$H208&amp;"
END:VEVENT")</f>
        <v/>
      </c>
      <c r="B208" s="68">
        <f>IF('Calendario E'!$B98="","",'Calendario E'!$B98&amp;" vs "&amp;'Calendario E'!$D98&amp;" "&amp;'Calendario E'!$AC98)</f>
        <v/>
      </c>
      <c r="C208" s="222">
        <f>IF($B208="","",DATE(YEAR('Calendario E'!$F98),MONTH('Calendario E'!$F98),DAY('Calendario E'!$F98)))</f>
        <v/>
      </c>
      <c r="D208" s="223">
        <f>IF($B208="","",TIME(HOUR('Calendario E'!$F98),MINUTE('Calendario E'!$F98),0))</f>
        <v/>
      </c>
      <c r="E208" s="222">
        <f>IF($B208="","",DATE(YEAR('Calendario E'!$F98),MONTH('Calendario E'!$F98),DAY('Calendario E'!$F98)))</f>
        <v/>
      </c>
      <c r="F208" s="223">
        <f>IF($B208="","",TIME(HOUR('Calendario E'!$F98)+2,MINUTE('Calendario E'!$F98),0))</f>
        <v/>
      </c>
      <c r="G208" s="68">
        <f>IF($B208="","",'Calendario E'!$B99)</f>
        <v/>
      </c>
      <c r="H208" s="68">
        <f>IF($B208="","",Campionato!$D$2&amp;" "&amp;Campionato!$D$6)</f>
        <v/>
      </c>
      <c r="I208" s="68" t="inlineStr"/>
    </row>
    <row r="209">
      <c r="A209" s="68">
        <f>IF($B209="","","BEGIN:VEVENT
DTSTAMP:"&amp;TEXT(NOW(),"yyyymmdd")&amp;"T000001Z
UID:evt208@ClaudeCoworkBaskin
DTSTART;TZID=Europe/Rome:"&amp;TEXT($C209,"yyyymmdd")&amp;"T"&amp;TEXT($D209,"hhmmss")&amp;"
DTEND;TZID=Europe/Rome:"&amp;TEXT($E209,"yyyymmdd")&amp;"T"&amp;TEXT($F209,"hhmmss")&amp;"
SUMMARY:"&amp;$B209&amp;"
LOCATION:"&amp;$G209&amp;"
DESCRIPTION:"&amp;$H209&amp;"
END:VEVENT")</f>
        <v/>
      </c>
      <c r="B209" s="68">
        <f>IF('Calendario E'!$B101="","",'Calendario E'!$B101&amp;" vs "&amp;'Calendario E'!$D101&amp;" "&amp;'Calendario E'!$AC101)</f>
        <v/>
      </c>
      <c r="C209" s="222">
        <f>IF($B209="","",DATE(YEAR('Calendario E'!$F101),MONTH('Calendario E'!$F101),DAY('Calendario E'!$F101)))</f>
        <v/>
      </c>
      <c r="D209" s="223">
        <f>IF($B209="","",TIME(HOUR('Calendario E'!$F101),MINUTE('Calendario E'!$F101),0))</f>
        <v/>
      </c>
      <c r="E209" s="222">
        <f>IF($B209="","",DATE(YEAR('Calendario E'!$F101),MONTH('Calendario E'!$F101),DAY('Calendario E'!$F101)))</f>
        <v/>
      </c>
      <c r="F209" s="223">
        <f>IF($B209="","",TIME(HOUR('Calendario E'!$F101)+2,MINUTE('Calendario E'!$F101),0))</f>
        <v/>
      </c>
      <c r="G209" s="68">
        <f>IF($B209="","",'Calendario E'!$B102)</f>
        <v/>
      </c>
      <c r="H209" s="68">
        <f>IF($B209="","",Campionato!$D$2&amp;" "&amp;Campionato!$D$6)</f>
        <v/>
      </c>
      <c r="I209" s="68" t="inlineStr"/>
    </row>
    <row r="210">
      <c r="A210" s="68">
        <f>IF($B210="","","BEGIN:VEVENT
DTSTAMP:"&amp;TEXT(NOW(),"yyyymmdd")&amp;"T000001Z
UID:evt209@ClaudeCoworkBaskin
DTSTART;TZID=Europe/Rome:"&amp;TEXT($C210,"yyyymmdd")&amp;"T"&amp;TEXT($D210,"hhmmss")&amp;"
DTEND;TZID=Europe/Rome:"&amp;TEXT($E210,"yyyymmdd")&amp;"T"&amp;TEXT($F210,"hhmmss")&amp;"
SUMMARY:"&amp;$B210&amp;"
LOCATION:"&amp;$G210&amp;"
DESCRIPTION:"&amp;$H210&amp;"
END:VEVENT")</f>
        <v/>
      </c>
      <c r="B210" s="68">
        <f>IF('Calendario E'!$B104="","",'Calendario E'!$B104&amp;" vs "&amp;'Calendario E'!$D104&amp;" "&amp;'Calendario E'!$AC104)</f>
        <v/>
      </c>
      <c r="C210" s="222">
        <f>IF($B210="","",DATE(YEAR('Calendario E'!$F104),MONTH('Calendario E'!$F104),DAY('Calendario E'!$F104)))</f>
        <v/>
      </c>
      <c r="D210" s="223">
        <f>IF($B210="","",TIME(HOUR('Calendario E'!$F104),MINUTE('Calendario E'!$F104),0))</f>
        <v/>
      </c>
      <c r="E210" s="222">
        <f>IF($B210="","",DATE(YEAR('Calendario E'!$F104),MONTH('Calendario E'!$F104),DAY('Calendario E'!$F104)))</f>
        <v/>
      </c>
      <c r="F210" s="223">
        <f>IF($B210="","",TIME(HOUR('Calendario E'!$F104)+2,MINUTE('Calendario E'!$F104),0))</f>
        <v/>
      </c>
      <c r="G210" s="68">
        <f>IF($B210="","",'Calendario E'!$B105)</f>
        <v/>
      </c>
      <c r="H210" s="68">
        <f>IF($B210="","",Campionato!$D$2&amp;" "&amp;Campionato!$D$6)</f>
        <v/>
      </c>
      <c r="I210" s="68" t="inlineStr"/>
    </row>
    <row r="211">
      <c r="A211" s="68">
        <f>IF($B211="","","BEGIN:VEVENT
DTSTAMP:"&amp;TEXT(NOW(),"yyyymmdd")&amp;"T000001Z
UID:evt210@ClaudeCoworkBaskin
DTSTART;TZID=Europe/Rome:"&amp;TEXT($C211,"yyyymmdd")&amp;"T"&amp;TEXT($D211,"hhmmss")&amp;"
DTEND;TZID=Europe/Rome:"&amp;TEXT($E211,"yyyymmdd")&amp;"T"&amp;TEXT($F211,"hhmmss")&amp;"
SUMMARY:"&amp;$B211&amp;"
LOCATION:"&amp;$G211&amp;"
DESCRIPTION:"&amp;$H211&amp;"
END:VEVENT")</f>
        <v/>
      </c>
      <c r="B211" s="68">
        <f>IF('Calendario E'!$B107="","",'Calendario E'!$B107&amp;" vs "&amp;'Calendario E'!$D107&amp;" "&amp;'Calendario E'!$AC107)</f>
        <v/>
      </c>
      <c r="C211" s="222">
        <f>IF($B211="","",DATE(YEAR('Calendario E'!$F107),MONTH('Calendario E'!$F107),DAY('Calendario E'!$F107)))</f>
        <v/>
      </c>
      <c r="D211" s="223">
        <f>IF($B211="","",TIME(HOUR('Calendario E'!$F107),MINUTE('Calendario E'!$F107),0))</f>
        <v/>
      </c>
      <c r="E211" s="222">
        <f>IF($B211="","",DATE(YEAR('Calendario E'!$F107),MONTH('Calendario E'!$F107),DAY('Calendario E'!$F107)))</f>
        <v/>
      </c>
      <c r="F211" s="223">
        <f>IF($B211="","",TIME(HOUR('Calendario E'!$F107)+2,MINUTE('Calendario E'!$F107),0))</f>
        <v/>
      </c>
      <c r="G211" s="68">
        <f>IF($B211="","",'Calendario E'!$B108)</f>
        <v/>
      </c>
      <c r="H211" s="68">
        <f>IF($B211="","",Campionato!$D$2&amp;" "&amp;Campionato!$D$6)</f>
        <v/>
      </c>
      <c r="I211" s="68" t="inlineStr"/>
    </row>
    <row r="212">
      <c r="A212" s="68">
        <f>IF($B212="","","BEGIN:VEVENT
DTSTAMP:"&amp;TEXT(NOW(),"yyyymmdd")&amp;"T000001Z
UID:evt211@ClaudeCoworkBaskin
DTSTART;TZID=Europe/Rome:"&amp;TEXT($C212,"yyyymmdd")&amp;"T"&amp;TEXT($D212,"hhmmss")&amp;"
DTEND;TZID=Europe/Rome:"&amp;TEXT($E212,"yyyymmdd")&amp;"T"&amp;TEXT($F212,"hhmmss")&amp;"
SUMMARY:"&amp;$B212&amp;"
LOCATION:"&amp;$G212&amp;"
DESCRIPTION:"&amp;$H212&amp;"
END:VEVENT")</f>
        <v/>
      </c>
      <c r="B212" s="68">
        <f>IF('Calendario E'!$B112="","",'Calendario E'!$B112&amp;" vs "&amp;'Calendario E'!$D112&amp;" "&amp;'Calendario E'!$AC112)</f>
        <v/>
      </c>
      <c r="C212" s="222">
        <f>IF($B212="","",DATE(YEAR('Calendario E'!$F112),MONTH('Calendario E'!$F112),DAY('Calendario E'!$F112)))</f>
        <v/>
      </c>
      <c r="D212" s="223">
        <f>IF($B212="","",TIME(HOUR('Calendario E'!$F112),MINUTE('Calendario E'!$F112),0))</f>
        <v/>
      </c>
      <c r="E212" s="222">
        <f>IF($B212="","",DATE(YEAR('Calendario E'!$F112),MONTH('Calendario E'!$F112),DAY('Calendario E'!$F112)))</f>
        <v/>
      </c>
      <c r="F212" s="223">
        <f>IF($B212="","",TIME(HOUR('Calendario E'!$F112)+2,MINUTE('Calendario E'!$F112),0))</f>
        <v/>
      </c>
      <c r="G212" s="68">
        <f>IF($B212="","",'Calendario E'!$B113)</f>
        <v/>
      </c>
      <c r="H212" s="68">
        <f>IF($B212="","",Campionato!$D$2&amp;" "&amp;Campionato!$D$6)</f>
        <v/>
      </c>
      <c r="I212" s="68" t="inlineStr"/>
    </row>
    <row r="213">
      <c r="A213" s="68">
        <f>IF($B213="","","BEGIN:VEVENT
DTSTAMP:"&amp;TEXT(NOW(),"yyyymmdd")&amp;"T000001Z
UID:evt212@ClaudeCoworkBaskin
DTSTART;TZID=Europe/Rome:"&amp;TEXT($C213,"yyyymmdd")&amp;"T"&amp;TEXT($D213,"hhmmss")&amp;"
DTEND;TZID=Europe/Rome:"&amp;TEXT($E213,"yyyymmdd")&amp;"T"&amp;TEXT($F213,"hhmmss")&amp;"
SUMMARY:"&amp;$B213&amp;"
LOCATION:"&amp;$G213&amp;"
DESCRIPTION:"&amp;$H213&amp;"
END:VEVENT")</f>
        <v/>
      </c>
      <c r="B213" s="68">
        <f>IF('Calendario E'!$B115="","",'Calendario E'!$B115&amp;" vs "&amp;'Calendario E'!$D115&amp;" "&amp;'Calendario E'!$AC115)</f>
        <v/>
      </c>
      <c r="C213" s="222">
        <f>IF($B213="","",DATE(YEAR('Calendario E'!$F115),MONTH('Calendario E'!$F115),DAY('Calendario E'!$F115)))</f>
        <v/>
      </c>
      <c r="D213" s="223">
        <f>IF($B213="","",TIME(HOUR('Calendario E'!$F115),MINUTE('Calendario E'!$F115),0))</f>
        <v/>
      </c>
      <c r="E213" s="222">
        <f>IF($B213="","",DATE(YEAR('Calendario E'!$F115),MONTH('Calendario E'!$F115),DAY('Calendario E'!$F115)))</f>
        <v/>
      </c>
      <c r="F213" s="223">
        <f>IF($B213="","",TIME(HOUR('Calendario E'!$F115)+2,MINUTE('Calendario E'!$F115),0))</f>
        <v/>
      </c>
      <c r="G213" s="68">
        <f>IF($B213="","",'Calendario E'!$B116)</f>
        <v/>
      </c>
      <c r="H213" s="68">
        <f>IF($B213="","",Campionato!$D$2&amp;" "&amp;Campionato!$D$6)</f>
        <v/>
      </c>
      <c r="I213" s="68" t="inlineStr"/>
    </row>
    <row r="214">
      <c r="A214" s="68">
        <f>IF($B214="","","BEGIN:VEVENT
DTSTAMP:"&amp;TEXT(NOW(),"yyyymmdd")&amp;"T000001Z
UID:evt213@ClaudeCoworkBaskin
DTSTART;TZID=Europe/Rome:"&amp;TEXT($C214,"yyyymmdd")&amp;"T"&amp;TEXT($D214,"hhmmss")&amp;"
DTEND;TZID=Europe/Rome:"&amp;TEXT($E214,"yyyymmdd")&amp;"T"&amp;TEXT($F214,"hhmmss")&amp;"
SUMMARY:"&amp;$B214&amp;"
LOCATION:"&amp;$G214&amp;"
DESCRIPTION:"&amp;$H214&amp;"
END:VEVENT")</f>
        <v/>
      </c>
      <c r="B214" s="68">
        <f>IF('Calendario E'!$B118="","",'Calendario E'!$B118&amp;" vs "&amp;'Calendario E'!$D118&amp;" "&amp;'Calendario E'!$AC118)</f>
        <v/>
      </c>
      <c r="C214" s="222">
        <f>IF($B214="","",DATE(YEAR('Calendario E'!$F118),MONTH('Calendario E'!$F118),DAY('Calendario E'!$F118)))</f>
        <v/>
      </c>
      <c r="D214" s="223">
        <f>IF($B214="","",TIME(HOUR('Calendario E'!$F118),MINUTE('Calendario E'!$F118),0))</f>
        <v/>
      </c>
      <c r="E214" s="222">
        <f>IF($B214="","",DATE(YEAR('Calendario E'!$F118),MONTH('Calendario E'!$F118),DAY('Calendario E'!$F118)))</f>
        <v/>
      </c>
      <c r="F214" s="223">
        <f>IF($B214="","",TIME(HOUR('Calendario E'!$F118)+2,MINUTE('Calendario E'!$F118),0))</f>
        <v/>
      </c>
      <c r="G214" s="68">
        <f>IF($B214="","",'Calendario E'!$B119)</f>
        <v/>
      </c>
      <c r="H214" s="68">
        <f>IF($B214="","",Campionato!$D$2&amp;" "&amp;Campionato!$D$6)</f>
        <v/>
      </c>
      <c r="I214" s="68" t="inlineStr"/>
    </row>
    <row r="215">
      <c r="A215" s="68">
        <f>IF($B215="","","BEGIN:VEVENT
DTSTAMP:"&amp;TEXT(NOW(),"yyyymmdd")&amp;"T000001Z
UID:evt214@ClaudeCoworkBaskin
DTSTART;TZID=Europe/Rome:"&amp;TEXT($C215,"yyyymmdd")&amp;"T"&amp;TEXT($D215,"hhmmss")&amp;"
DTEND;TZID=Europe/Rome:"&amp;TEXT($E215,"yyyymmdd")&amp;"T"&amp;TEXT($F215,"hhmmss")&amp;"
SUMMARY:"&amp;$B215&amp;"
LOCATION:"&amp;$G215&amp;"
DESCRIPTION:"&amp;$H215&amp;"
END:VEVENT")</f>
        <v/>
      </c>
      <c r="B215" s="68">
        <f>IF('Calendario E'!$B121="","",'Calendario E'!$B121&amp;" vs "&amp;'Calendario E'!$D121&amp;" "&amp;'Calendario E'!$AC121)</f>
        <v/>
      </c>
      <c r="C215" s="222">
        <f>IF($B215="","",DATE(YEAR('Calendario E'!$F121),MONTH('Calendario E'!$F121),DAY('Calendario E'!$F121)))</f>
        <v/>
      </c>
      <c r="D215" s="223">
        <f>IF($B215="","",TIME(HOUR('Calendario E'!$F121),MINUTE('Calendario E'!$F121),0))</f>
        <v/>
      </c>
      <c r="E215" s="222">
        <f>IF($B215="","",DATE(YEAR('Calendario E'!$F121),MONTH('Calendario E'!$F121),DAY('Calendario E'!$F121)))</f>
        <v/>
      </c>
      <c r="F215" s="223">
        <f>IF($B215="","",TIME(HOUR('Calendario E'!$F121)+2,MINUTE('Calendario E'!$F121),0))</f>
        <v/>
      </c>
      <c r="G215" s="68">
        <f>IF($B215="","",'Calendario E'!$B122)</f>
        <v/>
      </c>
      <c r="H215" s="68">
        <f>IF($B215="","",Campionato!$D$2&amp;" "&amp;Campionato!$D$6)</f>
        <v/>
      </c>
      <c r="I215" s="68" t="inlineStr"/>
    </row>
    <row r="216">
      <c r="A216" s="68">
        <f>IF($B216="","","BEGIN:VEVENT
DTSTAMP:"&amp;TEXT(NOW(),"yyyymmdd")&amp;"T000001Z
UID:evt215@ClaudeCoworkBaskin
DTSTART;TZID=Europe/Rome:"&amp;TEXT($C216,"yyyymmdd")&amp;"T"&amp;TEXT($D216,"hhmmss")&amp;"
DTEND;TZID=Europe/Rome:"&amp;TEXT($E216,"yyyymmdd")&amp;"T"&amp;TEXT($F216,"hhmmss")&amp;"
SUMMARY:"&amp;$B216&amp;"
LOCATION:"&amp;$G216&amp;"
DESCRIPTION:"&amp;$H216&amp;"
END:VEVENT")</f>
        <v/>
      </c>
      <c r="B216" s="68">
        <f>IF('Calendario E'!$B124="","",'Calendario E'!$B124&amp;" vs "&amp;'Calendario E'!$D124&amp;" "&amp;'Calendario E'!$AC124)</f>
        <v/>
      </c>
      <c r="C216" s="222">
        <f>IF($B216="","",DATE(YEAR('Calendario E'!$F124),MONTH('Calendario E'!$F124),DAY('Calendario E'!$F124)))</f>
        <v/>
      </c>
      <c r="D216" s="223">
        <f>IF($B216="","",TIME(HOUR('Calendario E'!$F124),MINUTE('Calendario E'!$F124),0))</f>
        <v/>
      </c>
      <c r="E216" s="222">
        <f>IF($B216="","",DATE(YEAR('Calendario E'!$F124),MONTH('Calendario E'!$F124),DAY('Calendario E'!$F124)))</f>
        <v/>
      </c>
      <c r="F216" s="223">
        <f>IF($B216="","",TIME(HOUR('Calendario E'!$F124)+2,MINUTE('Calendario E'!$F124),0))</f>
        <v/>
      </c>
      <c r="G216" s="68">
        <f>IF($B216="","",'Calendario E'!$B125)</f>
        <v/>
      </c>
      <c r="H216" s="68">
        <f>IF($B216="","",Campionato!$D$2&amp;" "&amp;Campionato!$D$6)</f>
        <v/>
      </c>
      <c r="I216" s="68" t="inlineStr"/>
    </row>
    <row r="217">
      <c r="A217" s="68">
        <f>IF($B217="","","BEGIN:VEVENT
DTSTAMP:"&amp;TEXT(NOW(),"yyyymmdd")&amp;"T000001Z
UID:evt216@ClaudeCoworkBaskin
DTSTART;TZID=Europe/Rome:"&amp;TEXT($C217,"yyyymmdd")&amp;"T"&amp;TEXT($D217,"hhmmss")&amp;"
DTEND;TZID=Europe/Rome:"&amp;TEXT($E217,"yyyymmdd")&amp;"T"&amp;TEXT($F217,"hhmmss")&amp;"
SUMMARY:"&amp;$B217&amp;"
LOCATION:"&amp;$G217&amp;"
DESCRIPTION:"&amp;$H217&amp;"
END:VEVENT")</f>
        <v/>
      </c>
      <c r="B217" s="68">
        <f>IF('Calendario E'!$B129="","",'Calendario E'!$B129&amp;" vs "&amp;'Calendario E'!$D129&amp;" "&amp;'Calendario E'!$AC129)</f>
        <v/>
      </c>
      <c r="C217" s="222">
        <f>IF($B217="","",DATE(YEAR('Calendario E'!$F129),MONTH('Calendario E'!$F129),DAY('Calendario E'!$F129)))</f>
        <v/>
      </c>
      <c r="D217" s="223">
        <f>IF($B217="","",TIME(HOUR('Calendario E'!$F129),MINUTE('Calendario E'!$F129),0))</f>
        <v/>
      </c>
      <c r="E217" s="222">
        <f>IF($B217="","",DATE(YEAR('Calendario E'!$F129),MONTH('Calendario E'!$F129),DAY('Calendario E'!$F129)))</f>
        <v/>
      </c>
      <c r="F217" s="223">
        <f>IF($B217="","",TIME(HOUR('Calendario E'!$F129)+2,MINUTE('Calendario E'!$F129),0))</f>
        <v/>
      </c>
      <c r="G217" s="68">
        <f>IF($B217="","",'Calendario E'!$B130)</f>
        <v/>
      </c>
      <c r="H217" s="68">
        <f>IF($B217="","",Campionato!$D$2&amp;" "&amp;Campionato!$D$6)</f>
        <v/>
      </c>
      <c r="I217" s="68" t="inlineStr"/>
    </row>
    <row r="218">
      <c r="A218" s="68">
        <f>IF($B218="","","BEGIN:VEVENT
DTSTAMP:"&amp;TEXT(NOW(),"yyyymmdd")&amp;"T000001Z
UID:evt217@ClaudeCoworkBaskin
DTSTART;TZID=Europe/Rome:"&amp;TEXT($C218,"yyyymmdd")&amp;"T"&amp;TEXT($D218,"hhmmss")&amp;"
DTEND;TZID=Europe/Rome:"&amp;TEXT($E218,"yyyymmdd")&amp;"T"&amp;TEXT($F218,"hhmmss")&amp;"
SUMMARY:"&amp;$B218&amp;"
LOCATION:"&amp;$G218&amp;"
DESCRIPTION:"&amp;$H218&amp;"
END:VEVENT")</f>
        <v/>
      </c>
      <c r="B218" s="68">
        <f>IF('Calendario E'!$B132="","",'Calendario E'!$B132&amp;" vs "&amp;'Calendario E'!$D132&amp;" "&amp;'Calendario E'!$AC132)</f>
        <v/>
      </c>
      <c r="C218" s="222">
        <f>IF($B218="","",DATE(YEAR('Calendario E'!$F132),MONTH('Calendario E'!$F132),DAY('Calendario E'!$F132)))</f>
        <v/>
      </c>
      <c r="D218" s="223">
        <f>IF($B218="","",TIME(HOUR('Calendario E'!$F132),MINUTE('Calendario E'!$F132),0))</f>
        <v/>
      </c>
      <c r="E218" s="222">
        <f>IF($B218="","",DATE(YEAR('Calendario E'!$F132),MONTH('Calendario E'!$F132),DAY('Calendario E'!$F132)))</f>
        <v/>
      </c>
      <c r="F218" s="223">
        <f>IF($B218="","",TIME(HOUR('Calendario E'!$F132)+2,MINUTE('Calendario E'!$F132),0))</f>
        <v/>
      </c>
      <c r="G218" s="68">
        <f>IF($B218="","",'Calendario E'!$B133)</f>
        <v/>
      </c>
      <c r="H218" s="68">
        <f>IF($B218="","",Campionato!$D$2&amp;" "&amp;Campionato!$D$6)</f>
        <v/>
      </c>
      <c r="I218" s="68" t="inlineStr"/>
    </row>
    <row r="219">
      <c r="A219" s="68">
        <f>IF($B219="","","BEGIN:VEVENT
DTSTAMP:"&amp;TEXT(NOW(),"yyyymmdd")&amp;"T000001Z
UID:evt218@ClaudeCoworkBaskin
DTSTART;TZID=Europe/Rome:"&amp;TEXT($C219,"yyyymmdd")&amp;"T"&amp;TEXT($D219,"hhmmss")&amp;"
DTEND;TZID=Europe/Rome:"&amp;TEXT($E219,"yyyymmdd")&amp;"T"&amp;TEXT($F219,"hhmmss")&amp;"
SUMMARY:"&amp;$B219&amp;"
LOCATION:"&amp;$G219&amp;"
DESCRIPTION:"&amp;$H219&amp;"
END:VEVENT")</f>
        <v/>
      </c>
      <c r="B219" s="68">
        <f>IF('Calendario E'!$B135="","",'Calendario E'!$B135&amp;" vs "&amp;'Calendario E'!$D135&amp;" "&amp;'Calendario E'!$AC135)</f>
        <v/>
      </c>
      <c r="C219" s="222">
        <f>IF($B219="","",DATE(YEAR('Calendario E'!$F135),MONTH('Calendario E'!$F135),DAY('Calendario E'!$F135)))</f>
        <v/>
      </c>
      <c r="D219" s="223">
        <f>IF($B219="","",TIME(HOUR('Calendario E'!$F135),MINUTE('Calendario E'!$F135),0))</f>
        <v/>
      </c>
      <c r="E219" s="222">
        <f>IF($B219="","",DATE(YEAR('Calendario E'!$F135),MONTH('Calendario E'!$F135),DAY('Calendario E'!$F135)))</f>
        <v/>
      </c>
      <c r="F219" s="223">
        <f>IF($B219="","",TIME(HOUR('Calendario E'!$F135)+2,MINUTE('Calendario E'!$F135),0))</f>
        <v/>
      </c>
      <c r="G219" s="68">
        <f>IF($B219="","",'Calendario E'!$B136)</f>
        <v/>
      </c>
      <c r="H219" s="68">
        <f>IF($B219="","",Campionato!$D$2&amp;" "&amp;Campionato!$D$6)</f>
        <v/>
      </c>
      <c r="I219" s="68" t="inlineStr"/>
    </row>
    <row r="220">
      <c r="A220" s="68">
        <f>IF($B220="","","BEGIN:VEVENT
DTSTAMP:"&amp;TEXT(NOW(),"yyyymmdd")&amp;"T000001Z
UID:evt219@ClaudeCoworkBaskin
DTSTART;TZID=Europe/Rome:"&amp;TEXT($C220,"yyyymmdd")&amp;"T"&amp;TEXT($D220,"hhmmss")&amp;"
DTEND;TZID=Europe/Rome:"&amp;TEXT($E220,"yyyymmdd")&amp;"T"&amp;TEXT($F220,"hhmmss")&amp;"
SUMMARY:"&amp;$B220&amp;"
LOCATION:"&amp;$G220&amp;"
DESCRIPTION:"&amp;$H220&amp;"
END:VEVENT")</f>
        <v/>
      </c>
      <c r="B220" s="68">
        <f>IF('Calendario E'!$B138="","",'Calendario E'!$B138&amp;" vs "&amp;'Calendario E'!$D138&amp;" "&amp;'Calendario E'!$AC138)</f>
        <v/>
      </c>
      <c r="C220" s="222">
        <f>IF($B220="","",DATE(YEAR('Calendario E'!$F138),MONTH('Calendario E'!$F138),DAY('Calendario E'!$F138)))</f>
        <v/>
      </c>
      <c r="D220" s="223">
        <f>IF($B220="","",TIME(HOUR('Calendario E'!$F138),MINUTE('Calendario E'!$F138),0))</f>
        <v/>
      </c>
      <c r="E220" s="222">
        <f>IF($B220="","",DATE(YEAR('Calendario E'!$F138),MONTH('Calendario E'!$F138),DAY('Calendario E'!$F138)))</f>
        <v/>
      </c>
      <c r="F220" s="223">
        <f>IF($B220="","",TIME(HOUR('Calendario E'!$F138)+2,MINUTE('Calendario E'!$F138),0))</f>
        <v/>
      </c>
      <c r="G220" s="68">
        <f>IF($B220="","",'Calendario E'!$B139)</f>
        <v/>
      </c>
      <c r="H220" s="68">
        <f>IF($B220="","",Campionato!$D$2&amp;" "&amp;Campionato!$D$6)</f>
        <v/>
      </c>
      <c r="I220" s="68" t="inlineStr"/>
    </row>
    <row r="221">
      <c r="A221" s="68">
        <f>IF($B221="","","BEGIN:VEVENT
DTSTAMP:"&amp;TEXT(NOW(),"yyyymmdd")&amp;"T000001Z
UID:evt220@ClaudeCoworkBaskin
DTSTART;TZID=Europe/Rome:"&amp;TEXT($C221,"yyyymmdd")&amp;"T"&amp;TEXT($D221,"hhmmss")&amp;"
DTEND;TZID=Europe/Rome:"&amp;TEXT($E221,"yyyymmdd")&amp;"T"&amp;TEXT($F221,"hhmmss")&amp;"
SUMMARY:"&amp;$B221&amp;"
LOCATION:"&amp;$G221&amp;"
DESCRIPTION:"&amp;$H221&amp;"
END:VEVENT")</f>
        <v/>
      </c>
      <c r="B221" s="68">
        <f>IF('Calendario E'!$B141="","",'Calendario E'!$B141&amp;" vs "&amp;'Calendario E'!$D141&amp;" "&amp;'Calendario E'!$AC141)</f>
        <v/>
      </c>
      <c r="C221" s="222">
        <f>IF($B221="","",DATE(YEAR('Calendario E'!$F141),MONTH('Calendario E'!$F141),DAY('Calendario E'!$F141)))</f>
        <v/>
      </c>
      <c r="D221" s="223">
        <f>IF($B221="","",TIME(HOUR('Calendario E'!$F141),MINUTE('Calendario E'!$F141),0))</f>
        <v/>
      </c>
      <c r="E221" s="222">
        <f>IF($B221="","",DATE(YEAR('Calendario E'!$F141),MONTH('Calendario E'!$F141),DAY('Calendario E'!$F141)))</f>
        <v/>
      </c>
      <c r="F221" s="223">
        <f>IF($B221="","",TIME(HOUR('Calendario E'!$F141)+2,MINUTE('Calendario E'!$F141),0))</f>
        <v/>
      </c>
      <c r="G221" s="68">
        <f>IF($B221="","",'Calendario E'!$B142)</f>
        <v/>
      </c>
      <c r="H221" s="68">
        <f>IF($B221="","",Campionato!$D$2&amp;" "&amp;Campionato!$D$6)</f>
        <v/>
      </c>
      <c r="I221" s="68" t="inlineStr"/>
    </row>
    <row r="222">
      <c r="A222" s="68">
        <f>IF($B222="","","BEGIN:VEVENT
DTSTAMP:"&amp;TEXT(NOW(),"yyyymmdd")&amp;"T000001Z
UID:evt221@ClaudeCoworkBaskin
DTSTART;TZID=Europe/Rome:"&amp;TEXT($C222,"yyyymmdd")&amp;"T"&amp;TEXT($D222,"hhmmss")&amp;"
DTEND;TZID=Europe/Rome:"&amp;TEXT($E222,"yyyymmdd")&amp;"T"&amp;TEXT($F222,"hhmmss")&amp;"
SUMMARY:"&amp;$B222&amp;"
LOCATION:"&amp;$G222&amp;"
DESCRIPTION:"&amp;$H222&amp;"
END:VEVENT")</f>
        <v/>
      </c>
      <c r="B222" s="68">
        <f>IF('Calendario E'!$B146="","",'Calendario E'!$B146&amp;" vs "&amp;'Calendario E'!$D146&amp;" "&amp;'Calendario E'!$AC146)</f>
        <v/>
      </c>
      <c r="C222" s="222">
        <f>IF($B222="","",DATE(YEAR('Calendario E'!$F146),MONTH('Calendario E'!$F146),DAY('Calendario E'!$F146)))</f>
        <v/>
      </c>
      <c r="D222" s="223">
        <f>IF($B222="","",TIME(HOUR('Calendario E'!$F146),MINUTE('Calendario E'!$F146),0))</f>
        <v/>
      </c>
      <c r="E222" s="222">
        <f>IF($B222="","",DATE(YEAR('Calendario E'!$F146),MONTH('Calendario E'!$F146),DAY('Calendario E'!$F146)))</f>
        <v/>
      </c>
      <c r="F222" s="223">
        <f>IF($B222="","",TIME(HOUR('Calendario E'!$F146)+2,MINUTE('Calendario E'!$F146),0))</f>
        <v/>
      </c>
      <c r="G222" s="68">
        <f>IF($B222="","",'Calendario E'!$B147)</f>
        <v/>
      </c>
      <c r="H222" s="68">
        <f>IF($B222="","",Campionato!$D$2&amp;" "&amp;Campionato!$D$6)</f>
        <v/>
      </c>
      <c r="I222" s="68" t="inlineStr"/>
    </row>
    <row r="223">
      <c r="A223" s="68">
        <f>IF($B223="","","BEGIN:VEVENT
DTSTAMP:"&amp;TEXT(NOW(),"yyyymmdd")&amp;"T000001Z
UID:evt222@ClaudeCoworkBaskin
DTSTART;TZID=Europe/Rome:"&amp;TEXT($C223,"yyyymmdd")&amp;"T"&amp;TEXT($D223,"hhmmss")&amp;"
DTEND;TZID=Europe/Rome:"&amp;TEXT($E223,"yyyymmdd")&amp;"T"&amp;TEXT($F223,"hhmmss")&amp;"
SUMMARY:"&amp;$B223&amp;"
LOCATION:"&amp;$G223&amp;"
DESCRIPTION:"&amp;$H223&amp;"
END:VEVENT")</f>
        <v/>
      </c>
      <c r="B223" s="68">
        <f>IF('Calendario E'!$B149="","",'Calendario E'!$B149&amp;" vs "&amp;'Calendario E'!$D149&amp;" "&amp;'Calendario E'!$AC149)</f>
        <v/>
      </c>
      <c r="C223" s="222">
        <f>IF($B223="","",DATE(YEAR('Calendario E'!$F149),MONTH('Calendario E'!$F149),DAY('Calendario E'!$F149)))</f>
        <v/>
      </c>
      <c r="D223" s="223">
        <f>IF($B223="","",TIME(HOUR('Calendario E'!$F149),MINUTE('Calendario E'!$F149),0))</f>
        <v/>
      </c>
      <c r="E223" s="222">
        <f>IF($B223="","",DATE(YEAR('Calendario E'!$F149),MONTH('Calendario E'!$F149),DAY('Calendario E'!$F149)))</f>
        <v/>
      </c>
      <c r="F223" s="223">
        <f>IF($B223="","",TIME(HOUR('Calendario E'!$F149)+2,MINUTE('Calendario E'!$F149),0))</f>
        <v/>
      </c>
      <c r="G223" s="68">
        <f>IF($B223="","",'Calendario E'!$B150)</f>
        <v/>
      </c>
      <c r="H223" s="68">
        <f>IF($B223="","",Campionato!$D$2&amp;" "&amp;Campionato!$D$6)</f>
        <v/>
      </c>
      <c r="I223" s="68" t="inlineStr"/>
    </row>
    <row r="224">
      <c r="A224" s="68">
        <f>IF($B224="","","BEGIN:VEVENT
DTSTAMP:"&amp;TEXT(NOW(),"yyyymmdd")&amp;"T000001Z
UID:evt223@ClaudeCoworkBaskin
DTSTART;TZID=Europe/Rome:"&amp;TEXT($C224,"yyyymmdd")&amp;"T"&amp;TEXT($D224,"hhmmss")&amp;"
DTEND;TZID=Europe/Rome:"&amp;TEXT($E224,"yyyymmdd")&amp;"T"&amp;TEXT($F224,"hhmmss")&amp;"
SUMMARY:"&amp;$B224&amp;"
LOCATION:"&amp;$G224&amp;"
DESCRIPTION:"&amp;$H224&amp;"
END:VEVENT")</f>
        <v/>
      </c>
      <c r="B224" s="68">
        <f>IF('Calendario E'!$B152="","",'Calendario E'!$B152&amp;" vs "&amp;'Calendario E'!$D152&amp;" "&amp;'Calendario E'!$AC152)</f>
        <v/>
      </c>
      <c r="C224" s="222">
        <f>IF($B224="","",DATE(YEAR('Calendario E'!$F152),MONTH('Calendario E'!$F152),DAY('Calendario E'!$F152)))</f>
        <v/>
      </c>
      <c r="D224" s="223">
        <f>IF($B224="","",TIME(HOUR('Calendario E'!$F152),MINUTE('Calendario E'!$F152),0))</f>
        <v/>
      </c>
      <c r="E224" s="222">
        <f>IF($B224="","",DATE(YEAR('Calendario E'!$F152),MONTH('Calendario E'!$F152),DAY('Calendario E'!$F152)))</f>
        <v/>
      </c>
      <c r="F224" s="223">
        <f>IF($B224="","",TIME(HOUR('Calendario E'!$F152)+2,MINUTE('Calendario E'!$F152),0))</f>
        <v/>
      </c>
      <c r="G224" s="68">
        <f>IF($B224="","",'Calendario E'!$B153)</f>
        <v/>
      </c>
      <c r="H224" s="68">
        <f>IF($B224="","",Campionato!$D$2&amp;" "&amp;Campionato!$D$6)</f>
        <v/>
      </c>
      <c r="I224" s="68" t="inlineStr"/>
    </row>
    <row r="225">
      <c r="A225" s="68">
        <f>IF($B225="","","BEGIN:VEVENT
DTSTAMP:"&amp;TEXT(NOW(),"yyyymmdd")&amp;"T000001Z
UID:evt224@ClaudeCoworkBaskin
DTSTART;TZID=Europe/Rome:"&amp;TEXT($C225,"yyyymmdd")&amp;"T"&amp;TEXT($D225,"hhmmss")&amp;"
DTEND;TZID=Europe/Rome:"&amp;TEXT($E225,"yyyymmdd")&amp;"T"&amp;TEXT($F225,"hhmmss")&amp;"
SUMMARY:"&amp;$B225&amp;"
LOCATION:"&amp;$G225&amp;"
DESCRIPTION:"&amp;$H225&amp;"
END:VEVENT")</f>
        <v/>
      </c>
      <c r="B225" s="68">
        <f>IF('Calendario E'!$B155="","",'Calendario E'!$B155&amp;" vs "&amp;'Calendario E'!$D155&amp;" "&amp;'Calendario E'!$AC155)</f>
        <v/>
      </c>
      <c r="C225" s="222">
        <f>IF($B225="","",DATE(YEAR('Calendario E'!$F155),MONTH('Calendario E'!$F155),DAY('Calendario E'!$F155)))</f>
        <v/>
      </c>
      <c r="D225" s="223">
        <f>IF($B225="","",TIME(HOUR('Calendario E'!$F155),MINUTE('Calendario E'!$F155),0))</f>
        <v/>
      </c>
      <c r="E225" s="222">
        <f>IF($B225="","",DATE(YEAR('Calendario E'!$F155),MONTH('Calendario E'!$F155),DAY('Calendario E'!$F155)))</f>
        <v/>
      </c>
      <c r="F225" s="223">
        <f>IF($B225="","",TIME(HOUR('Calendario E'!$F155)+2,MINUTE('Calendario E'!$F155),0))</f>
        <v/>
      </c>
      <c r="G225" s="68">
        <f>IF($B225="","",'Calendario E'!$B156)</f>
        <v/>
      </c>
      <c r="H225" s="68">
        <f>IF($B225="","",Campionato!$D$2&amp;" "&amp;Campionato!$D$6)</f>
        <v/>
      </c>
      <c r="I225" s="68" t="inlineStr"/>
    </row>
    <row r="226">
      <c r="A226" s="68">
        <f>IF($B226="","","BEGIN:VEVENT
DTSTAMP:"&amp;TEXT(NOW(),"yyyymmdd")&amp;"T000001Z
UID:evt225@ClaudeCoworkBaskin
DTSTART;TZID=Europe/Rome:"&amp;TEXT($C226,"yyyymmdd")&amp;"T"&amp;TEXT($D226,"hhmmss")&amp;"
DTEND;TZID=Europe/Rome:"&amp;TEXT($E226,"yyyymmdd")&amp;"T"&amp;TEXT($F226,"hhmmss")&amp;"
SUMMARY:"&amp;$B226&amp;"
LOCATION:"&amp;$G226&amp;"
DESCRIPTION:"&amp;$H226&amp;"
END:VEVENT")</f>
        <v/>
      </c>
      <c r="B226" s="68">
        <f>IF('Calendario E'!$B158="","",'Calendario E'!$B158&amp;" vs "&amp;'Calendario E'!$D158&amp;" "&amp;'Calendario E'!$AC158)</f>
        <v/>
      </c>
      <c r="C226" s="222">
        <f>IF($B226="","",DATE(YEAR('Calendario E'!$F158),MONTH('Calendario E'!$F158),DAY('Calendario E'!$F158)))</f>
        <v/>
      </c>
      <c r="D226" s="223">
        <f>IF($B226="","",TIME(HOUR('Calendario E'!$F158),MINUTE('Calendario E'!$F158),0))</f>
        <v/>
      </c>
      <c r="E226" s="222">
        <f>IF($B226="","",DATE(YEAR('Calendario E'!$F158),MONTH('Calendario E'!$F158),DAY('Calendario E'!$F158)))</f>
        <v/>
      </c>
      <c r="F226" s="223">
        <f>IF($B226="","",TIME(HOUR('Calendario E'!$F158)+2,MINUTE('Calendario E'!$F158),0))</f>
        <v/>
      </c>
      <c r="G226" s="68">
        <f>IF($B226="","",'Calendario E'!$B159)</f>
        <v/>
      </c>
      <c r="H226" s="68">
        <f>IF($B226="","",Campionato!$D$2&amp;" "&amp;Campionato!$D$6)</f>
        <v/>
      </c>
      <c r="I226" s="68" t="inlineStr"/>
    </row>
    <row r="227">
      <c r="A227" s="68">
        <f>IF($B227="","","BEGIN:VEVENT
DTSTAMP:"&amp;TEXT(NOW(),"yyyymmdd")&amp;"T000001Z
UID:evt226@ClaudeCoworkBaskin
DTSTART;TZID=Europe/Rome:"&amp;TEXT($C227,"yyyymmdd")&amp;"T"&amp;TEXT($D227,"hhmmss")&amp;"
DTEND;TZID=Europe/Rome:"&amp;TEXT($E227,"yyyymmdd")&amp;"T"&amp;TEXT($F227,"hhmmss")&amp;"
SUMMARY:"&amp;$B227&amp;"
LOCATION:"&amp;$G227&amp;"
DESCRIPTION:"&amp;$H227&amp;"
END:VEVENT")</f>
        <v/>
      </c>
      <c r="B227" s="68">
        <f>IF('Calendario F'!$B10="","",'Calendario F'!$B10&amp;" vs "&amp;'Calendario F'!$D10&amp;" "&amp;'Calendario F'!$AC10)</f>
        <v/>
      </c>
      <c r="C227" s="222">
        <f>IF($B227="","",DATE(YEAR('Calendario F'!$F10),MONTH('Calendario F'!$F10),DAY('Calendario F'!$F10)))</f>
        <v/>
      </c>
      <c r="D227" s="223">
        <f>IF($B227="","",TIME(HOUR('Calendario F'!$F10),MINUTE('Calendario F'!$F10),0))</f>
        <v/>
      </c>
      <c r="E227" s="222">
        <f>IF($B227="","",DATE(YEAR('Calendario F'!$F10),MONTH('Calendario F'!$F10),DAY('Calendario F'!$F10)))</f>
        <v/>
      </c>
      <c r="F227" s="223">
        <f>IF($B227="","",TIME(HOUR('Calendario F'!$F10)+2,MINUTE('Calendario F'!$F10),0))</f>
        <v/>
      </c>
      <c r="G227" s="68">
        <f>IF($B227="","",'Calendario F'!$B11)</f>
        <v/>
      </c>
      <c r="H227" s="68">
        <f>IF($B227="","",Campionato!$D$2&amp;" "&amp;Campionato!$D$6)</f>
        <v/>
      </c>
      <c r="I227" s="68" t="inlineStr"/>
    </row>
    <row r="228">
      <c r="A228" s="68">
        <f>IF($B228="","","BEGIN:VEVENT
DTSTAMP:"&amp;TEXT(NOW(),"yyyymmdd")&amp;"T000001Z
UID:evt227@ClaudeCoworkBaskin
DTSTART;TZID=Europe/Rome:"&amp;TEXT($C228,"yyyymmdd")&amp;"T"&amp;TEXT($D228,"hhmmss")&amp;"
DTEND;TZID=Europe/Rome:"&amp;TEXT($E228,"yyyymmdd")&amp;"T"&amp;TEXT($F228,"hhmmss")&amp;"
SUMMARY:"&amp;$B228&amp;"
LOCATION:"&amp;$G228&amp;"
DESCRIPTION:"&amp;$H228&amp;"
END:VEVENT")</f>
        <v/>
      </c>
      <c r="B228" s="68">
        <f>IF('Calendario F'!$B13="","",'Calendario F'!$B13&amp;" vs "&amp;'Calendario F'!$D13&amp;" "&amp;'Calendario F'!$AC13)</f>
        <v/>
      </c>
      <c r="C228" s="222">
        <f>IF($B228="","",DATE(YEAR('Calendario F'!$F13),MONTH('Calendario F'!$F13),DAY('Calendario F'!$F13)))</f>
        <v/>
      </c>
      <c r="D228" s="223">
        <f>IF($B228="","",TIME(HOUR('Calendario F'!$F13),MINUTE('Calendario F'!$F13),0))</f>
        <v/>
      </c>
      <c r="E228" s="222">
        <f>IF($B228="","",DATE(YEAR('Calendario F'!$F13),MONTH('Calendario F'!$F13),DAY('Calendario F'!$F13)))</f>
        <v/>
      </c>
      <c r="F228" s="223">
        <f>IF($B228="","",TIME(HOUR('Calendario F'!$F13)+2,MINUTE('Calendario F'!$F13),0))</f>
        <v/>
      </c>
      <c r="G228" s="68">
        <f>IF($B228="","",'Calendario F'!$B14)</f>
        <v/>
      </c>
      <c r="H228" s="68">
        <f>IF($B228="","",Campionato!$D$2&amp;" "&amp;Campionato!$D$6)</f>
        <v/>
      </c>
      <c r="I228" s="68" t="inlineStr"/>
    </row>
    <row r="229">
      <c r="A229" s="68">
        <f>IF($B229="","","BEGIN:VEVENT
DTSTAMP:"&amp;TEXT(NOW(),"yyyymmdd")&amp;"T000001Z
UID:evt228@ClaudeCoworkBaskin
DTSTART;TZID=Europe/Rome:"&amp;TEXT($C229,"yyyymmdd")&amp;"T"&amp;TEXT($D229,"hhmmss")&amp;"
DTEND;TZID=Europe/Rome:"&amp;TEXT($E229,"yyyymmdd")&amp;"T"&amp;TEXT($F229,"hhmmss")&amp;"
SUMMARY:"&amp;$B229&amp;"
LOCATION:"&amp;$G229&amp;"
DESCRIPTION:"&amp;$H229&amp;"
END:VEVENT")</f>
        <v/>
      </c>
      <c r="B229" s="68">
        <f>IF('Calendario F'!$B16="","",'Calendario F'!$B16&amp;" vs "&amp;'Calendario F'!$D16&amp;" "&amp;'Calendario F'!$AC16)</f>
        <v/>
      </c>
      <c r="C229" s="222">
        <f>IF($B229="","",DATE(YEAR('Calendario F'!$F16),MONTH('Calendario F'!$F16),DAY('Calendario F'!$F16)))</f>
        <v/>
      </c>
      <c r="D229" s="223">
        <f>IF($B229="","",TIME(HOUR('Calendario F'!$F16),MINUTE('Calendario F'!$F16),0))</f>
        <v/>
      </c>
      <c r="E229" s="222">
        <f>IF($B229="","",DATE(YEAR('Calendario F'!$F16),MONTH('Calendario F'!$F16),DAY('Calendario F'!$F16)))</f>
        <v/>
      </c>
      <c r="F229" s="223">
        <f>IF($B229="","",TIME(HOUR('Calendario F'!$F16)+2,MINUTE('Calendario F'!$F16),0))</f>
        <v/>
      </c>
      <c r="G229" s="68">
        <f>IF($B229="","",'Calendario F'!$B17)</f>
        <v/>
      </c>
      <c r="H229" s="68">
        <f>IF($B229="","",Campionato!$D$2&amp;" "&amp;Campionato!$D$6)</f>
        <v/>
      </c>
      <c r="I229" s="68" t="inlineStr"/>
    </row>
    <row r="230">
      <c r="A230" s="68">
        <f>IF($B230="","","BEGIN:VEVENT
DTSTAMP:"&amp;TEXT(NOW(),"yyyymmdd")&amp;"T000001Z
UID:evt229@ClaudeCoworkBaskin
DTSTART;TZID=Europe/Rome:"&amp;TEXT($C230,"yyyymmdd")&amp;"T"&amp;TEXT($D230,"hhmmss")&amp;"
DTEND;TZID=Europe/Rome:"&amp;TEXT($E230,"yyyymmdd")&amp;"T"&amp;TEXT($F230,"hhmmss")&amp;"
SUMMARY:"&amp;$B230&amp;"
LOCATION:"&amp;$G230&amp;"
DESCRIPTION:"&amp;$H230&amp;"
END:VEVENT")</f>
        <v/>
      </c>
      <c r="B230" s="68">
        <f>IF('Calendario F'!$B19="","",'Calendario F'!$B19&amp;" vs "&amp;'Calendario F'!$D19&amp;" "&amp;'Calendario F'!$AC19)</f>
        <v/>
      </c>
      <c r="C230" s="222">
        <f>IF($B230="","",DATE(YEAR('Calendario F'!$F19),MONTH('Calendario F'!$F19),DAY('Calendario F'!$F19)))</f>
        <v/>
      </c>
      <c r="D230" s="223">
        <f>IF($B230="","",TIME(HOUR('Calendario F'!$F19),MINUTE('Calendario F'!$F19),0))</f>
        <v/>
      </c>
      <c r="E230" s="222">
        <f>IF($B230="","",DATE(YEAR('Calendario F'!$F19),MONTH('Calendario F'!$F19),DAY('Calendario F'!$F19)))</f>
        <v/>
      </c>
      <c r="F230" s="223">
        <f>IF($B230="","",TIME(HOUR('Calendario F'!$F19)+2,MINUTE('Calendario F'!$F19),0))</f>
        <v/>
      </c>
      <c r="G230" s="68">
        <f>IF($B230="","",'Calendario F'!$B20)</f>
        <v/>
      </c>
      <c r="H230" s="68">
        <f>IF($B230="","",Campionato!$D$2&amp;" "&amp;Campionato!$D$6)</f>
        <v/>
      </c>
      <c r="I230" s="68" t="inlineStr"/>
    </row>
    <row r="231">
      <c r="A231" s="68">
        <f>IF($B231="","","BEGIN:VEVENT
DTSTAMP:"&amp;TEXT(NOW(),"yyyymmdd")&amp;"T000001Z
UID:evt230@ClaudeCoworkBaskin
DTSTART;TZID=Europe/Rome:"&amp;TEXT($C231,"yyyymmdd")&amp;"T"&amp;TEXT($D231,"hhmmss")&amp;"
DTEND;TZID=Europe/Rome:"&amp;TEXT($E231,"yyyymmdd")&amp;"T"&amp;TEXT($F231,"hhmmss")&amp;"
SUMMARY:"&amp;$B231&amp;"
LOCATION:"&amp;$G231&amp;"
DESCRIPTION:"&amp;$H231&amp;"
END:VEVENT")</f>
        <v/>
      </c>
      <c r="B231" s="68">
        <f>IF('Calendario F'!$B22="","",'Calendario F'!$B22&amp;" vs "&amp;'Calendario F'!$D22&amp;" "&amp;'Calendario F'!$AC22)</f>
        <v/>
      </c>
      <c r="C231" s="222">
        <f>IF($B231="","",DATE(YEAR('Calendario F'!$F22),MONTH('Calendario F'!$F22),DAY('Calendario F'!$F22)))</f>
        <v/>
      </c>
      <c r="D231" s="223">
        <f>IF($B231="","",TIME(HOUR('Calendario F'!$F22),MINUTE('Calendario F'!$F22),0))</f>
        <v/>
      </c>
      <c r="E231" s="222">
        <f>IF($B231="","",DATE(YEAR('Calendario F'!$F22),MONTH('Calendario F'!$F22),DAY('Calendario F'!$F22)))</f>
        <v/>
      </c>
      <c r="F231" s="223">
        <f>IF($B231="","",TIME(HOUR('Calendario F'!$F22)+2,MINUTE('Calendario F'!$F22),0))</f>
        <v/>
      </c>
      <c r="G231" s="68">
        <f>IF($B231="","",'Calendario F'!$B23)</f>
        <v/>
      </c>
      <c r="H231" s="68">
        <f>IF($B231="","",Campionato!$D$2&amp;" "&amp;Campionato!$D$6)</f>
        <v/>
      </c>
      <c r="I231" s="68" t="inlineStr"/>
    </row>
    <row r="232">
      <c r="A232" s="68">
        <f>IF($B232="","","BEGIN:VEVENT
DTSTAMP:"&amp;TEXT(NOW(),"yyyymmdd")&amp;"T000001Z
UID:evt231@ClaudeCoworkBaskin
DTSTART;TZID=Europe/Rome:"&amp;TEXT($C232,"yyyymmdd")&amp;"T"&amp;TEXT($D232,"hhmmss")&amp;"
DTEND;TZID=Europe/Rome:"&amp;TEXT($E232,"yyyymmdd")&amp;"T"&amp;TEXT($F232,"hhmmss")&amp;"
SUMMARY:"&amp;$B232&amp;"
LOCATION:"&amp;$G232&amp;"
DESCRIPTION:"&amp;$H232&amp;"
END:VEVENT")</f>
        <v/>
      </c>
      <c r="B232" s="68">
        <f>IF('Calendario F'!$B27="","",'Calendario F'!$B27&amp;" vs "&amp;'Calendario F'!$D27&amp;" "&amp;'Calendario F'!$AC27)</f>
        <v/>
      </c>
      <c r="C232" s="222">
        <f>IF($B232="","",DATE(YEAR('Calendario F'!$F27),MONTH('Calendario F'!$F27),DAY('Calendario F'!$F27)))</f>
        <v/>
      </c>
      <c r="D232" s="223">
        <f>IF($B232="","",TIME(HOUR('Calendario F'!$F27),MINUTE('Calendario F'!$F27),0))</f>
        <v/>
      </c>
      <c r="E232" s="222">
        <f>IF($B232="","",DATE(YEAR('Calendario F'!$F27),MONTH('Calendario F'!$F27),DAY('Calendario F'!$F27)))</f>
        <v/>
      </c>
      <c r="F232" s="223">
        <f>IF($B232="","",TIME(HOUR('Calendario F'!$F27)+2,MINUTE('Calendario F'!$F27),0))</f>
        <v/>
      </c>
      <c r="G232" s="68">
        <f>IF($B232="","",'Calendario F'!$B28)</f>
        <v/>
      </c>
      <c r="H232" s="68">
        <f>IF($B232="","",Campionato!$D$2&amp;" "&amp;Campionato!$D$6)</f>
        <v/>
      </c>
      <c r="I232" s="68" t="inlineStr"/>
    </row>
    <row r="233">
      <c r="A233" s="68">
        <f>IF($B233="","","BEGIN:VEVENT
DTSTAMP:"&amp;TEXT(NOW(),"yyyymmdd")&amp;"T000001Z
UID:evt232@ClaudeCoworkBaskin
DTSTART;TZID=Europe/Rome:"&amp;TEXT($C233,"yyyymmdd")&amp;"T"&amp;TEXT($D233,"hhmmss")&amp;"
DTEND;TZID=Europe/Rome:"&amp;TEXT($E233,"yyyymmdd")&amp;"T"&amp;TEXT($F233,"hhmmss")&amp;"
SUMMARY:"&amp;$B233&amp;"
LOCATION:"&amp;$G233&amp;"
DESCRIPTION:"&amp;$H233&amp;"
END:VEVENT")</f>
        <v/>
      </c>
      <c r="B233" s="68">
        <f>IF('Calendario F'!$B30="","",'Calendario F'!$B30&amp;" vs "&amp;'Calendario F'!$D30&amp;" "&amp;'Calendario F'!$AC30)</f>
        <v/>
      </c>
      <c r="C233" s="222">
        <f>IF($B233="","",DATE(YEAR('Calendario F'!$F30),MONTH('Calendario F'!$F30),DAY('Calendario F'!$F30)))</f>
        <v/>
      </c>
      <c r="D233" s="223">
        <f>IF($B233="","",TIME(HOUR('Calendario F'!$F30),MINUTE('Calendario F'!$F30),0))</f>
        <v/>
      </c>
      <c r="E233" s="222">
        <f>IF($B233="","",DATE(YEAR('Calendario F'!$F30),MONTH('Calendario F'!$F30),DAY('Calendario F'!$F30)))</f>
        <v/>
      </c>
      <c r="F233" s="223">
        <f>IF($B233="","",TIME(HOUR('Calendario F'!$F30)+2,MINUTE('Calendario F'!$F30),0))</f>
        <v/>
      </c>
      <c r="G233" s="68">
        <f>IF($B233="","",'Calendario F'!$B31)</f>
        <v/>
      </c>
      <c r="H233" s="68">
        <f>IF($B233="","",Campionato!$D$2&amp;" "&amp;Campionato!$D$6)</f>
        <v/>
      </c>
      <c r="I233" s="68" t="inlineStr"/>
    </row>
    <row r="234">
      <c r="A234" s="68">
        <f>IF($B234="","","BEGIN:VEVENT
DTSTAMP:"&amp;TEXT(NOW(),"yyyymmdd")&amp;"T000001Z
UID:evt233@ClaudeCoworkBaskin
DTSTART;TZID=Europe/Rome:"&amp;TEXT($C234,"yyyymmdd")&amp;"T"&amp;TEXT($D234,"hhmmss")&amp;"
DTEND;TZID=Europe/Rome:"&amp;TEXT($E234,"yyyymmdd")&amp;"T"&amp;TEXT($F234,"hhmmss")&amp;"
SUMMARY:"&amp;$B234&amp;"
LOCATION:"&amp;$G234&amp;"
DESCRIPTION:"&amp;$H234&amp;"
END:VEVENT")</f>
        <v/>
      </c>
      <c r="B234" s="68">
        <f>IF('Calendario F'!$B33="","",'Calendario F'!$B33&amp;" vs "&amp;'Calendario F'!$D33&amp;" "&amp;'Calendario F'!$AC33)</f>
        <v/>
      </c>
      <c r="C234" s="222">
        <f>IF($B234="","",DATE(YEAR('Calendario F'!$F33),MONTH('Calendario F'!$F33),DAY('Calendario F'!$F33)))</f>
        <v/>
      </c>
      <c r="D234" s="223">
        <f>IF($B234="","",TIME(HOUR('Calendario F'!$F33),MINUTE('Calendario F'!$F33),0))</f>
        <v/>
      </c>
      <c r="E234" s="222">
        <f>IF($B234="","",DATE(YEAR('Calendario F'!$F33),MONTH('Calendario F'!$F33),DAY('Calendario F'!$F33)))</f>
        <v/>
      </c>
      <c r="F234" s="223">
        <f>IF($B234="","",TIME(HOUR('Calendario F'!$F33)+2,MINUTE('Calendario F'!$F33),0))</f>
        <v/>
      </c>
      <c r="G234" s="68">
        <f>IF($B234="","",'Calendario F'!$B34)</f>
        <v/>
      </c>
      <c r="H234" s="68">
        <f>IF($B234="","",Campionato!$D$2&amp;" "&amp;Campionato!$D$6)</f>
        <v/>
      </c>
      <c r="I234" s="68" t="inlineStr"/>
    </row>
    <row r="235">
      <c r="A235" s="68">
        <f>IF($B235="","","BEGIN:VEVENT
DTSTAMP:"&amp;TEXT(NOW(),"yyyymmdd")&amp;"T000001Z
UID:evt234@ClaudeCoworkBaskin
DTSTART;TZID=Europe/Rome:"&amp;TEXT($C235,"yyyymmdd")&amp;"T"&amp;TEXT($D235,"hhmmss")&amp;"
DTEND;TZID=Europe/Rome:"&amp;TEXT($E235,"yyyymmdd")&amp;"T"&amp;TEXT($F235,"hhmmss")&amp;"
SUMMARY:"&amp;$B235&amp;"
LOCATION:"&amp;$G235&amp;"
DESCRIPTION:"&amp;$H235&amp;"
END:VEVENT")</f>
        <v/>
      </c>
      <c r="B235" s="68">
        <f>IF('Calendario F'!$B36="","",'Calendario F'!$B36&amp;" vs "&amp;'Calendario F'!$D36&amp;" "&amp;'Calendario F'!$AC36)</f>
        <v/>
      </c>
      <c r="C235" s="222">
        <f>IF($B235="","",DATE(YEAR('Calendario F'!$F36),MONTH('Calendario F'!$F36),DAY('Calendario F'!$F36)))</f>
        <v/>
      </c>
      <c r="D235" s="223">
        <f>IF($B235="","",TIME(HOUR('Calendario F'!$F36),MINUTE('Calendario F'!$F36),0))</f>
        <v/>
      </c>
      <c r="E235" s="222">
        <f>IF($B235="","",DATE(YEAR('Calendario F'!$F36),MONTH('Calendario F'!$F36),DAY('Calendario F'!$F36)))</f>
        <v/>
      </c>
      <c r="F235" s="223">
        <f>IF($B235="","",TIME(HOUR('Calendario F'!$F36)+2,MINUTE('Calendario F'!$F36),0))</f>
        <v/>
      </c>
      <c r="G235" s="68">
        <f>IF($B235="","",'Calendario F'!$B37)</f>
        <v/>
      </c>
      <c r="H235" s="68">
        <f>IF($B235="","",Campionato!$D$2&amp;" "&amp;Campionato!$D$6)</f>
        <v/>
      </c>
      <c r="I235" s="68" t="inlineStr"/>
    </row>
    <row r="236">
      <c r="A236" s="68">
        <f>IF($B236="","","BEGIN:VEVENT
DTSTAMP:"&amp;TEXT(NOW(),"yyyymmdd")&amp;"T000001Z
UID:evt235@ClaudeCoworkBaskin
DTSTART;TZID=Europe/Rome:"&amp;TEXT($C236,"yyyymmdd")&amp;"T"&amp;TEXT($D236,"hhmmss")&amp;"
DTEND;TZID=Europe/Rome:"&amp;TEXT($E236,"yyyymmdd")&amp;"T"&amp;TEXT($F236,"hhmmss")&amp;"
SUMMARY:"&amp;$B236&amp;"
LOCATION:"&amp;$G236&amp;"
DESCRIPTION:"&amp;$H236&amp;"
END:VEVENT")</f>
        <v/>
      </c>
      <c r="B236" s="68">
        <f>IF('Calendario F'!$B39="","",'Calendario F'!$B39&amp;" vs "&amp;'Calendario F'!$D39&amp;" "&amp;'Calendario F'!$AC39)</f>
        <v/>
      </c>
      <c r="C236" s="222">
        <f>IF($B236="","",DATE(YEAR('Calendario F'!$F39),MONTH('Calendario F'!$F39),DAY('Calendario F'!$F39)))</f>
        <v/>
      </c>
      <c r="D236" s="223">
        <f>IF($B236="","",TIME(HOUR('Calendario F'!$F39),MINUTE('Calendario F'!$F39),0))</f>
        <v/>
      </c>
      <c r="E236" s="222">
        <f>IF($B236="","",DATE(YEAR('Calendario F'!$F39),MONTH('Calendario F'!$F39),DAY('Calendario F'!$F39)))</f>
        <v/>
      </c>
      <c r="F236" s="223">
        <f>IF($B236="","",TIME(HOUR('Calendario F'!$F39)+2,MINUTE('Calendario F'!$F39),0))</f>
        <v/>
      </c>
      <c r="G236" s="68">
        <f>IF($B236="","",'Calendario F'!$B40)</f>
        <v/>
      </c>
      <c r="H236" s="68">
        <f>IF($B236="","",Campionato!$D$2&amp;" "&amp;Campionato!$D$6)</f>
        <v/>
      </c>
      <c r="I236" s="68" t="inlineStr"/>
    </row>
    <row r="237">
      <c r="A237" s="68">
        <f>IF($B237="","","BEGIN:VEVENT
DTSTAMP:"&amp;TEXT(NOW(),"yyyymmdd")&amp;"T000001Z
UID:evt236@ClaudeCoworkBaskin
DTSTART;TZID=Europe/Rome:"&amp;TEXT($C237,"yyyymmdd")&amp;"T"&amp;TEXT($D237,"hhmmss")&amp;"
DTEND;TZID=Europe/Rome:"&amp;TEXT($E237,"yyyymmdd")&amp;"T"&amp;TEXT($F237,"hhmmss")&amp;"
SUMMARY:"&amp;$B237&amp;"
LOCATION:"&amp;$G237&amp;"
DESCRIPTION:"&amp;$H237&amp;"
END:VEVENT")</f>
        <v/>
      </c>
      <c r="B237" s="68">
        <f>IF('Calendario F'!$B44="","",'Calendario F'!$B44&amp;" vs "&amp;'Calendario F'!$D44&amp;" "&amp;'Calendario F'!$AC44)</f>
        <v/>
      </c>
      <c r="C237" s="222">
        <f>IF($B237="","",DATE(YEAR('Calendario F'!$F44),MONTH('Calendario F'!$F44),DAY('Calendario F'!$F44)))</f>
        <v/>
      </c>
      <c r="D237" s="223">
        <f>IF($B237="","",TIME(HOUR('Calendario F'!$F44),MINUTE('Calendario F'!$F44),0))</f>
        <v/>
      </c>
      <c r="E237" s="222">
        <f>IF($B237="","",DATE(YEAR('Calendario F'!$F44),MONTH('Calendario F'!$F44),DAY('Calendario F'!$F44)))</f>
        <v/>
      </c>
      <c r="F237" s="223">
        <f>IF($B237="","",TIME(HOUR('Calendario F'!$F44)+2,MINUTE('Calendario F'!$F44),0))</f>
        <v/>
      </c>
      <c r="G237" s="68">
        <f>IF($B237="","",'Calendario F'!$B45)</f>
        <v/>
      </c>
      <c r="H237" s="68">
        <f>IF($B237="","",Campionato!$D$2&amp;" "&amp;Campionato!$D$6)</f>
        <v/>
      </c>
      <c r="I237" s="68" t="inlineStr"/>
    </row>
    <row r="238">
      <c r="A238" s="68">
        <f>IF($B238="","","BEGIN:VEVENT
DTSTAMP:"&amp;TEXT(NOW(),"yyyymmdd")&amp;"T000001Z
UID:evt237@ClaudeCoworkBaskin
DTSTART;TZID=Europe/Rome:"&amp;TEXT($C238,"yyyymmdd")&amp;"T"&amp;TEXT($D238,"hhmmss")&amp;"
DTEND;TZID=Europe/Rome:"&amp;TEXT($E238,"yyyymmdd")&amp;"T"&amp;TEXT($F238,"hhmmss")&amp;"
SUMMARY:"&amp;$B238&amp;"
LOCATION:"&amp;$G238&amp;"
DESCRIPTION:"&amp;$H238&amp;"
END:VEVENT")</f>
        <v/>
      </c>
      <c r="B238" s="68">
        <f>IF('Calendario F'!$B47="","",'Calendario F'!$B47&amp;" vs "&amp;'Calendario F'!$D47&amp;" "&amp;'Calendario F'!$AC47)</f>
        <v/>
      </c>
      <c r="C238" s="222">
        <f>IF($B238="","",DATE(YEAR('Calendario F'!$F47),MONTH('Calendario F'!$F47),DAY('Calendario F'!$F47)))</f>
        <v/>
      </c>
      <c r="D238" s="223">
        <f>IF($B238="","",TIME(HOUR('Calendario F'!$F47),MINUTE('Calendario F'!$F47),0))</f>
        <v/>
      </c>
      <c r="E238" s="222">
        <f>IF($B238="","",DATE(YEAR('Calendario F'!$F47),MONTH('Calendario F'!$F47),DAY('Calendario F'!$F47)))</f>
        <v/>
      </c>
      <c r="F238" s="223">
        <f>IF($B238="","",TIME(HOUR('Calendario F'!$F47)+2,MINUTE('Calendario F'!$F47),0))</f>
        <v/>
      </c>
      <c r="G238" s="68">
        <f>IF($B238="","",'Calendario F'!$B48)</f>
        <v/>
      </c>
      <c r="H238" s="68">
        <f>IF($B238="","",Campionato!$D$2&amp;" "&amp;Campionato!$D$6)</f>
        <v/>
      </c>
      <c r="I238" s="68" t="inlineStr"/>
    </row>
    <row r="239">
      <c r="A239" s="68">
        <f>IF($B239="","","BEGIN:VEVENT
DTSTAMP:"&amp;TEXT(NOW(),"yyyymmdd")&amp;"T000001Z
UID:evt238@ClaudeCoworkBaskin
DTSTART;TZID=Europe/Rome:"&amp;TEXT($C239,"yyyymmdd")&amp;"T"&amp;TEXT($D239,"hhmmss")&amp;"
DTEND;TZID=Europe/Rome:"&amp;TEXT($E239,"yyyymmdd")&amp;"T"&amp;TEXT($F239,"hhmmss")&amp;"
SUMMARY:"&amp;$B239&amp;"
LOCATION:"&amp;$G239&amp;"
DESCRIPTION:"&amp;$H239&amp;"
END:VEVENT")</f>
        <v/>
      </c>
      <c r="B239" s="68">
        <f>IF('Calendario F'!$B50="","",'Calendario F'!$B50&amp;" vs "&amp;'Calendario F'!$D50&amp;" "&amp;'Calendario F'!$AC50)</f>
        <v/>
      </c>
      <c r="C239" s="222">
        <f>IF($B239="","",DATE(YEAR('Calendario F'!$F50),MONTH('Calendario F'!$F50),DAY('Calendario F'!$F50)))</f>
        <v/>
      </c>
      <c r="D239" s="223">
        <f>IF($B239="","",TIME(HOUR('Calendario F'!$F50),MINUTE('Calendario F'!$F50),0))</f>
        <v/>
      </c>
      <c r="E239" s="222">
        <f>IF($B239="","",DATE(YEAR('Calendario F'!$F50),MONTH('Calendario F'!$F50),DAY('Calendario F'!$F50)))</f>
        <v/>
      </c>
      <c r="F239" s="223">
        <f>IF($B239="","",TIME(HOUR('Calendario F'!$F50)+2,MINUTE('Calendario F'!$F50),0))</f>
        <v/>
      </c>
      <c r="G239" s="68">
        <f>IF($B239="","",'Calendario F'!$B51)</f>
        <v/>
      </c>
      <c r="H239" s="68">
        <f>IF($B239="","",Campionato!$D$2&amp;" "&amp;Campionato!$D$6)</f>
        <v/>
      </c>
      <c r="I239" s="68" t="inlineStr"/>
    </row>
    <row r="240">
      <c r="A240" s="68">
        <f>IF($B240="","","BEGIN:VEVENT
DTSTAMP:"&amp;TEXT(NOW(),"yyyymmdd")&amp;"T000001Z
UID:evt239@ClaudeCoworkBaskin
DTSTART;TZID=Europe/Rome:"&amp;TEXT($C240,"yyyymmdd")&amp;"T"&amp;TEXT($D240,"hhmmss")&amp;"
DTEND;TZID=Europe/Rome:"&amp;TEXT($E240,"yyyymmdd")&amp;"T"&amp;TEXT($F240,"hhmmss")&amp;"
SUMMARY:"&amp;$B240&amp;"
LOCATION:"&amp;$G240&amp;"
DESCRIPTION:"&amp;$H240&amp;"
END:VEVENT")</f>
        <v/>
      </c>
      <c r="B240" s="68">
        <f>IF('Calendario F'!$B53="","",'Calendario F'!$B53&amp;" vs "&amp;'Calendario F'!$D53&amp;" "&amp;'Calendario F'!$AC53)</f>
        <v/>
      </c>
      <c r="C240" s="222">
        <f>IF($B240="","",DATE(YEAR('Calendario F'!$F53),MONTH('Calendario F'!$F53),DAY('Calendario F'!$F53)))</f>
        <v/>
      </c>
      <c r="D240" s="223">
        <f>IF($B240="","",TIME(HOUR('Calendario F'!$F53),MINUTE('Calendario F'!$F53),0))</f>
        <v/>
      </c>
      <c r="E240" s="222">
        <f>IF($B240="","",DATE(YEAR('Calendario F'!$F53),MONTH('Calendario F'!$F53),DAY('Calendario F'!$F53)))</f>
        <v/>
      </c>
      <c r="F240" s="223">
        <f>IF($B240="","",TIME(HOUR('Calendario F'!$F53)+2,MINUTE('Calendario F'!$F53),0))</f>
        <v/>
      </c>
      <c r="G240" s="68">
        <f>IF($B240="","",'Calendario F'!$B54)</f>
        <v/>
      </c>
      <c r="H240" s="68">
        <f>IF($B240="","",Campionato!$D$2&amp;" "&amp;Campionato!$D$6)</f>
        <v/>
      </c>
      <c r="I240" s="68" t="inlineStr"/>
    </row>
    <row r="241">
      <c r="A241" s="68">
        <f>IF($B241="","","BEGIN:VEVENT
DTSTAMP:"&amp;TEXT(NOW(),"yyyymmdd")&amp;"T000001Z
UID:evt240@ClaudeCoworkBaskin
DTSTART;TZID=Europe/Rome:"&amp;TEXT($C241,"yyyymmdd")&amp;"T"&amp;TEXT($D241,"hhmmss")&amp;"
DTEND;TZID=Europe/Rome:"&amp;TEXT($E241,"yyyymmdd")&amp;"T"&amp;TEXT($F241,"hhmmss")&amp;"
SUMMARY:"&amp;$B241&amp;"
LOCATION:"&amp;$G241&amp;"
DESCRIPTION:"&amp;$H241&amp;"
END:VEVENT")</f>
        <v/>
      </c>
      <c r="B241" s="68">
        <f>IF('Calendario F'!$B56="","",'Calendario F'!$B56&amp;" vs "&amp;'Calendario F'!$D56&amp;" "&amp;'Calendario F'!$AC56)</f>
        <v/>
      </c>
      <c r="C241" s="222">
        <f>IF($B241="","",DATE(YEAR('Calendario F'!$F56),MONTH('Calendario F'!$F56),DAY('Calendario F'!$F56)))</f>
        <v/>
      </c>
      <c r="D241" s="223">
        <f>IF($B241="","",TIME(HOUR('Calendario F'!$F56),MINUTE('Calendario F'!$F56),0))</f>
        <v/>
      </c>
      <c r="E241" s="222">
        <f>IF($B241="","",DATE(YEAR('Calendario F'!$F56),MONTH('Calendario F'!$F56),DAY('Calendario F'!$F56)))</f>
        <v/>
      </c>
      <c r="F241" s="223">
        <f>IF($B241="","",TIME(HOUR('Calendario F'!$F56)+2,MINUTE('Calendario F'!$F56),0))</f>
        <v/>
      </c>
      <c r="G241" s="68">
        <f>IF($B241="","",'Calendario F'!$B57)</f>
        <v/>
      </c>
      <c r="H241" s="68">
        <f>IF($B241="","",Campionato!$D$2&amp;" "&amp;Campionato!$D$6)</f>
        <v/>
      </c>
      <c r="I241" s="68" t="inlineStr"/>
    </row>
    <row r="242">
      <c r="A242" s="68">
        <f>IF($B242="","","BEGIN:VEVENT
DTSTAMP:"&amp;TEXT(NOW(),"yyyymmdd")&amp;"T000001Z
UID:evt241@ClaudeCoworkBaskin
DTSTART;TZID=Europe/Rome:"&amp;TEXT($C242,"yyyymmdd")&amp;"T"&amp;TEXT($D242,"hhmmss")&amp;"
DTEND;TZID=Europe/Rome:"&amp;TEXT($E242,"yyyymmdd")&amp;"T"&amp;TEXT($F242,"hhmmss")&amp;"
SUMMARY:"&amp;$B242&amp;"
LOCATION:"&amp;$G242&amp;"
DESCRIPTION:"&amp;$H242&amp;"
END:VEVENT")</f>
        <v/>
      </c>
      <c r="B242" s="68">
        <f>IF('Calendario F'!$B61="","",'Calendario F'!$B61&amp;" vs "&amp;'Calendario F'!$D61&amp;" "&amp;'Calendario F'!$AC61)</f>
        <v/>
      </c>
      <c r="C242" s="222">
        <f>IF($B242="","",DATE(YEAR('Calendario F'!$F61),MONTH('Calendario F'!$F61),DAY('Calendario F'!$F61)))</f>
        <v/>
      </c>
      <c r="D242" s="223">
        <f>IF($B242="","",TIME(HOUR('Calendario F'!$F61),MINUTE('Calendario F'!$F61),0))</f>
        <v/>
      </c>
      <c r="E242" s="222">
        <f>IF($B242="","",DATE(YEAR('Calendario F'!$F61),MONTH('Calendario F'!$F61),DAY('Calendario F'!$F61)))</f>
        <v/>
      </c>
      <c r="F242" s="223">
        <f>IF($B242="","",TIME(HOUR('Calendario F'!$F61)+2,MINUTE('Calendario F'!$F61),0))</f>
        <v/>
      </c>
      <c r="G242" s="68">
        <f>IF($B242="","",'Calendario F'!$B62)</f>
        <v/>
      </c>
      <c r="H242" s="68">
        <f>IF($B242="","",Campionato!$D$2&amp;" "&amp;Campionato!$D$6)</f>
        <v/>
      </c>
      <c r="I242" s="68" t="inlineStr"/>
    </row>
    <row r="243">
      <c r="A243" s="68">
        <f>IF($B243="","","BEGIN:VEVENT
DTSTAMP:"&amp;TEXT(NOW(),"yyyymmdd")&amp;"T000001Z
UID:evt242@ClaudeCoworkBaskin
DTSTART;TZID=Europe/Rome:"&amp;TEXT($C243,"yyyymmdd")&amp;"T"&amp;TEXT($D243,"hhmmss")&amp;"
DTEND;TZID=Europe/Rome:"&amp;TEXT($E243,"yyyymmdd")&amp;"T"&amp;TEXT($F243,"hhmmss")&amp;"
SUMMARY:"&amp;$B243&amp;"
LOCATION:"&amp;$G243&amp;"
DESCRIPTION:"&amp;$H243&amp;"
END:VEVENT")</f>
        <v/>
      </c>
      <c r="B243" s="68">
        <f>IF('Calendario F'!$B64="","",'Calendario F'!$B64&amp;" vs "&amp;'Calendario F'!$D64&amp;" "&amp;'Calendario F'!$AC64)</f>
        <v/>
      </c>
      <c r="C243" s="222">
        <f>IF($B243="","",DATE(YEAR('Calendario F'!$F64),MONTH('Calendario F'!$F64),DAY('Calendario F'!$F64)))</f>
        <v/>
      </c>
      <c r="D243" s="223">
        <f>IF($B243="","",TIME(HOUR('Calendario F'!$F64),MINUTE('Calendario F'!$F64),0))</f>
        <v/>
      </c>
      <c r="E243" s="222">
        <f>IF($B243="","",DATE(YEAR('Calendario F'!$F64),MONTH('Calendario F'!$F64),DAY('Calendario F'!$F64)))</f>
        <v/>
      </c>
      <c r="F243" s="223">
        <f>IF($B243="","",TIME(HOUR('Calendario F'!$F64)+2,MINUTE('Calendario F'!$F64),0))</f>
        <v/>
      </c>
      <c r="G243" s="68">
        <f>IF($B243="","",'Calendario F'!$B65)</f>
        <v/>
      </c>
      <c r="H243" s="68">
        <f>IF($B243="","",Campionato!$D$2&amp;" "&amp;Campionato!$D$6)</f>
        <v/>
      </c>
      <c r="I243" s="68" t="inlineStr"/>
    </row>
    <row r="244">
      <c r="A244" s="68">
        <f>IF($B244="","","BEGIN:VEVENT
DTSTAMP:"&amp;TEXT(NOW(),"yyyymmdd")&amp;"T000001Z
UID:evt243@ClaudeCoworkBaskin
DTSTART;TZID=Europe/Rome:"&amp;TEXT($C244,"yyyymmdd")&amp;"T"&amp;TEXT($D244,"hhmmss")&amp;"
DTEND;TZID=Europe/Rome:"&amp;TEXT($E244,"yyyymmdd")&amp;"T"&amp;TEXT($F244,"hhmmss")&amp;"
SUMMARY:"&amp;$B244&amp;"
LOCATION:"&amp;$G244&amp;"
DESCRIPTION:"&amp;$H244&amp;"
END:VEVENT")</f>
        <v/>
      </c>
      <c r="B244" s="68">
        <f>IF('Calendario F'!$B67="","",'Calendario F'!$B67&amp;" vs "&amp;'Calendario F'!$D67&amp;" "&amp;'Calendario F'!$AC67)</f>
        <v/>
      </c>
      <c r="C244" s="222">
        <f>IF($B244="","",DATE(YEAR('Calendario F'!$F67),MONTH('Calendario F'!$F67),DAY('Calendario F'!$F67)))</f>
        <v/>
      </c>
      <c r="D244" s="223">
        <f>IF($B244="","",TIME(HOUR('Calendario F'!$F67),MINUTE('Calendario F'!$F67),0))</f>
        <v/>
      </c>
      <c r="E244" s="222">
        <f>IF($B244="","",DATE(YEAR('Calendario F'!$F67),MONTH('Calendario F'!$F67),DAY('Calendario F'!$F67)))</f>
        <v/>
      </c>
      <c r="F244" s="223">
        <f>IF($B244="","",TIME(HOUR('Calendario F'!$F67)+2,MINUTE('Calendario F'!$F67),0))</f>
        <v/>
      </c>
      <c r="G244" s="68">
        <f>IF($B244="","",'Calendario F'!$B68)</f>
        <v/>
      </c>
      <c r="H244" s="68">
        <f>IF($B244="","",Campionato!$D$2&amp;" "&amp;Campionato!$D$6)</f>
        <v/>
      </c>
      <c r="I244" s="68" t="inlineStr"/>
    </row>
    <row r="245">
      <c r="A245" s="68">
        <f>IF($B245="","","BEGIN:VEVENT
DTSTAMP:"&amp;TEXT(NOW(),"yyyymmdd")&amp;"T000001Z
UID:evt244@ClaudeCoworkBaskin
DTSTART;TZID=Europe/Rome:"&amp;TEXT($C245,"yyyymmdd")&amp;"T"&amp;TEXT($D245,"hhmmss")&amp;"
DTEND;TZID=Europe/Rome:"&amp;TEXT($E245,"yyyymmdd")&amp;"T"&amp;TEXT($F245,"hhmmss")&amp;"
SUMMARY:"&amp;$B245&amp;"
LOCATION:"&amp;$G245&amp;"
DESCRIPTION:"&amp;$H245&amp;"
END:VEVENT")</f>
        <v/>
      </c>
      <c r="B245" s="68">
        <f>IF('Calendario F'!$B70="","",'Calendario F'!$B70&amp;" vs "&amp;'Calendario F'!$D70&amp;" "&amp;'Calendario F'!$AC70)</f>
        <v/>
      </c>
      <c r="C245" s="222">
        <f>IF($B245="","",DATE(YEAR('Calendario F'!$F70),MONTH('Calendario F'!$F70),DAY('Calendario F'!$F70)))</f>
        <v/>
      </c>
      <c r="D245" s="223">
        <f>IF($B245="","",TIME(HOUR('Calendario F'!$F70),MINUTE('Calendario F'!$F70),0))</f>
        <v/>
      </c>
      <c r="E245" s="222">
        <f>IF($B245="","",DATE(YEAR('Calendario F'!$F70),MONTH('Calendario F'!$F70),DAY('Calendario F'!$F70)))</f>
        <v/>
      </c>
      <c r="F245" s="223">
        <f>IF($B245="","",TIME(HOUR('Calendario F'!$F70)+2,MINUTE('Calendario F'!$F70),0))</f>
        <v/>
      </c>
      <c r="G245" s="68">
        <f>IF($B245="","",'Calendario F'!$B71)</f>
        <v/>
      </c>
      <c r="H245" s="68">
        <f>IF($B245="","",Campionato!$D$2&amp;" "&amp;Campionato!$D$6)</f>
        <v/>
      </c>
      <c r="I245" s="68" t="inlineStr"/>
    </row>
    <row r="246">
      <c r="A246" s="68">
        <f>IF($B246="","","BEGIN:VEVENT
DTSTAMP:"&amp;TEXT(NOW(),"yyyymmdd")&amp;"T000001Z
UID:evt245@ClaudeCoworkBaskin
DTSTART;TZID=Europe/Rome:"&amp;TEXT($C246,"yyyymmdd")&amp;"T"&amp;TEXT($D246,"hhmmss")&amp;"
DTEND;TZID=Europe/Rome:"&amp;TEXT($E246,"yyyymmdd")&amp;"T"&amp;TEXT($F246,"hhmmss")&amp;"
SUMMARY:"&amp;$B246&amp;"
LOCATION:"&amp;$G246&amp;"
DESCRIPTION:"&amp;$H246&amp;"
END:VEVENT")</f>
        <v/>
      </c>
      <c r="B246" s="68">
        <f>IF('Calendario F'!$B73="","",'Calendario F'!$B73&amp;" vs "&amp;'Calendario F'!$D73&amp;" "&amp;'Calendario F'!$AC73)</f>
        <v/>
      </c>
      <c r="C246" s="222">
        <f>IF($B246="","",DATE(YEAR('Calendario F'!$F73),MONTH('Calendario F'!$F73),DAY('Calendario F'!$F73)))</f>
        <v/>
      </c>
      <c r="D246" s="223">
        <f>IF($B246="","",TIME(HOUR('Calendario F'!$F73),MINUTE('Calendario F'!$F73),0))</f>
        <v/>
      </c>
      <c r="E246" s="222">
        <f>IF($B246="","",DATE(YEAR('Calendario F'!$F73),MONTH('Calendario F'!$F73),DAY('Calendario F'!$F73)))</f>
        <v/>
      </c>
      <c r="F246" s="223">
        <f>IF($B246="","",TIME(HOUR('Calendario F'!$F73)+2,MINUTE('Calendario F'!$F73),0))</f>
        <v/>
      </c>
      <c r="G246" s="68">
        <f>IF($B246="","",'Calendario F'!$B74)</f>
        <v/>
      </c>
      <c r="H246" s="68">
        <f>IF($B246="","",Campionato!$D$2&amp;" "&amp;Campionato!$D$6)</f>
        <v/>
      </c>
      <c r="I246" s="68" t="inlineStr"/>
    </row>
    <row r="247">
      <c r="A247" s="68">
        <f>IF($B247="","","BEGIN:VEVENT
DTSTAMP:"&amp;TEXT(NOW(),"yyyymmdd")&amp;"T000001Z
UID:evt246@ClaudeCoworkBaskin
DTSTART;TZID=Europe/Rome:"&amp;TEXT($C247,"yyyymmdd")&amp;"T"&amp;TEXT($D247,"hhmmss")&amp;"
DTEND;TZID=Europe/Rome:"&amp;TEXT($E247,"yyyymmdd")&amp;"T"&amp;TEXT($F247,"hhmmss")&amp;"
SUMMARY:"&amp;$B247&amp;"
LOCATION:"&amp;$G247&amp;"
DESCRIPTION:"&amp;$H247&amp;"
END:VEVENT")</f>
        <v/>
      </c>
      <c r="B247" s="68">
        <f>IF('Calendario F'!$B78="","",'Calendario F'!$B78&amp;" vs "&amp;'Calendario F'!$D78&amp;" "&amp;'Calendario F'!$AC78)</f>
        <v/>
      </c>
      <c r="C247" s="222">
        <f>IF($B247="","",DATE(YEAR('Calendario F'!$F78),MONTH('Calendario F'!$F78),DAY('Calendario F'!$F78)))</f>
        <v/>
      </c>
      <c r="D247" s="223">
        <f>IF($B247="","",TIME(HOUR('Calendario F'!$F78),MINUTE('Calendario F'!$F78),0))</f>
        <v/>
      </c>
      <c r="E247" s="222">
        <f>IF($B247="","",DATE(YEAR('Calendario F'!$F78),MONTH('Calendario F'!$F78),DAY('Calendario F'!$F78)))</f>
        <v/>
      </c>
      <c r="F247" s="223">
        <f>IF($B247="","",TIME(HOUR('Calendario F'!$F78)+2,MINUTE('Calendario F'!$F78),0))</f>
        <v/>
      </c>
      <c r="G247" s="68">
        <f>IF($B247="","",'Calendario F'!$B79)</f>
        <v/>
      </c>
      <c r="H247" s="68">
        <f>IF($B247="","",Campionato!$D$2&amp;" "&amp;Campionato!$D$6)</f>
        <v/>
      </c>
      <c r="I247" s="68" t="inlineStr"/>
    </row>
    <row r="248">
      <c r="A248" s="68">
        <f>IF($B248="","","BEGIN:VEVENT
DTSTAMP:"&amp;TEXT(NOW(),"yyyymmdd")&amp;"T000001Z
UID:evt247@ClaudeCoworkBaskin
DTSTART;TZID=Europe/Rome:"&amp;TEXT($C248,"yyyymmdd")&amp;"T"&amp;TEXT($D248,"hhmmss")&amp;"
DTEND;TZID=Europe/Rome:"&amp;TEXT($E248,"yyyymmdd")&amp;"T"&amp;TEXT($F248,"hhmmss")&amp;"
SUMMARY:"&amp;$B248&amp;"
LOCATION:"&amp;$G248&amp;"
DESCRIPTION:"&amp;$H248&amp;"
END:VEVENT")</f>
        <v/>
      </c>
      <c r="B248" s="68">
        <f>IF('Calendario F'!$B81="","",'Calendario F'!$B81&amp;" vs "&amp;'Calendario F'!$D81&amp;" "&amp;'Calendario F'!$AC81)</f>
        <v/>
      </c>
      <c r="C248" s="222">
        <f>IF($B248="","",DATE(YEAR('Calendario F'!$F81),MONTH('Calendario F'!$F81),DAY('Calendario F'!$F81)))</f>
        <v/>
      </c>
      <c r="D248" s="223">
        <f>IF($B248="","",TIME(HOUR('Calendario F'!$F81),MINUTE('Calendario F'!$F81),0))</f>
        <v/>
      </c>
      <c r="E248" s="222">
        <f>IF($B248="","",DATE(YEAR('Calendario F'!$F81),MONTH('Calendario F'!$F81),DAY('Calendario F'!$F81)))</f>
        <v/>
      </c>
      <c r="F248" s="223">
        <f>IF($B248="","",TIME(HOUR('Calendario F'!$F81)+2,MINUTE('Calendario F'!$F81),0))</f>
        <v/>
      </c>
      <c r="G248" s="68">
        <f>IF($B248="","",'Calendario F'!$B82)</f>
        <v/>
      </c>
      <c r="H248" s="68">
        <f>IF($B248="","",Campionato!$D$2&amp;" "&amp;Campionato!$D$6)</f>
        <v/>
      </c>
      <c r="I248" s="68" t="inlineStr"/>
    </row>
    <row r="249">
      <c r="A249" s="68">
        <f>IF($B249="","","BEGIN:VEVENT
DTSTAMP:"&amp;TEXT(NOW(),"yyyymmdd")&amp;"T000001Z
UID:evt248@ClaudeCoworkBaskin
DTSTART;TZID=Europe/Rome:"&amp;TEXT($C249,"yyyymmdd")&amp;"T"&amp;TEXT($D249,"hhmmss")&amp;"
DTEND;TZID=Europe/Rome:"&amp;TEXT($E249,"yyyymmdd")&amp;"T"&amp;TEXT($F249,"hhmmss")&amp;"
SUMMARY:"&amp;$B249&amp;"
LOCATION:"&amp;$G249&amp;"
DESCRIPTION:"&amp;$H249&amp;"
END:VEVENT")</f>
        <v/>
      </c>
      <c r="B249" s="68">
        <f>IF('Calendario F'!$B84="","",'Calendario F'!$B84&amp;" vs "&amp;'Calendario F'!$D84&amp;" "&amp;'Calendario F'!$AC84)</f>
        <v/>
      </c>
      <c r="C249" s="222">
        <f>IF($B249="","",DATE(YEAR('Calendario F'!$F84),MONTH('Calendario F'!$F84),DAY('Calendario F'!$F84)))</f>
        <v/>
      </c>
      <c r="D249" s="223">
        <f>IF($B249="","",TIME(HOUR('Calendario F'!$F84),MINUTE('Calendario F'!$F84),0))</f>
        <v/>
      </c>
      <c r="E249" s="222">
        <f>IF($B249="","",DATE(YEAR('Calendario F'!$F84),MONTH('Calendario F'!$F84),DAY('Calendario F'!$F84)))</f>
        <v/>
      </c>
      <c r="F249" s="223">
        <f>IF($B249="","",TIME(HOUR('Calendario F'!$F84)+2,MINUTE('Calendario F'!$F84),0))</f>
        <v/>
      </c>
      <c r="G249" s="68">
        <f>IF($B249="","",'Calendario F'!$B85)</f>
        <v/>
      </c>
      <c r="H249" s="68">
        <f>IF($B249="","",Campionato!$D$2&amp;" "&amp;Campionato!$D$6)</f>
        <v/>
      </c>
      <c r="I249" s="68" t="inlineStr"/>
    </row>
    <row r="250">
      <c r="A250" s="68">
        <f>IF($B250="","","BEGIN:VEVENT
DTSTAMP:"&amp;TEXT(NOW(),"yyyymmdd")&amp;"T000001Z
UID:evt249@ClaudeCoworkBaskin
DTSTART;TZID=Europe/Rome:"&amp;TEXT($C250,"yyyymmdd")&amp;"T"&amp;TEXT($D250,"hhmmss")&amp;"
DTEND;TZID=Europe/Rome:"&amp;TEXT($E250,"yyyymmdd")&amp;"T"&amp;TEXT($F250,"hhmmss")&amp;"
SUMMARY:"&amp;$B250&amp;"
LOCATION:"&amp;$G250&amp;"
DESCRIPTION:"&amp;$H250&amp;"
END:VEVENT")</f>
        <v/>
      </c>
      <c r="B250" s="68">
        <f>IF('Calendario F'!$B87="","",'Calendario F'!$B87&amp;" vs "&amp;'Calendario F'!$D87&amp;" "&amp;'Calendario F'!$AC87)</f>
        <v/>
      </c>
      <c r="C250" s="222">
        <f>IF($B250="","",DATE(YEAR('Calendario F'!$F87),MONTH('Calendario F'!$F87),DAY('Calendario F'!$F87)))</f>
        <v/>
      </c>
      <c r="D250" s="223">
        <f>IF($B250="","",TIME(HOUR('Calendario F'!$F87),MINUTE('Calendario F'!$F87),0))</f>
        <v/>
      </c>
      <c r="E250" s="222">
        <f>IF($B250="","",DATE(YEAR('Calendario F'!$F87),MONTH('Calendario F'!$F87),DAY('Calendario F'!$F87)))</f>
        <v/>
      </c>
      <c r="F250" s="223">
        <f>IF($B250="","",TIME(HOUR('Calendario F'!$F87)+2,MINUTE('Calendario F'!$F87),0))</f>
        <v/>
      </c>
      <c r="G250" s="68">
        <f>IF($B250="","",'Calendario F'!$B88)</f>
        <v/>
      </c>
      <c r="H250" s="68">
        <f>IF($B250="","",Campionato!$D$2&amp;" "&amp;Campionato!$D$6)</f>
        <v/>
      </c>
      <c r="I250" s="68" t="inlineStr"/>
    </row>
    <row r="251">
      <c r="A251" s="68">
        <f>IF($B251="","","BEGIN:VEVENT
DTSTAMP:"&amp;TEXT(NOW(),"yyyymmdd")&amp;"T000001Z
UID:evt250@ClaudeCoworkBaskin
DTSTART;TZID=Europe/Rome:"&amp;TEXT($C251,"yyyymmdd")&amp;"T"&amp;TEXT($D251,"hhmmss")&amp;"
DTEND;TZID=Europe/Rome:"&amp;TEXT($E251,"yyyymmdd")&amp;"T"&amp;TEXT($F251,"hhmmss")&amp;"
SUMMARY:"&amp;$B251&amp;"
LOCATION:"&amp;$G251&amp;"
DESCRIPTION:"&amp;$H251&amp;"
END:VEVENT")</f>
        <v/>
      </c>
      <c r="B251" s="68">
        <f>IF('Calendario F'!$B90="","",'Calendario F'!$B90&amp;" vs "&amp;'Calendario F'!$D90&amp;" "&amp;'Calendario F'!$AC90)</f>
        <v/>
      </c>
      <c r="C251" s="222">
        <f>IF($B251="","",DATE(YEAR('Calendario F'!$F90),MONTH('Calendario F'!$F90),DAY('Calendario F'!$F90)))</f>
        <v/>
      </c>
      <c r="D251" s="223">
        <f>IF($B251="","",TIME(HOUR('Calendario F'!$F90),MINUTE('Calendario F'!$F90),0))</f>
        <v/>
      </c>
      <c r="E251" s="222">
        <f>IF($B251="","",DATE(YEAR('Calendario F'!$F90),MONTH('Calendario F'!$F90),DAY('Calendario F'!$F90)))</f>
        <v/>
      </c>
      <c r="F251" s="223">
        <f>IF($B251="","",TIME(HOUR('Calendario F'!$F90)+2,MINUTE('Calendario F'!$F90),0))</f>
        <v/>
      </c>
      <c r="G251" s="68">
        <f>IF($B251="","",'Calendario F'!$B91)</f>
        <v/>
      </c>
      <c r="H251" s="68">
        <f>IF($B251="","",Campionato!$D$2&amp;" "&amp;Campionato!$D$6)</f>
        <v/>
      </c>
      <c r="I251" s="68" t="inlineStr"/>
    </row>
    <row r="252">
      <c r="A252" s="68">
        <f>IF($B252="","","BEGIN:VEVENT
DTSTAMP:"&amp;TEXT(NOW(),"yyyymmdd")&amp;"T000001Z
UID:evt251@ClaudeCoworkBaskin
DTSTART;TZID=Europe/Rome:"&amp;TEXT($C252,"yyyymmdd")&amp;"T"&amp;TEXT($D252,"hhmmss")&amp;"
DTEND;TZID=Europe/Rome:"&amp;TEXT($E252,"yyyymmdd")&amp;"T"&amp;TEXT($F252,"hhmmss")&amp;"
SUMMARY:"&amp;$B252&amp;"
LOCATION:"&amp;$G252&amp;"
DESCRIPTION:"&amp;$H252&amp;"
END:VEVENT")</f>
        <v/>
      </c>
      <c r="B252" s="68">
        <f>IF('Calendario F'!$B95="","",'Calendario F'!$B95&amp;" vs "&amp;'Calendario F'!$D95&amp;" "&amp;'Calendario F'!$AC95)</f>
        <v/>
      </c>
      <c r="C252" s="222">
        <f>IF($B252="","",DATE(YEAR('Calendario F'!$F95),MONTH('Calendario F'!$F95),DAY('Calendario F'!$F95)))</f>
        <v/>
      </c>
      <c r="D252" s="223">
        <f>IF($B252="","",TIME(HOUR('Calendario F'!$F95),MINUTE('Calendario F'!$F95),0))</f>
        <v/>
      </c>
      <c r="E252" s="222">
        <f>IF($B252="","",DATE(YEAR('Calendario F'!$F95),MONTH('Calendario F'!$F95),DAY('Calendario F'!$F95)))</f>
        <v/>
      </c>
      <c r="F252" s="223">
        <f>IF($B252="","",TIME(HOUR('Calendario F'!$F95)+2,MINUTE('Calendario F'!$F95),0))</f>
        <v/>
      </c>
      <c r="G252" s="68">
        <f>IF($B252="","",'Calendario F'!$B96)</f>
        <v/>
      </c>
      <c r="H252" s="68">
        <f>IF($B252="","",Campionato!$D$2&amp;" "&amp;Campionato!$D$6)</f>
        <v/>
      </c>
      <c r="I252" s="68" t="inlineStr"/>
    </row>
    <row r="253">
      <c r="A253" s="68">
        <f>IF($B253="","","BEGIN:VEVENT
DTSTAMP:"&amp;TEXT(NOW(),"yyyymmdd")&amp;"T000001Z
UID:evt252@ClaudeCoworkBaskin
DTSTART;TZID=Europe/Rome:"&amp;TEXT($C253,"yyyymmdd")&amp;"T"&amp;TEXT($D253,"hhmmss")&amp;"
DTEND;TZID=Europe/Rome:"&amp;TEXT($E253,"yyyymmdd")&amp;"T"&amp;TEXT($F253,"hhmmss")&amp;"
SUMMARY:"&amp;$B253&amp;"
LOCATION:"&amp;$G253&amp;"
DESCRIPTION:"&amp;$H253&amp;"
END:VEVENT")</f>
        <v/>
      </c>
      <c r="B253" s="68">
        <f>IF('Calendario F'!$B98="","",'Calendario F'!$B98&amp;" vs "&amp;'Calendario F'!$D98&amp;" "&amp;'Calendario F'!$AC98)</f>
        <v/>
      </c>
      <c r="C253" s="222">
        <f>IF($B253="","",DATE(YEAR('Calendario F'!$F98),MONTH('Calendario F'!$F98),DAY('Calendario F'!$F98)))</f>
        <v/>
      </c>
      <c r="D253" s="223">
        <f>IF($B253="","",TIME(HOUR('Calendario F'!$F98),MINUTE('Calendario F'!$F98),0))</f>
        <v/>
      </c>
      <c r="E253" s="222">
        <f>IF($B253="","",DATE(YEAR('Calendario F'!$F98),MONTH('Calendario F'!$F98),DAY('Calendario F'!$F98)))</f>
        <v/>
      </c>
      <c r="F253" s="223">
        <f>IF($B253="","",TIME(HOUR('Calendario F'!$F98)+2,MINUTE('Calendario F'!$F98),0))</f>
        <v/>
      </c>
      <c r="G253" s="68">
        <f>IF($B253="","",'Calendario F'!$B99)</f>
        <v/>
      </c>
      <c r="H253" s="68">
        <f>IF($B253="","",Campionato!$D$2&amp;" "&amp;Campionato!$D$6)</f>
        <v/>
      </c>
      <c r="I253" s="68" t="inlineStr"/>
    </row>
    <row r="254">
      <c r="A254" s="68">
        <f>IF($B254="","","BEGIN:VEVENT
DTSTAMP:"&amp;TEXT(NOW(),"yyyymmdd")&amp;"T000001Z
UID:evt253@ClaudeCoworkBaskin
DTSTART;TZID=Europe/Rome:"&amp;TEXT($C254,"yyyymmdd")&amp;"T"&amp;TEXT($D254,"hhmmss")&amp;"
DTEND;TZID=Europe/Rome:"&amp;TEXT($E254,"yyyymmdd")&amp;"T"&amp;TEXT($F254,"hhmmss")&amp;"
SUMMARY:"&amp;$B254&amp;"
LOCATION:"&amp;$G254&amp;"
DESCRIPTION:"&amp;$H254&amp;"
END:VEVENT")</f>
        <v/>
      </c>
      <c r="B254" s="68">
        <f>IF('Calendario F'!$B101="","",'Calendario F'!$B101&amp;" vs "&amp;'Calendario F'!$D101&amp;" "&amp;'Calendario F'!$AC101)</f>
        <v/>
      </c>
      <c r="C254" s="222">
        <f>IF($B254="","",DATE(YEAR('Calendario F'!$F101),MONTH('Calendario F'!$F101),DAY('Calendario F'!$F101)))</f>
        <v/>
      </c>
      <c r="D254" s="223">
        <f>IF($B254="","",TIME(HOUR('Calendario F'!$F101),MINUTE('Calendario F'!$F101),0))</f>
        <v/>
      </c>
      <c r="E254" s="222">
        <f>IF($B254="","",DATE(YEAR('Calendario F'!$F101),MONTH('Calendario F'!$F101),DAY('Calendario F'!$F101)))</f>
        <v/>
      </c>
      <c r="F254" s="223">
        <f>IF($B254="","",TIME(HOUR('Calendario F'!$F101)+2,MINUTE('Calendario F'!$F101),0))</f>
        <v/>
      </c>
      <c r="G254" s="68">
        <f>IF($B254="","",'Calendario F'!$B102)</f>
        <v/>
      </c>
      <c r="H254" s="68">
        <f>IF($B254="","",Campionato!$D$2&amp;" "&amp;Campionato!$D$6)</f>
        <v/>
      </c>
      <c r="I254" s="68" t="inlineStr"/>
    </row>
    <row r="255">
      <c r="A255" s="68">
        <f>IF($B255="","","BEGIN:VEVENT
DTSTAMP:"&amp;TEXT(NOW(),"yyyymmdd")&amp;"T000001Z
UID:evt254@ClaudeCoworkBaskin
DTSTART;TZID=Europe/Rome:"&amp;TEXT($C255,"yyyymmdd")&amp;"T"&amp;TEXT($D255,"hhmmss")&amp;"
DTEND;TZID=Europe/Rome:"&amp;TEXT($E255,"yyyymmdd")&amp;"T"&amp;TEXT($F255,"hhmmss")&amp;"
SUMMARY:"&amp;$B255&amp;"
LOCATION:"&amp;$G255&amp;"
DESCRIPTION:"&amp;$H255&amp;"
END:VEVENT")</f>
        <v/>
      </c>
      <c r="B255" s="68">
        <f>IF('Calendario F'!$B104="","",'Calendario F'!$B104&amp;" vs "&amp;'Calendario F'!$D104&amp;" "&amp;'Calendario F'!$AC104)</f>
        <v/>
      </c>
      <c r="C255" s="222">
        <f>IF($B255="","",DATE(YEAR('Calendario F'!$F104),MONTH('Calendario F'!$F104),DAY('Calendario F'!$F104)))</f>
        <v/>
      </c>
      <c r="D255" s="223">
        <f>IF($B255="","",TIME(HOUR('Calendario F'!$F104),MINUTE('Calendario F'!$F104),0))</f>
        <v/>
      </c>
      <c r="E255" s="222">
        <f>IF($B255="","",DATE(YEAR('Calendario F'!$F104),MONTH('Calendario F'!$F104),DAY('Calendario F'!$F104)))</f>
        <v/>
      </c>
      <c r="F255" s="223">
        <f>IF($B255="","",TIME(HOUR('Calendario F'!$F104)+2,MINUTE('Calendario F'!$F104),0))</f>
        <v/>
      </c>
      <c r="G255" s="68">
        <f>IF($B255="","",'Calendario F'!$B105)</f>
        <v/>
      </c>
      <c r="H255" s="68">
        <f>IF($B255="","",Campionato!$D$2&amp;" "&amp;Campionato!$D$6)</f>
        <v/>
      </c>
      <c r="I255" s="68" t="inlineStr"/>
    </row>
    <row r="256">
      <c r="A256" s="68">
        <f>IF($B256="","","BEGIN:VEVENT
DTSTAMP:"&amp;TEXT(NOW(),"yyyymmdd")&amp;"T000001Z
UID:evt255@ClaudeCoworkBaskin
DTSTART;TZID=Europe/Rome:"&amp;TEXT($C256,"yyyymmdd")&amp;"T"&amp;TEXT($D256,"hhmmss")&amp;"
DTEND;TZID=Europe/Rome:"&amp;TEXT($E256,"yyyymmdd")&amp;"T"&amp;TEXT($F256,"hhmmss")&amp;"
SUMMARY:"&amp;$B256&amp;"
LOCATION:"&amp;$G256&amp;"
DESCRIPTION:"&amp;$H256&amp;"
END:VEVENT")</f>
        <v/>
      </c>
      <c r="B256" s="68">
        <f>IF('Calendario F'!$B107="","",'Calendario F'!$B107&amp;" vs "&amp;'Calendario F'!$D107&amp;" "&amp;'Calendario F'!$AC107)</f>
        <v/>
      </c>
      <c r="C256" s="222">
        <f>IF($B256="","",DATE(YEAR('Calendario F'!$F107),MONTH('Calendario F'!$F107),DAY('Calendario F'!$F107)))</f>
        <v/>
      </c>
      <c r="D256" s="223">
        <f>IF($B256="","",TIME(HOUR('Calendario F'!$F107),MINUTE('Calendario F'!$F107),0))</f>
        <v/>
      </c>
      <c r="E256" s="222">
        <f>IF($B256="","",DATE(YEAR('Calendario F'!$F107),MONTH('Calendario F'!$F107),DAY('Calendario F'!$F107)))</f>
        <v/>
      </c>
      <c r="F256" s="223">
        <f>IF($B256="","",TIME(HOUR('Calendario F'!$F107)+2,MINUTE('Calendario F'!$F107),0))</f>
        <v/>
      </c>
      <c r="G256" s="68">
        <f>IF($B256="","",'Calendario F'!$B108)</f>
        <v/>
      </c>
      <c r="H256" s="68">
        <f>IF($B256="","",Campionato!$D$2&amp;" "&amp;Campionato!$D$6)</f>
        <v/>
      </c>
      <c r="I256" s="68" t="inlineStr"/>
    </row>
    <row r="257">
      <c r="A257" s="68">
        <f>IF($B257="","","BEGIN:VEVENT
DTSTAMP:"&amp;TEXT(NOW(),"yyyymmdd")&amp;"T000001Z
UID:evt256@ClaudeCoworkBaskin
DTSTART;TZID=Europe/Rome:"&amp;TEXT($C257,"yyyymmdd")&amp;"T"&amp;TEXT($D257,"hhmmss")&amp;"
DTEND;TZID=Europe/Rome:"&amp;TEXT($E257,"yyyymmdd")&amp;"T"&amp;TEXT($F257,"hhmmss")&amp;"
SUMMARY:"&amp;$B257&amp;"
LOCATION:"&amp;$G257&amp;"
DESCRIPTION:"&amp;$H257&amp;"
END:VEVENT")</f>
        <v/>
      </c>
      <c r="B257" s="68">
        <f>IF('Calendario F'!$B112="","",'Calendario F'!$B112&amp;" vs "&amp;'Calendario F'!$D112&amp;" "&amp;'Calendario F'!$AC112)</f>
        <v/>
      </c>
      <c r="C257" s="222">
        <f>IF($B257="","",DATE(YEAR('Calendario F'!$F112),MONTH('Calendario F'!$F112),DAY('Calendario F'!$F112)))</f>
        <v/>
      </c>
      <c r="D257" s="223">
        <f>IF($B257="","",TIME(HOUR('Calendario F'!$F112),MINUTE('Calendario F'!$F112),0))</f>
        <v/>
      </c>
      <c r="E257" s="222">
        <f>IF($B257="","",DATE(YEAR('Calendario F'!$F112),MONTH('Calendario F'!$F112),DAY('Calendario F'!$F112)))</f>
        <v/>
      </c>
      <c r="F257" s="223">
        <f>IF($B257="","",TIME(HOUR('Calendario F'!$F112)+2,MINUTE('Calendario F'!$F112),0))</f>
        <v/>
      </c>
      <c r="G257" s="68">
        <f>IF($B257="","",'Calendario F'!$B113)</f>
        <v/>
      </c>
      <c r="H257" s="68">
        <f>IF($B257="","",Campionato!$D$2&amp;" "&amp;Campionato!$D$6)</f>
        <v/>
      </c>
      <c r="I257" s="68" t="inlineStr"/>
    </row>
    <row r="258">
      <c r="A258" s="68">
        <f>IF($B258="","","BEGIN:VEVENT
DTSTAMP:"&amp;TEXT(NOW(),"yyyymmdd")&amp;"T000001Z
UID:evt257@ClaudeCoworkBaskin
DTSTART;TZID=Europe/Rome:"&amp;TEXT($C258,"yyyymmdd")&amp;"T"&amp;TEXT($D258,"hhmmss")&amp;"
DTEND;TZID=Europe/Rome:"&amp;TEXT($E258,"yyyymmdd")&amp;"T"&amp;TEXT($F258,"hhmmss")&amp;"
SUMMARY:"&amp;$B258&amp;"
LOCATION:"&amp;$G258&amp;"
DESCRIPTION:"&amp;$H258&amp;"
END:VEVENT")</f>
        <v/>
      </c>
      <c r="B258" s="68">
        <f>IF('Calendario F'!$B115="","",'Calendario F'!$B115&amp;" vs "&amp;'Calendario F'!$D115&amp;" "&amp;'Calendario F'!$AC115)</f>
        <v/>
      </c>
      <c r="C258" s="222">
        <f>IF($B258="","",DATE(YEAR('Calendario F'!$F115),MONTH('Calendario F'!$F115),DAY('Calendario F'!$F115)))</f>
        <v/>
      </c>
      <c r="D258" s="223">
        <f>IF($B258="","",TIME(HOUR('Calendario F'!$F115),MINUTE('Calendario F'!$F115),0))</f>
        <v/>
      </c>
      <c r="E258" s="222">
        <f>IF($B258="","",DATE(YEAR('Calendario F'!$F115),MONTH('Calendario F'!$F115),DAY('Calendario F'!$F115)))</f>
        <v/>
      </c>
      <c r="F258" s="223">
        <f>IF($B258="","",TIME(HOUR('Calendario F'!$F115)+2,MINUTE('Calendario F'!$F115),0))</f>
        <v/>
      </c>
      <c r="G258" s="68">
        <f>IF($B258="","",'Calendario F'!$B116)</f>
        <v/>
      </c>
      <c r="H258" s="68">
        <f>IF($B258="","",Campionato!$D$2&amp;" "&amp;Campionato!$D$6)</f>
        <v/>
      </c>
      <c r="I258" s="68" t="inlineStr"/>
    </row>
    <row r="259">
      <c r="A259" s="68">
        <f>IF($B259="","","BEGIN:VEVENT
DTSTAMP:"&amp;TEXT(NOW(),"yyyymmdd")&amp;"T000001Z
UID:evt258@ClaudeCoworkBaskin
DTSTART;TZID=Europe/Rome:"&amp;TEXT($C259,"yyyymmdd")&amp;"T"&amp;TEXT($D259,"hhmmss")&amp;"
DTEND;TZID=Europe/Rome:"&amp;TEXT($E259,"yyyymmdd")&amp;"T"&amp;TEXT($F259,"hhmmss")&amp;"
SUMMARY:"&amp;$B259&amp;"
LOCATION:"&amp;$G259&amp;"
DESCRIPTION:"&amp;$H259&amp;"
END:VEVENT")</f>
        <v/>
      </c>
      <c r="B259" s="68">
        <f>IF('Calendario F'!$B118="","",'Calendario F'!$B118&amp;" vs "&amp;'Calendario F'!$D118&amp;" "&amp;'Calendario F'!$AC118)</f>
        <v/>
      </c>
      <c r="C259" s="222">
        <f>IF($B259="","",DATE(YEAR('Calendario F'!$F118),MONTH('Calendario F'!$F118),DAY('Calendario F'!$F118)))</f>
        <v/>
      </c>
      <c r="D259" s="223">
        <f>IF($B259="","",TIME(HOUR('Calendario F'!$F118),MINUTE('Calendario F'!$F118),0))</f>
        <v/>
      </c>
      <c r="E259" s="222">
        <f>IF($B259="","",DATE(YEAR('Calendario F'!$F118),MONTH('Calendario F'!$F118),DAY('Calendario F'!$F118)))</f>
        <v/>
      </c>
      <c r="F259" s="223">
        <f>IF($B259="","",TIME(HOUR('Calendario F'!$F118)+2,MINUTE('Calendario F'!$F118),0))</f>
        <v/>
      </c>
      <c r="G259" s="68">
        <f>IF($B259="","",'Calendario F'!$B119)</f>
        <v/>
      </c>
      <c r="H259" s="68">
        <f>IF($B259="","",Campionato!$D$2&amp;" "&amp;Campionato!$D$6)</f>
        <v/>
      </c>
      <c r="I259" s="68" t="inlineStr"/>
    </row>
    <row r="260">
      <c r="A260" s="68">
        <f>IF($B260="","","BEGIN:VEVENT
DTSTAMP:"&amp;TEXT(NOW(),"yyyymmdd")&amp;"T000001Z
UID:evt259@ClaudeCoworkBaskin
DTSTART;TZID=Europe/Rome:"&amp;TEXT($C260,"yyyymmdd")&amp;"T"&amp;TEXT($D260,"hhmmss")&amp;"
DTEND;TZID=Europe/Rome:"&amp;TEXT($E260,"yyyymmdd")&amp;"T"&amp;TEXT($F260,"hhmmss")&amp;"
SUMMARY:"&amp;$B260&amp;"
LOCATION:"&amp;$G260&amp;"
DESCRIPTION:"&amp;$H260&amp;"
END:VEVENT")</f>
        <v/>
      </c>
      <c r="B260" s="68">
        <f>IF('Calendario F'!$B121="","",'Calendario F'!$B121&amp;" vs "&amp;'Calendario F'!$D121&amp;" "&amp;'Calendario F'!$AC121)</f>
        <v/>
      </c>
      <c r="C260" s="222">
        <f>IF($B260="","",DATE(YEAR('Calendario F'!$F121),MONTH('Calendario F'!$F121),DAY('Calendario F'!$F121)))</f>
        <v/>
      </c>
      <c r="D260" s="223">
        <f>IF($B260="","",TIME(HOUR('Calendario F'!$F121),MINUTE('Calendario F'!$F121),0))</f>
        <v/>
      </c>
      <c r="E260" s="222">
        <f>IF($B260="","",DATE(YEAR('Calendario F'!$F121),MONTH('Calendario F'!$F121),DAY('Calendario F'!$F121)))</f>
        <v/>
      </c>
      <c r="F260" s="223">
        <f>IF($B260="","",TIME(HOUR('Calendario F'!$F121)+2,MINUTE('Calendario F'!$F121),0))</f>
        <v/>
      </c>
      <c r="G260" s="68">
        <f>IF($B260="","",'Calendario F'!$B122)</f>
        <v/>
      </c>
      <c r="H260" s="68">
        <f>IF($B260="","",Campionato!$D$2&amp;" "&amp;Campionato!$D$6)</f>
        <v/>
      </c>
      <c r="I260" s="68" t="inlineStr"/>
    </row>
    <row r="261">
      <c r="A261" s="68">
        <f>IF($B261="","","BEGIN:VEVENT
DTSTAMP:"&amp;TEXT(NOW(),"yyyymmdd")&amp;"T000001Z
UID:evt260@ClaudeCoworkBaskin
DTSTART;TZID=Europe/Rome:"&amp;TEXT($C261,"yyyymmdd")&amp;"T"&amp;TEXT($D261,"hhmmss")&amp;"
DTEND;TZID=Europe/Rome:"&amp;TEXT($E261,"yyyymmdd")&amp;"T"&amp;TEXT($F261,"hhmmss")&amp;"
SUMMARY:"&amp;$B261&amp;"
LOCATION:"&amp;$G261&amp;"
DESCRIPTION:"&amp;$H261&amp;"
END:VEVENT")</f>
        <v/>
      </c>
      <c r="B261" s="68">
        <f>IF('Calendario F'!$B124="","",'Calendario F'!$B124&amp;" vs "&amp;'Calendario F'!$D124&amp;" "&amp;'Calendario F'!$AC124)</f>
        <v/>
      </c>
      <c r="C261" s="222">
        <f>IF($B261="","",DATE(YEAR('Calendario F'!$F124),MONTH('Calendario F'!$F124),DAY('Calendario F'!$F124)))</f>
        <v/>
      </c>
      <c r="D261" s="223">
        <f>IF($B261="","",TIME(HOUR('Calendario F'!$F124),MINUTE('Calendario F'!$F124),0))</f>
        <v/>
      </c>
      <c r="E261" s="222">
        <f>IF($B261="","",DATE(YEAR('Calendario F'!$F124),MONTH('Calendario F'!$F124),DAY('Calendario F'!$F124)))</f>
        <v/>
      </c>
      <c r="F261" s="223">
        <f>IF($B261="","",TIME(HOUR('Calendario F'!$F124)+2,MINUTE('Calendario F'!$F124),0))</f>
        <v/>
      </c>
      <c r="G261" s="68">
        <f>IF($B261="","",'Calendario F'!$B125)</f>
        <v/>
      </c>
      <c r="H261" s="68">
        <f>IF($B261="","",Campionato!$D$2&amp;" "&amp;Campionato!$D$6)</f>
        <v/>
      </c>
      <c r="I261" s="68" t="inlineStr"/>
    </row>
    <row r="262">
      <c r="A262" s="68">
        <f>IF($B262="","","BEGIN:VEVENT
DTSTAMP:"&amp;TEXT(NOW(),"yyyymmdd")&amp;"T000001Z
UID:evt261@ClaudeCoworkBaskin
DTSTART;TZID=Europe/Rome:"&amp;TEXT($C262,"yyyymmdd")&amp;"T"&amp;TEXT($D262,"hhmmss")&amp;"
DTEND;TZID=Europe/Rome:"&amp;TEXT($E262,"yyyymmdd")&amp;"T"&amp;TEXT($F262,"hhmmss")&amp;"
SUMMARY:"&amp;$B262&amp;"
LOCATION:"&amp;$G262&amp;"
DESCRIPTION:"&amp;$H262&amp;"
END:VEVENT")</f>
        <v/>
      </c>
      <c r="B262" s="68">
        <f>IF('Calendario F'!$B129="","",'Calendario F'!$B129&amp;" vs "&amp;'Calendario F'!$D129&amp;" "&amp;'Calendario F'!$AC129)</f>
        <v/>
      </c>
      <c r="C262" s="222">
        <f>IF($B262="","",DATE(YEAR('Calendario F'!$F129),MONTH('Calendario F'!$F129),DAY('Calendario F'!$F129)))</f>
        <v/>
      </c>
      <c r="D262" s="223">
        <f>IF($B262="","",TIME(HOUR('Calendario F'!$F129),MINUTE('Calendario F'!$F129),0))</f>
        <v/>
      </c>
      <c r="E262" s="222">
        <f>IF($B262="","",DATE(YEAR('Calendario F'!$F129),MONTH('Calendario F'!$F129),DAY('Calendario F'!$F129)))</f>
        <v/>
      </c>
      <c r="F262" s="223">
        <f>IF($B262="","",TIME(HOUR('Calendario F'!$F129)+2,MINUTE('Calendario F'!$F129),0))</f>
        <v/>
      </c>
      <c r="G262" s="68">
        <f>IF($B262="","",'Calendario F'!$B130)</f>
        <v/>
      </c>
      <c r="H262" s="68">
        <f>IF($B262="","",Campionato!$D$2&amp;" "&amp;Campionato!$D$6)</f>
        <v/>
      </c>
      <c r="I262" s="68" t="inlineStr"/>
    </row>
    <row r="263">
      <c r="A263" s="68">
        <f>IF($B263="","","BEGIN:VEVENT
DTSTAMP:"&amp;TEXT(NOW(),"yyyymmdd")&amp;"T000001Z
UID:evt262@ClaudeCoworkBaskin
DTSTART;TZID=Europe/Rome:"&amp;TEXT($C263,"yyyymmdd")&amp;"T"&amp;TEXT($D263,"hhmmss")&amp;"
DTEND;TZID=Europe/Rome:"&amp;TEXT($E263,"yyyymmdd")&amp;"T"&amp;TEXT($F263,"hhmmss")&amp;"
SUMMARY:"&amp;$B263&amp;"
LOCATION:"&amp;$G263&amp;"
DESCRIPTION:"&amp;$H263&amp;"
END:VEVENT")</f>
        <v/>
      </c>
      <c r="B263" s="68">
        <f>IF('Calendario F'!$B132="","",'Calendario F'!$B132&amp;" vs "&amp;'Calendario F'!$D132&amp;" "&amp;'Calendario F'!$AC132)</f>
        <v/>
      </c>
      <c r="C263" s="222">
        <f>IF($B263="","",DATE(YEAR('Calendario F'!$F132),MONTH('Calendario F'!$F132),DAY('Calendario F'!$F132)))</f>
        <v/>
      </c>
      <c r="D263" s="223">
        <f>IF($B263="","",TIME(HOUR('Calendario F'!$F132),MINUTE('Calendario F'!$F132),0))</f>
        <v/>
      </c>
      <c r="E263" s="222">
        <f>IF($B263="","",DATE(YEAR('Calendario F'!$F132),MONTH('Calendario F'!$F132),DAY('Calendario F'!$F132)))</f>
        <v/>
      </c>
      <c r="F263" s="223">
        <f>IF($B263="","",TIME(HOUR('Calendario F'!$F132)+2,MINUTE('Calendario F'!$F132),0))</f>
        <v/>
      </c>
      <c r="G263" s="68">
        <f>IF($B263="","",'Calendario F'!$B133)</f>
        <v/>
      </c>
      <c r="H263" s="68">
        <f>IF($B263="","",Campionato!$D$2&amp;" "&amp;Campionato!$D$6)</f>
        <v/>
      </c>
      <c r="I263" s="68" t="inlineStr"/>
    </row>
    <row r="264">
      <c r="A264" s="68">
        <f>IF($B264="","","BEGIN:VEVENT
DTSTAMP:"&amp;TEXT(NOW(),"yyyymmdd")&amp;"T000001Z
UID:evt263@ClaudeCoworkBaskin
DTSTART;TZID=Europe/Rome:"&amp;TEXT($C264,"yyyymmdd")&amp;"T"&amp;TEXT($D264,"hhmmss")&amp;"
DTEND;TZID=Europe/Rome:"&amp;TEXT($E264,"yyyymmdd")&amp;"T"&amp;TEXT($F264,"hhmmss")&amp;"
SUMMARY:"&amp;$B264&amp;"
LOCATION:"&amp;$G264&amp;"
DESCRIPTION:"&amp;$H264&amp;"
END:VEVENT")</f>
        <v/>
      </c>
      <c r="B264" s="68">
        <f>IF('Calendario F'!$B135="","",'Calendario F'!$B135&amp;" vs "&amp;'Calendario F'!$D135&amp;" "&amp;'Calendario F'!$AC135)</f>
        <v/>
      </c>
      <c r="C264" s="222">
        <f>IF($B264="","",DATE(YEAR('Calendario F'!$F135),MONTH('Calendario F'!$F135),DAY('Calendario F'!$F135)))</f>
        <v/>
      </c>
      <c r="D264" s="223">
        <f>IF($B264="","",TIME(HOUR('Calendario F'!$F135),MINUTE('Calendario F'!$F135),0))</f>
        <v/>
      </c>
      <c r="E264" s="222">
        <f>IF($B264="","",DATE(YEAR('Calendario F'!$F135),MONTH('Calendario F'!$F135),DAY('Calendario F'!$F135)))</f>
        <v/>
      </c>
      <c r="F264" s="223">
        <f>IF($B264="","",TIME(HOUR('Calendario F'!$F135)+2,MINUTE('Calendario F'!$F135),0))</f>
        <v/>
      </c>
      <c r="G264" s="68">
        <f>IF($B264="","",'Calendario F'!$B136)</f>
        <v/>
      </c>
      <c r="H264" s="68">
        <f>IF($B264="","",Campionato!$D$2&amp;" "&amp;Campionato!$D$6)</f>
        <v/>
      </c>
      <c r="I264" s="68" t="inlineStr"/>
    </row>
    <row r="265">
      <c r="A265" s="68">
        <f>IF($B265="","","BEGIN:VEVENT
DTSTAMP:"&amp;TEXT(NOW(),"yyyymmdd")&amp;"T000001Z
UID:evt264@ClaudeCoworkBaskin
DTSTART;TZID=Europe/Rome:"&amp;TEXT($C265,"yyyymmdd")&amp;"T"&amp;TEXT($D265,"hhmmss")&amp;"
DTEND;TZID=Europe/Rome:"&amp;TEXT($E265,"yyyymmdd")&amp;"T"&amp;TEXT($F265,"hhmmss")&amp;"
SUMMARY:"&amp;$B265&amp;"
LOCATION:"&amp;$G265&amp;"
DESCRIPTION:"&amp;$H265&amp;"
END:VEVENT")</f>
        <v/>
      </c>
      <c r="B265" s="68">
        <f>IF('Calendario F'!$B138="","",'Calendario F'!$B138&amp;" vs "&amp;'Calendario F'!$D138&amp;" "&amp;'Calendario F'!$AC138)</f>
        <v/>
      </c>
      <c r="C265" s="222">
        <f>IF($B265="","",DATE(YEAR('Calendario F'!$F138),MONTH('Calendario F'!$F138),DAY('Calendario F'!$F138)))</f>
        <v/>
      </c>
      <c r="D265" s="223">
        <f>IF($B265="","",TIME(HOUR('Calendario F'!$F138),MINUTE('Calendario F'!$F138),0))</f>
        <v/>
      </c>
      <c r="E265" s="222">
        <f>IF($B265="","",DATE(YEAR('Calendario F'!$F138),MONTH('Calendario F'!$F138),DAY('Calendario F'!$F138)))</f>
        <v/>
      </c>
      <c r="F265" s="223">
        <f>IF($B265="","",TIME(HOUR('Calendario F'!$F138)+2,MINUTE('Calendario F'!$F138),0))</f>
        <v/>
      </c>
      <c r="G265" s="68">
        <f>IF($B265="","",'Calendario F'!$B139)</f>
        <v/>
      </c>
      <c r="H265" s="68">
        <f>IF($B265="","",Campionato!$D$2&amp;" "&amp;Campionato!$D$6)</f>
        <v/>
      </c>
      <c r="I265" s="68" t="inlineStr"/>
    </row>
    <row r="266">
      <c r="A266" s="68">
        <f>IF($B266="","","BEGIN:VEVENT
DTSTAMP:"&amp;TEXT(NOW(),"yyyymmdd")&amp;"T000001Z
UID:evt265@ClaudeCoworkBaskin
DTSTART;TZID=Europe/Rome:"&amp;TEXT($C266,"yyyymmdd")&amp;"T"&amp;TEXT($D266,"hhmmss")&amp;"
DTEND;TZID=Europe/Rome:"&amp;TEXT($E266,"yyyymmdd")&amp;"T"&amp;TEXT($F266,"hhmmss")&amp;"
SUMMARY:"&amp;$B266&amp;"
LOCATION:"&amp;$G266&amp;"
DESCRIPTION:"&amp;$H266&amp;"
END:VEVENT")</f>
        <v/>
      </c>
      <c r="B266" s="68">
        <f>IF('Calendario F'!$B141="","",'Calendario F'!$B141&amp;" vs "&amp;'Calendario F'!$D141&amp;" "&amp;'Calendario F'!$AC141)</f>
        <v/>
      </c>
      <c r="C266" s="222">
        <f>IF($B266="","",DATE(YEAR('Calendario F'!$F141),MONTH('Calendario F'!$F141),DAY('Calendario F'!$F141)))</f>
        <v/>
      </c>
      <c r="D266" s="223">
        <f>IF($B266="","",TIME(HOUR('Calendario F'!$F141),MINUTE('Calendario F'!$F141),0))</f>
        <v/>
      </c>
      <c r="E266" s="222">
        <f>IF($B266="","",DATE(YEAR('Calendario F'!$F141),MONTH('Calendario F'!$F141),DAY('Calendario F'!$F141)))</f>
        <v/>
      </c>
      <c r="F266" s="223">
        <f>IF($B266="","",TIME(HOUR('Calendario F'!$F141)+2,MINUTE('Calendario F'!$F141),0))</f>
        <v/>
      </c>
      <c r="G266" s="68">
        <f>IF($B266="","",'Calendario F'!$B142)</f>
        <v/>
      </c>
      <c r="H266" s="68">
        <f>IF($B266="","",Campionato!$D$2&amp;" "&amp;Campionato!$D$6)</f>
        <v/>
      </c>
      <c r="I266" s="68" t="inlineStr"/>
    </row>
    <row r="267">
      <c r="A267" s="68">
        <f>IF($B267="","","BEGIN:VEVENT
DTSTAMP:"&amp;TEXT(NOW(),"yyyymmdd")&amp;"T000001Z
UID:evt266@ClaudeCoworkBaskin
DTSTART;TZID=Europe/Rome:"&amp;TEXT($C267,"yyyymmdd")&amp;"T"&amp;TEXT($D267,"hhmmss")&amp;"
DTEND;TZID=Europe/Rome:"&amp;TEXT($E267,"yyyymmdd")&amp;"T"&amp;TEXT($F267,"hhmmss")&amp;"
SUMMARY:"&amp;$B267&amp;"
LOCATION:"&amp;$G267&amp;"
DESCRIPTION:"&amp;$H267&amp;"
END:VEVENT")</f>
        <v/>
      </c>
      <c r="B267" s="68">
        <f>IF('Calendario F'!$B146="","",'Calendario F'!$B146&amp;" vs "&amp;'Calendario F'!$D146&amp;" "&amp;'Calendario F'!$AC146)</f>
        <v/>
      </c>
      <c r="C267" s="222">
        <f>IF($B267="","",DATE(YEAR('Calendario F'!$F146),MONTH('Calendario F'!$F146),DAY('Calendario F'!$F146)))</f>
        <v/>
      </c>
      <c r="D267" s="223">
        <f>IF($B267="","",TIME(HOUR('Calendario F'!$F146),MINUTE('Calendario F'!$F146),0))</f>
        <v/>
      </c>
      <c r="E267" s="222">
        <f>IF($B267="","",DATE(YEAR('Calendario F'!$F146),MONTH('Calendario F'!$F146),DAY('Calendario F'!$F146)))</f>
        <v/>
      </c>
      <c r="F267" s="223">
        <f>IF($B267="","",TIME(HOUR('Calendario F'!$F146)+2,MINUTE('Calendario F'!$F146),0))</f>
        <v/>
      </c>
      <c r="G267" s="68">
        <f>IF($B267="","",'Calendario F'!$B147)</f>
        <v/>
      </c>
      <c r="H267" s="68">
        <f>IF($B267="","",Campionato!$D$2&amp;" "&amp;Campionato!$D$6)</f>
        <v/>
      </c>
      <c r="I267" s="68" t="inlineStr"/>
    </row>
    <row r="268">
      <c r="A268" s="68">
        <f>IF($B268="","","BEGIN:VEVENT
DTSTAMP:"&amp;TEXT(NOW(),"yyyymmdd")&amp;"T000001Z
UID:evt267@ClaudeCoworkBaskin
DTSTART;TZID=Europe/Rome:"&amp;TEXT($C268,"yyyymmdd")&amp;"T"&amp;TEXT($D268,"hhmmss")&amp;"
DTEND;TZID=Europe/Rome:"&amp;TEXT($E268,"yyyymmdd")&amp;"T"&amp;TEXT($F268,"hhmmss")&amp;"
SUMMARY:"&amp;$B268&amp;"
LOCATION:"&amp;$G268&amp;"
DESCRIPTION:"&amp;$H268&amp;"
END:VEVENT")</f>
        <v/>
      </c>
      <c r="B268" s="68">
        <f>IF('Calendario F'!$B149="","",'Calendario F'!$B149&amp;" vs "&amp;'Calendario F'!$D149&amp;" "&amp;'Calendario F'!$AC149)</f>
        <v/>
      </c>
      <c r="C268" s="222">
        <f>IF($B268="","",DATE(YEAR('Calendario F'!$F149),MONTH('Calendario F'!$F149),DAY('Calendario F'!$F149)))</f>
        <v/>
      </c>
      <c r="D268" s="223">
        <f>IF($B268="","",TIME(HOUR('Calendario F'!$F149),MINUTE('Calendario F'!$F149),0))</f>
        <v/>
      </c>
      <c r="E268" s="222">
        <f>IF($B268="","",DATE(YEAR('Calendario F'!$F149),MONTH('Calendario F'!$F149),DAY('Calendario F'!$F149)))</f>
        <v/>
      </c>
      <c r="F268" s="223">
        <f>IF($B268="","",TIME(HOUR('Calendario F'!$F149)+2,MINUTE('Calendario F'!$F149),0))</f>
        <v/>
      </c>
      <c r="G268" s="68">
        <f>IF($B268="","",'Calendario F'!$B150)</f>
        <v/>
      </c>
      <c r="H268" s="68">
        <f>IF($B268="","",Campionato!$D$2&amp;" "&amp;Campionato!$D$6)</f>
        <v/>
      </c>
      <c r="I268" s="68" t="inlineStr"/>
    </row>
    <row r="269">
      <c r="A269" s="68">
        <f>IF($B269="","","BEGIN:VEVENT
DTSTAMP:"&amp;TEXT(NOW(),"yyyymmdd")&amp;"T000001Z
UID:evt268@ClaudeCoworkBaskin
DTSTART;TZID=Europe/Rome:"&amp;TEXT($C269,"yyyymmdd")&amp;"T"&amp;TEXT($D269,"hhmmss")&amp;"
DTEND;TZID=Europe/Rome:"&amp;TEXT($E269,"yyyymmdd")&amp;"T"&amp;TEXT($F269,"hhmmss")&amp;"
SUMMARY:"&amp;$B269&amp;"
LOCATION:"&amp;$G269&amp;"
DESCRIPTION:"&amp;$H269&amp;"
END:VEVENT")</f>
        <v/>
      </c>
      <c r="B269" s="68">
        <f>IF('Calendario F'!$B152="","",'Calendario F'!$B152&amp;" vs "&amp;'Calendario F'!$D152&amp;" "&amp;'Calendario F'!$AC152)</f>
        <v/>
      </c>
      <c r="C269" s="222">
        <f>IF($B269="","",DATE(YEAR('Calendario F'!$F152),MONTH('Calendario F'!$F152),DAY('Calendario F'!$F152)))</f>
        <v/>
      </c>
      <c r="D269" s="223">
        <f>IF($B269="","",TIME(HOUR('Calendario F'!$F152),MINUTE('Calendario F'!$F152),0))</f>
        <v/>
      </c>
      <c r="E269" s="222">
        <f>IF($B269="","",DATE(YEAR('Calendario F'!$F152),MONTH('Calendario F'!$F152),DAY('Calendario F'!$F152)))</f>
        <v/>
      </c>
      <c r="F269" s="223">
        <f>IF($B269="","",TIME(HOUR('Calendario F'!$F152)+2,MINUTE('Calendario F'!$F152),0))</f>
        <v/>
      </c>
      <c r="G269" s="68">
        <f>IF($B269="","",'Calendario F'!$B153)</f>
        <v/>
      </c>
      <c r="H269" s="68">
        <f>IF($B269="","",Campionato!$D$2&amp;" "&amp;Campionato!$D$6)</f>
        <v/>
      </c>
      <c r="I269" s="68" t="inlineStr"/>
    </row>
    <row r="270">
      <c r="A270" s="68">
        <f>IF($B270="","","BEGIN:VEVENT
DTSTAMP:"&amp;TEXT(NOW(),"yyyymmdd")&amp;"T000001Z
UID:evt269@ClaudeCoworkBaskin
DTSTART;TZID=Europe/Rome:"&amp;TEXT($C270,"yyyymmdd")&amp;"T"&amp;TEXT($D270,"hhmmss")&amp;"
DTEND;TZID=Europe/Rome:"&amp;TEXT($E270,"yyyymmdd")&amp;"T"&amp;TEXT($F270,"hhmmss")&amp;"
SUMMARY:"&amp;$B270&amp;"
LOCATION:"&amp;$G270&amp;"
DESCRIPTION:"&amp;$H270&amp;"
END:VEVENT")</f>
        <v/>
      </c>
      <c r="B270" s="68">
        <f>IF('Calendario F'!$B155="","",'Calendario F'!$B155&amp;" vs "&amp;'Calendario F'!$D155&amp;" "&amp;'Calendario F'!$AC155)</f>
        <v/>
      </c>
      <c r="C270" s="222">
        <f>IF($B270="","",DATE(YEAR('Calendario F'!$F155),MONTH('Calendario F'!$F155),DAY('Calendario F'!$F155)))</f>
        <v/>
      </c>
      <c r="D270" s="223">
        <f>IF($B270="","",TIME(HOUR('Calendario F'!$F155),MINUTE('Calendario F'!$F155),0))</f>
        <v/>
      </c>
      <c r="E270" s="222">
        <f>IF($B270="","",DATE(YEAR('Calendario F'!$F155),MONTH('Calendario F'!$F155),DAY('Calendario F'!$F155)))</f>
        <v/>
      </c>
      <c r="F270" s="223">
        <f>IF($B270="","",TIME(HOUR('Calendario F'!$F155)+2,MINUTE('Calendario F'!$F155),0))</f>
        <v/>
      </c>
      <c r="G270" s="68">
        <f>IF($B270="","",'Calendario F'!$B156)</f>
        <v/>
      </c>
      <c r="H270" s="68">
        <f>IF($B270="","",Campionato!$D$2&amp;" "&amp;Campionato!$D$6)</f>
        <v/>
      </c>
      <c r="I270" s="68" t="inlineStr"/>
    </row>
    <row r="271">
      <c r="A271" s="68">
        <f>IF($B271="","","BEGIN:VEVENT
DTSTAMP:"&amp;TEXT(NOW(),"yyyymmdd")&amp;"T000001Z
UID:evt270@ClaudeCoworkBaskin
DTSTART;TZID=Europe/Rome:"&amp;TEXT($C271,"yyyymmdd")&amp;"T"&amp;TEXT($D271,"hhmmss")&amp;"
DTEND;TZID=Europe/Rome:"&amp;TEXT($E271,"yyyymmdd")&amp;"T"&amp;TEXT($F271,"hhmmss")&amp;"
SUMMARY:"&amp;$B271&amp;"
LOCATION:"&amp;$G271&amp;"
DESCRIPTION:"&amp;$H271&amp;"
END:VEVENT")</f>
        <v/>
      </c>
      <c r="B271" s="68">
        <f>IF('Calendario F'!$B158="","",'Calendario F'!$B158&amp;" vs "&amp;'Calendario F'!$D158&amp;" "&amp;'Calendario F'!$AC158)</f>
        <v/>
      </c>
      <c r="C271" s="222">
        <f>IF($B271="","",DATE(YEAR('Calendario F'!$F158),MONTH('Calendario F'!$F158),DAY('Calendario F'!$F158)))</f>
        <v/>
      </c>
      <c r="D271" s="223">
        <f>IF($B271="","",TIME(HOUR('Calendario F'!$F158),MINUTE('Calendario F'!$F158),0))</f>
        <v/>
      </c>
      <c r="E271" s="222">
        <f>IF($B271="","",DATE(YEAR('Calendario F'!$F158),MONTH('Calendario F'!$F158),DAY('Calendario F'!$F158)))</f>
        <v/>
      </c>
      <c r="F271" s="223">
        <f>IF($B271="","",TIME(HOUR('Calendario F'!$F158)+2,MINUTE('Calendario F'!$F158),0))</f>
        <v/>
      </c>
      <c r="G271" s="68">
        <f>IF($B271="","",'Calendario F'!$B159)</f>
        <v/>
      </c>
      <c r="H271" s="68">
        <f>IF($B271="","",Campionato!$D$2&amp;" "&amp;Campionato!$D$6)</f>
        <v/>
      </c>
      <c r="I271" s="68" t="inlineStr"/>
    </row>
    <row r="272">
      <c r="A272" s="68">
        <f>IF($B272="","","BEGIN:VEVENT
DTSTAMP:"&amp;TEXT(NOW(),"yyyymmdd")&amp;"T000001Z
UID:evt271@ClaudeCoworkBaskin
DTSTART;TZID=Europe/Rome:"&amp;TEXT($C272,"yyyymmdd")&amp;"T"&amp;TEXT($D272,"hhmmss")&amp;"
DTEND;TZID=Europe/Rome:"&amp;TEXT($E272,"yyyymmdd")&amp;"T"&amp;TEXT($F272,"hhmmss")&amp;"
SUMMARY:"&amp;$B272&amp;"
LOCATION:"&amp;$G272&amp;"
DESCRIPTION:"&amp;$H272&amp;"
END:VEVENT")</f>
        <v/>
      </c>
      <c r="B272" s="68">
        <f>IF('Calendario G'!$B10="","",'Calendario G'!$B10&amp;" vs "&amp;'Calendario G'!$D10&amp;" "&amp;'Calendario G'!$AC10)</f>
        <v/>
      </c>
      <c r="C272" s="222">
        <f>IF($B272="","",DATE(YEAR('Calendario G'!$F10),MONTH('Calendario G'!$F10),DAY('Calendario G'!$F10)))</f>
        <v/>
      </c>
      <c r="D272" s="223">
        <f>IF($B272="","",TIME(HOUR('Calendario G'!$F10),MINUTE('Calendario G'!$F10),0))</f>
        <v/>
      </c>
      <c r="E272" s="222">
        <f>IF($B272="","",DATE(YEAR('Calendario G'!$F10),MONTH('Calendario G'!$F10),DAY('Calendario G'!$F10)))</f>
        <v/>
      </c>
      <c r="F272" s="223">
        <f>IF($B272="","",TIME(HOUR('Calendario G'!$F10)+2,MINUTE('Calendario G'!$F10),0))</f>
        <v/>
      </c>
      <c r="G272" s="68">
        <f>IF($B272="","",'Calendario G'!$B11)</f>
        <v/>
      </c>
      <c r="H272" s="68">
        <f>IF($B272="","",Campionato!$D$2&amp;" "&amp;Campionato!$D$6)</f>
        <v/>
      </c>
      <c r="I272" s="68" t="inlineStr"/>
    </row>
    <row r="273">
      <c r="A273" s="68">
        <f>IF($B273="","","BEGIN:VEVENT
DTSTAMP:"&amp;TEXT(NOW(),"yyyymmdd")&amp;"T000001Z
UID:evt272@ClaudeCoworkBaskin
DTSTART;TZID=Europe/Rome:"&amp;TEXT($C273,"yyyymmdd")&amp;"T"&amp;TEXT($D273,"hhmmss")&amp;"
DTEND;TZID=Europe/Rome:"&amp;TEXT($E273,"yyyymmdd")&amp;"T"&amp;TEXT($F273,"hhmmss")&amp;"
SUMMARY:"&amp;$B273&amp;"
LOCATION:"&amp;$G273&amp;"
DESCRIPTION:"&amp;$H273&amp;"
END:VEVENT")</f>
        <v/>
      </c>
      <c r="B273" s="68">
        <f>IF('Calendario G'!$B13="","",'Calendario G'!$B13&amp;" vs "&amp;'Calendario G'!$D13&amp;" "&amp;'Calendario G'!$AC13)</f>
        <v/>
      </c>
      <c r="C273" s="222">
        <f>IF($B273="","",DATE(YEAR('Calendario G'!$F13),MONTH('Calendario G'!$F13),DAY('Calendario G'!$F13)))</f>
        <v/>
      </c>
      <c r="D273" s="223">
        <f>IF($B273="","",TIME(HOUR('Calendario G'!$F13),MINUTE('Calendario G'!$F13),0))</f>
        <v/>
      </c>
      <c r="E273" s="222">
        <f>IF($B273="","",DATE(YEAR('Calendario G'!$F13),MONTH('Calendario G'!$F13),DAY('Calendario G'!$F13)))</f>
        <v/>
      </c>
      <c r="F273" s="223">
        <f>IF($B273="","",TIME(HOUR('Calendario G'!$F13)+2,MINUTE('Calendario G'!$F13),0))</f>
        <v/>
      </c>
      <c r="G273" s="68">
        <f>IF($B273="","",'Calendario G'!$B14)</f>
        <v/>
      </c>
      <c r="H273" s="68">
        <f>IF($B273="","",Campionato!$D$2&amp;" "&amp;Campionato!$D$6)</f>
        <v/>
      </c>
      <c r="I273" s="68" t="inlineStr"/>
    </row>
    <row r="274">
      <c r="A274" s="68">
        <f>IF($B274="","","BEGIN:VEVENT
DTSTAMP:"&amp;TEXT(NOW(),"yyyymmdd")&amp;"T000001Z
UID:evt273@ClaudeCoworkBaskin
DTSTART;TZID=Europe/Rome:"&amp;TEXT($C274,"yyyymmdd")&amp;"T"&amp;TEXT($D274,"hhmmss")&amp;"
DTEND;TZID=Europe/Rome:"&amp;TEXT($E274,"yyyymmdd")&amp;"T"&amp;TEXT($F274,"hhmmss")&amp;"
SUMMARY:"&amp;$B274&amp;"
LOCATION:"&amp;$G274&amp;"
DESCRIPTION:"&amp;$H274&amp;"
END:VEVENT")</f>
        <v/>
      </c>
      <c r="B274" s="68">
        <f>IF('Calendario G'!$B16="","",'Calendario G'!$B16&amp;" vs "&amp;'Calendario G'!$D16&amp;" "&amp;'Calendario G'!$AC16)</f>
        <v/>
      </c>
      <c r="C274" s="222">
        <f>IF($B274="","",DATE(YEAR('Calendario G'!$F16),MONTH('Calendario G'!$F16),DAY('Calendario G'!$F16)))</f>
        <v/>
      </c>
      <c r="D274" s="223">
        <f>IF($B274="","",TIME(HOUR('Calendario G'!$F16),MINUTE('Calendario G'!$F16),0))</f>
        <v/>
      </c>
      <c r="E274" s="222">
        <f>IF($B274="","",DATE(YEAR('Calendario G'!$F16),MONTH('Calendario G'!$F16),DAY('Calendario G'!$F16)))</f>
        <v/>
      </c>
      <c r="F274" s="223">
        <f>IF($B274="","",TIME(HOUR('Calendario G'!$F16)+2,MINUTE('Calendario G'!$F16),0))</f>
        <v/>
      </c>
      <c r="G274" s="68">
        <f>IF($B274="","",'Calendario G'!$B17)</f>
        <v/>
      </c>
      <c r="H274" s="68">
        <f>IF($B274="","",Campionato!$D$2&amp;" "&amp;Campionato!$D$6)</f>
        <v/>
      </c>
      <c r="I274" s="68" t="inlineStr"/>
    </row>
    <row r="275">
      <c r="A275" s="68">
        <f>IF($B275="","","BEGIN:VEVENT
DTSTAMP:"&amp;TEXT(NOW(),"yyyymmdd")&amp;"T000001Z
UID:evt274@ClaudeCoworkBaskin
DTSTART;TZID=Europe/Rome:"&amp;TEXT($C275,"yyyymmdd")&amp;"T"&amp;TEXT($D275,"hhmmss")&amp;"
DTEND;TZID=Europe/Rome:"&amp;TEXT($E275,"yyyymmdd")&amp;"T"&amp;TEXT($F275,"hhmmss")&amp;"
SUMMARY:"&amp;$B275&amp;"
LOCATION:"&amp;$G275&amp;"
DESCRIPTION:"&amp;$H275&amp;"
END:VEVENT")</f>
        <v/>
      </c>
      <c r="B275" s="68">
        <f>IF('Calendario G'!$B19="","",'Calendario G'!$B19&amp;" vs "&amp;'Calendario G'!$D19&amp;" "&amp;'Calendario G'!$AC19)</f>
        <v/>
      </c>
      <c r="C275" s="222">
        <f>IF($B275="","",DATE(YEAR('Calendario G'!$F19),MONTH('Calendario G'!$F19),DAY('Calendario G'!$F19)))</f>
        <v/>
      </c>
      <c r="D275" s="223">
        <f>IF($B275="","",TIME(HOUR('Calendario G'!$F19),MINUTE('Calendario G'!$F19),0))</f>
        <v/>
      </c>
      <c r="E275" s="222">
        <f>IF($B275="","",DATE(YEAR('Calendario G'!$F19),MONTH('Calendario G'!$F19),DAY('Calendario G'!$F19)))</f>
        <v/>
      </c>
      <c r="F275" s="223">
        <f>IF($B275="","",TIME(HOUR('Calendario G'!$F19)+2,MINUTE('Calendario G'!$F19),0))</f>
        <v/>
      </c>
      <c r="G275" s="68">
        <f>IF($B275="","",'Calendario G'!$B20)</f>
        <v/>
      </c>
      <c r="H275" s="68">
        <f>IF($B275="","",Campionato!$D$2&amp;" "&amp;Campionato!$D$6)</f>
        <v/>
      </c>
      <c r="I275" s="68" t="inlineStr"/>
    </row>
    <row r="276">
      <c r="A276" s="68">
        <f>IF($B276="","","BEGIN:VEVENT
DTSTAMP:"&amp;TEXT(NOW(),"yyyymmdd")&amp;"T000001Z
UID:evt275@ClaudeCoworkBaskin
DTSTART;TZID=Europe/Rome:"&amp;TEXT($C276,"yyyymmdd")&amp;"T"&amp;TEXT($D276,"hhmmss")&amp;"
DTEND;TZID=Europe/Rome:"&amp;TEXT($E276,"yyyymmdd")&amp;"T"&amp;TEXT($F276,"hhmmss")&amp;"
SUMMARY:"&amp;$B276&amp;"
LOCATION:"&amp;$G276&amp;"
DESCRIPTION:"&amp;$H276&amp;"
END:VEVENT")</f>
        <v/>
      </c>
      <c r="B276" s="68">
        <f>IF('Calendario G'!$B22="","",'Calendario G'!$B22&amp;" vs "&amp;'Calendario G'!$D22&amp;" "&amp;'Calendario G'!$AC22)</f>
        <v/>
      </c>
      <c r="C276" s="222">
        <f>IF($B276="","",DATE(YEAR('Calendario G'!$F22),MONTH('Calendario G'!$F22),DAY('Calendario G'!$F22)))</f>
        <v/>
      </c>
      <c r="D276" s="223">
        <f>IF($B276="","",TIME(HOUR('Calendario G'!$F22),MINUTE('Calendario G'!$F22),0))</f>
        <v/>
      </c>
      <c r="E276" s="222">
        <f>IF($B276="","",DATE(YEAR('Calendario G'!$F22),MONTH('Calendario G'!$F22),DAY('Calendario G'!$F22)))</f>
        <v/>
      </c>
      <c r="F276" s="223">
        <f>IF($B276="","",TIME(HOUR('Calendario G'!$F22)+2,MINUTE('Calendario G'!$F22),0))</f>
        <v/>
      </c>
      <c r="G276" s="68">
        <f>IF($B276="","",'Calendario G'!$B23)</f>
        <v/>
      </c>
      <c r="H276" s="68">
        <f>IF($B276="","",Campionato!$D$2&amp;" "&amp;Campionato!$D$6)</f>
        <v/>
      </c>
      <c r="I276" s="68" t="inlineStr"/>
    </row>
    <row r="277">
      <c r="A277" s="68">
        <f>IF($B277="","","BEGIN:VEVENT
DTSTAMP:"&amp;TEXT(NOW(),"yyyymmdd")&amp;"T000001Z
UID:evt276@ClaudeCoworkBaskin
DTSTART;TZID=Europe/Rome:"&amp;TEXT($C277,"yyyymmdd")&amp;"T"&amp;TEXT($D277,"hhmmss")&amp;"
DTEND;TZID=Europe/Rome:"&amp;TEXT($E277,"yyyymmdd")&amp;"T"&amp;TEXT($F277,"hhmmss")&amp;"
SUMMARY:"&amp;$B277&amp;"
LOCATION:"&amp;$G277&amp;"
DESCRIPTION:"&amp;$H277&amp;"
END:VEVENT")</f>
        <v/>
      </c>
      <c r="B277" s="68">
        <f>IF('Calendario G'!$B27="","",'Calendario G'!$B27&amp;" vs "&amp;'Calendario G'!$D27&amp;" "&amp;'Calendario G'!$AC27)</f>
        <v/>
      </c>
      <c r="C277" s="222">
        <f>IF($B277="","",DATE(YEAR('Calendario G'!$F27),MONTH('Calendario G'!$F27),DAY('Calendario G'!$F27)))</f>
        <v/>
      </c>
      <c r="D277" s="223">
        <f>IF($B277="","",TIME(HOUR('Calendario G'!$F27),MINUTE('Calendario G'!$F27),0))</f>
        <v/>
      </c>
      <c r="E277" s="222">
        <f>IF($B277="","",DATE(YEAR('Calendario G'!$F27),MONTH('Calendario G'!$F27),DAY('Calendario G'!$F27)))</f>
        <v/>
      </c>
      <c r="F277" s="223">
        <f>IF($B277="","",TIME(HOUR('Calendario G'!$F27)+2,MINUTE('Calendario G'!$F27),0))</f>
        <v/>
      </c>
      <c r="G277" s="68">
        <f>IF($B277="","",'Calendario G'!$B28)</f>
        <v/>
      </c>
      <c r="H277" s="68">
        <f>IF($B277="","",Campionato!$D$2&amp;" "&amp;Campionato!$D$6)</f>
        <v/>
      </c>
      <c r="I277" s="68" t="inlineStr"/>
    </row>
    <row r="278">
      <c r="A278" s="68">
        <f>IF($B278="","","BEGIN:VEVENT
DTSTAMP:"&amp;TEXT(NOW(),"yyyymmdd")&amp;"T000001Z
UID:evt277@ClaudeCoworkBaskin
DTSTART;TZID=Europe/Rome:"&amp;TEXT($C278,"yyyymmdd")&amp;"T"&amp;TEXT($D278,"hhmmss")&amp;"
DTEND;TZID=Europe/Rome:"&amp;TEXT($E278,"yyyymmdd")&amp;"T"&amp;TEXT($F278,"hhmmss")&amp;"
SUMMARY:"&amp;$B278&amp;"
LOCATION:"&amp;$G278&amp;"
DESCRIPTION:"&amp;$H278&amp;"
END:VEVENT")</f>
        <v/>
      </c>
      <c r="B278" s="68">
        <f>IF('Calendario G'!$B30="","",'Calendario G'!$B30&amp;" vs "&amp;'Calendario G'!$D30&amp;" "&amp;'Calendario G'!$AC30)</f>
        <v/>
      </c>
      <c r="C278" s="222">
        <f>IF($B278="","",DATE(YEAR('Calendario G'!$F30),MONTH('Calendario G'!$F30),DAY('Calendario G'!$F30)))</f>
        <v/>
      </c>
      <c r="D278" s="223">
        <f>IF($B278="","",TIME(HOUR('Calendario G'!$F30),MINUTE('Calendario G'!$F30),0))</f>
        <v/>
      </c>
      <c r="E278" s="222">
        <f>IF($B278="","",DATE(YEAR('Calendario G'!$F30),MONTH('Calendario G'!$F30),DAY('Calendario G'!$F30)))</f>
        <v/>
      </c>
      <c r="F278" s="223">
        <f>IF($B278="","",TIME(HOUR('Calendario G'!$F30)+2,MINUTE('Calendario G'!$F30),0))</f>
        <v/>
      </c>
      <c r="G278" s="68">
        <f>IF($B278="","",'Calendario G'!$B31)</f>
        <v/>
      </c>
      <c r="H278" s="68">
        <f>IF($B278="","",Campionato!$D$2&amp;" "&amp;Campionato!$D$6)</f>
        <v/>
      </c>
      <c r="I278" s="68" t="inlineStr"/>
    </row>
    <row r="279">
      <c r="A279" s="68">
        <f>IF($B279="","","BEGIN:VEVENT
DTSTAMP:"&amp;TEXT(NOW(),"yyyymmdd")&amp;"T000001Z
UID:evt278@ClaudeCoworkBaskin
DTSTART;TZID=Europe/Rome:"&amp;TEXT($C279,"yyyymmdd")&amp;"T"&amp;TEXT($D279,"hhmmss")&amp;"
DTEND;TZID=Europe/Rome:"&amp;TEXT($E279,"yyyymmdd")&amp;"T"&amp;TEXT($F279,"hhmmss")&amp;"
SUMMARY:"&amp;$B279&amp;"
LOCATION:"&amp;$G279&amp;"
DESCRIPTION:"&amp;$H279&amp;"
END:VEVENT")</f>
        <v/>
      </c>
      <c r="B279" s="68">
        <f>IF('Calendario G'!$B33="","",'Calendario G'!$B33&amp;" vs "&amp;'Calendario G'!$D33&amp;" "&amp;'Calendario G'!$AC33)</f>
        <v/>
      </c>
      <c r="C279" s="222">
        <f>IF($B279="","",DATE(YEAR('Calendario G'!$F33),MONTH('Calendario G'!$F33),DAY('Calendario G'!$F33)))</f>
        <v/>
      </c>
      <c r="D279" s="223">
        <f>IF($B279="","",TIME(HOUR('Calendario G'!$F33),MINUTE('Calendario G'!$F33),0))</f>
        <v/>
      </c>
      <c r="E279" s="222">
        <f>IF($B279="","",DATE(YEAR('Calendario G'!$F33),MONTH('Calendario G'!$F33),DAY('Calendario G'!$F33)))</f>
        <v/>
      </c>
      <c r="F279" s="223">
        <f>IF($B279="","",TIME(HOUR('Calendario G'!$F33)+2,MINUTE('Calendario G'!$F33),0))</f>
        <v/>
      </c>
      <c r="G279" s="68">
        <f>IF($B279="","",'Calendario G'!$B34)</f>
        <v/>
      </c>
      <c r="H279" s="68">
        <f>IF($B279="","",Campionato!$D$2&amp;" "&amp;Campionato!$D$6)</f>
        <v/>
      </c>
      <c r="I279" s="68" t="inlineStr"/>
    </row>
    <row r="280">
      <c r="A280" s="68">
        <f>IF($B280="","","BEGIN:VEVENT
DTSTAMP:"&amp;TEXT(NOW(),"yyyymmdd")&amp;"T000001Z
UID:evt279@ClaudeCoworkBaskin
DTSTART;TZID=Europe/Rome:"&amp;TEXT($C280,"yyyymmdd")&amp;"T"&amp;TEXT($D280,"hhmmss")&amp;"
DTEND;TZID=Europe/Rome:"&amp;TEXT($E280,"yyyymmdd")&amp;"T"&amp;TEXT($F280,"hhmmss")&amp;"
SUMMARY:"&amp;$B280&amp;"
LOCATION:"&amp;$G280&amp;"
DESCRIPTION:"&amp;$H280&amp;"
END:VEVENT")</f>
        <v/>
      </c>
      <c r="B280" s="68">
        <f>IF('Calendario G'!$B36="","",'Calendario G'!$B36&amp;" vs "&amp;'Calendario G'!$D36&amp;" "&amp;'Calendario G'!$AC36)</f>
        <v/>
      </c>
      <c r="C280" s="222">
        <f>IF($B280="","",DATE(YEAR('Calendario G'!$F36),MONTH('Calendario G'!$F36),DAY('Calendario G'!$F36)))</f>
        <v/>
      </c>
      <c r="D280" s="223">
        <f>IF($B280="","",TIME(HOUR('Calendario G'!$F36),MINUTE('Calendario G'!$F36),0))</f>
        <v/>
      </c>
      <c r="E280" s="222">
        <f>IF($B280="","",DATE(YEAR('Calendario G'!$F36),MONTH('Calendario G'!$F36),DAY('Calendario G'!$F36)))</f>
        <v/>
      </c>
      <c r="F280" s="223">
        <f>IF($B280="","",TIME(HOUR('Calendario G'!$F36)+2,MINUTE('Calendario G'!$F36),0))</f>
        <v/>
      </c>
      <c r="G280" s="68">
        <f>IF($B280="","",'Calendario G'!$B37)</f>
        <v/>
      </c>
      <c r="H280" s="68">
        <f>IF($B280="","",Campionato!$D$2&amp;" "&amp;Campionato!$D$6)</f>
        <v/>
      </c>
      <c r="I280" s="68" t="inlineStr"/>
    </row>
    <row r="281">
      <c r="A281" s="68">
        <f>IF($B281="","","BEGIN:VEVENT
DTSTAMP:"&amp;TEXT(NOW(),"yyyymmdd")&amp;"T000001Z
UID:evt280@ClaudeCoworkBaskin
DTSTART;TZID=Europe/Rome:"&amp;TEXT($C281,"yyyymmdd")&amp;"T"&amp;TEXT($D281,"hhmmss")&amp;"
DTEND;TZID=Europe/Rome:"&amp;TEXT($E281,"yyyymmdd")&amp;"T"&amp;TEXT($F281,"hhmmss")&amp;"
SUMMARY:"&amp;$B281&amp;"
LOCATION:"&amp;$G281&amp;"
DESCRIPTION:"&amp;$H281&amp;"
END:VEVENT")</f>
        <v/>
      </c>
      <c r="B281" s="68">
        <f>IF('Calendario G'!$B39="","",'Calendario G'!$B39&amp;" vs "&amp;'Calendario G'!$D39&amp;" "&amp;'Calendario G'!$AC39)</f>
        <v/>
      </c>
      <c r="C281" s="222">
        <f>IF($B281="","",DATE(YEAR('Calendario G'!$F39),MONTH('Calendario G'!$F39),DAY('Calendario G'!$F39)))</f>
        <v/>
      </c>
      <c r="D281" s="223">
        <f>IF($B281="","",TIME(HOUR('Calendario G'!$F39),MINUTE('Calendario G'!$F39),0))</f>
        <v/>
      </c>
      <c r="E281" s="222">
        <f>IF($B281="","",DATE(YEAR('Calendario G'!$F39),MONTH('Calendario G'!$F39),DAY('Calendario G'!$F39)))</f>
        <v/>
      </c>
      <c r="F281" s="223">
        <f>IF($B281="","",TIME(HOUR('Calendario G'!$F39)+2,MINUTE('Calendario G'!$F39),0))</f>
        <v/>
      </c>
      <c r="G281" s="68">
        <f>IF($B281="","",'Calendario G'!$B40)</f>
        <v/>
      </c>
      <c r="H281" s="68">
        <f>IF($B281="","",Campionato!$D$2&amp;" "&amp;Campionato!$D$6)</f>
        <v/>
      </c>
      <c r="I281" s="68" t="inlineStr"/>
    </row>
    <row r="282">
      <c r="A282" s="68">
        <f>IF($B282="","","BEGIN:VEVENT
DTSTAMP:"&amp;TEXT(NOW(),"yyyymmdd")&amp;"T000001Z
UID:evt281@ClaudeCoworkBaskin
DTSTART;TZID=Europe/Rome:"&amp;TEXT($C282,"yyyymmdd")&amp;"T"&amp;TEXT($D282,"hhmmss")&amp;"
DTEND;TZID=Europe/Rome:"&amp;TEXT($E282,"yyyymmdd")&amp;"T"&amp;TEXT($F282,"hhmmss")&amp;"
SUMMARY:"&amp;$B282&amp;"
LOCATION:"&amp;$G282&amp;"
DESCRIPTION:"&amp;$H282&amp;"
END:VEVENT")</f>
        <v/>
      </c>
      <c r="B282" s="68">
        <f>IF('Calendario G'!$B44="","",'Calendario G'!$B44&amp;" vs "&amp;'Calendario G'!$D44&amp;" "&amp;'Calendario G'!$AC44)</f>
        <v/>
      </c>
      <c r="C282" s="222">
        <f>IF($B282="","",DATE(YEAR('Calendario G'!$F44),MONTH('Calendario G'!$F44),DAY('Calendario G'!$F44)))</f>
        <v/>
      </c>
      <c r="D282" s="223">
        <f>IF($B282="","",TIME(HOUR('Calendario G'!$F44),MINUTE('Calendario G'!$F44),0))</f>
        <v/>
      </c>
      <c r="E282" s="222">
        <f>IF($B282="","",DATE(YEAR('Calendario G'!$F44),MONTH('Calendario G'!$F44),DAY('Calendario G'!$F44)))</f>
        <v/>
      </c>
      <c r="F282" s="223">
        <f>IF($B282="","",TIME(HOUR('Calendario G'!$F44)+2,MINUTE('Calendario G'!$F44),0))</f>
        <v/>
      </c>
      <c r="G282" s="68">
        <f>IF($B282="","",'Calendario G'!$B45)</f>
        <v/>
      </c>
      <c r="H282" s="68">
        <f>IF($B282="","",Campionato!$D$2&amp;" "&amp;Campionato!$D$6)</f>
        <v/>
      </c>
      <c r="I282" s="68" t="inlineStr"/>
    </row>
    <row r="283">
      <c r="A283" s="68">
        <f>IF($B283="","","BEGIN:VEVENT
DTSTAMP:"&amp;TEXT(NOW(),"yyyymmdd")&amp;"T000001Z
UID:evt282@ClaudeCoworkBaskin
DTSTART;TZID=Europe/Rome:"&amp;TEXT($C283,"yyyymmdd")&amp;"T"&amp;TEXT($D283,"hhmmss")&amp;"
DTEND;TZID=Europe/Rome:"&amp;TEXT($E283,"yyyymmdd")&amp;"T"&amp;TEXT($F283,"hhmmss")&amp;"
SUMMARY:"&amp;$B283&amp;"
LOCATION:"&amp;$G283&amp;"
DESCRIPTION:"&amp;$H283&amp;"
END:VEVENT")</f>
        <v/>
      </c>
      <c r="B283" s="68">
        <f>IF('Calendario G'!$B47="","",'Calendario G'!$B47&amp;" vs "&amp;'Calendario G'!$D47&amp;" "&amp;'Calendario G'!$AC47)</f>
        <v/>
      </c>
      <c r="C283" s="222">
        <f>IF($B283="","",DATE(YEAR('Calendario G'!$F47),MONTH('Calendario G'!$F47),DAY('Calendario G'!$F47)))</f>
        <v/>
      </c>
      <c r="D283" s="223">
        <f>IF($B283="","",TIME(HOUR('Calendario G'!$F47),MINUTE('Calendario G'!$F47),0))</f>
        <v/>
      </c>
      <c r="E283" s="222">
        <f>IF($B283="","",DATE(YEAR('Calendario G'!$F47),MONTH('Calendario G'!$F47),DAY('Calendario G'!$F47)))</f>
        <v/>
      </c>
      <c r="F283" s="223">
        <f>IF($B283="","",TIME(HOUR('Calendario G'!$F47)+2,MINUTE('Calendario G'!$F47),0))</f>
        <v/>
      </c>
      <c r="G283" s="68">
        <f>IF($B283="","",'Calendario G'!$B48)</f>
        <v/>
      </c>
      <c r="H283" s="68">
        <f>IF($B283="","",Campionato!$D$2&amp;" "&amp;Campionato!$D$6)</f>
        <v/>
      </c>
      <c r="I283" s="68" t="inlineStr"/>
    </row>
    <row r="284">
      <c r="A284" s="68">
        <f>IF($B284="","","BEGIN:VEVENT
DTSTAMP:"&amp;TEXT(NOW(),"yyyymmdd")&amp;"T000001Z
UID:evt283@ClaudeCoworkBaskin
DTSTART;TZID=Europe/Rome:"&amp;TEXT($C284,"yyyymmdd")&amp;"T"&amp;TEXT($D284,"hhmmss")&amp;"
DTEND;TZID=Europe/Rome:"&amp;TEXT($E284,"yyyymmdd")&amp;"T"&amp;TEXT($F284,"hhmmss")&amp;"
SUMMARY:"&amp;$B284&amp;"
LOCATION:"&amp;$G284&amp;"
DESCRIPTION:"&amp;$H284&amp;"
END:VEVENT")</f>
        <v/>
      </c>
      <c r="B284" s="68">
        <f>IF('Calendario G'!$B50="","",'Calendario G'!$B50&amp;" vs "&amp;'Calendario G'!$D50&amp;" "&amp;'Calendario G'!$AC50)</f>
        <v/>
      </c>
      <c r="C284" s="222">
        <f>IF($B284="","",DATE(YEAR('Calendario G'!$F50),MONTH('Calendario G'!$F50),DAY('Calendario G'!$F50)))</f>
        <v/>
      </c>
      <c r="D284" s="223">
        <f>IF($B284="","",TIME(HOUR('Calendario G'!$F50),MINUTE('Calendario G'!$F50),0))</f>
        <v/>
      </c>
      <c r="E284" s="222">
        <f>IF($B284="","",DATE(YEAR('Calendario G'!$F50),MONTH('Calendario G'!$F50),DAY('Calendario G'!$F50)))</f>
        <v/>
      </c>
      <c r="F284" s="223">
        <f>IF($B284="","",TIME(HOUR('Calendario G'!$F50)+2,MINUTE('Calendario G'!$F50),0))</f>
        <v/>
      </c>
      <c r="G284" s="68">
        <f>IF($B284="","",'Calendario G'!$B51)</f>
        <v/>
      </c>
      <c r="H284" s="68">
        <f>IF($B284="","",Campionato!$D$2&amp;" "&amp;Campionato!$D$6)</f>
        <v/>
      </c>
      <c r="I284" s="68" t="inlineStr"/>
    </row>
    <row r="285">
      <c r="A285" s="68">
        <f>IF($B285="","","BEGIN:VEVENT
DTSTAMP:"&amp;TEXT(NOW(),"yyyymmdd")&amp;"T000001Z
UID:evt284@ClaudeCoworkBaskin
DTSTART;TZID=Europe/Rome:"&amp;TEXT($C285,"yyyymmdd")&amp;"T"&amp;TEXT($D285,"hhmmss")&amp;"
DTEND;TZID=Europe/Rome:"&amp;TEXT($E285,"yyyymmdd")&amp;"T"&amp;TEXT($F285,"hhmmss")&amp;"
SUMMARY:"&amp;$B285&amp;"
LOCATION:"&amp;$G285&amp;"
DESCRIPTION:"&amp;$H285&amp;"
END:VEVENT")</f>
        <v/>
      </c>
      <c r="B285" s="68">
        <f>IF('Calendario G'!$B53="","",'Calendario G'!$B53&amp;" vs "&amp;'Calendario G'!$D53&amp;" "&amp;'Calendario G'!$AC53)</f>
        <v/>
      </c>
      <c r="C285" s="222">
        <f>IF($B285="","",DATE(YEAR('Calendario G'!$F53),MONTH('Calendario G'!$F53),DAY('Calendario G'!$F53)))</f>
        <v/>
      </c>
      <c r="D285" s="223">
        <f>IF($B285="","",TIME(HOUR('Calendario G'!$F53),MINUTE('Calendario G'!$F53),0))</f>
        <v/>
      </c>
      <c r="E285" s="222">
        <f>IF($B285="","",DATE(YEAR('Calendario G'!$F53),MONTH('Calendario G'!$F53),DAY('Calendario G'!$F53)))</f>
        <v/>
      </c>
      <c r="F285" s="223">
        <f>IF($B285="","",TIME(HOUR('Calendario G'!$F53)+2,MINUTE('Calendario G'!$F53),0))</f>
        <v/>
      </c>
      <c r="G285" s="68">
        <f>IF($B285="","",'Calendario G'!$B54)</f>
        <v/>
      </c>
      <c r="H285" s="68">
        <f>IF($B285="","",Campionato!$D$2&amp;" "&amp;Campionato!$D$6)</f>
        <v/>
      </c>
      <c r="I285" s="68" t="inlineStr"/>
    </row>
    <row r="286">
      <c r="A286" s="68">
        <f>IF($B286="","","BEGIN:VEVENT
DTSTAMP:"&amp;TEXT(NOW(),"yyyymmdd")&amp;"T000001Z
UID:evt285@ClaudeCoworkBaskin
DTSTART;TZID=Europe/Rome:"&amp;TEXT($C286,"yyyymmdd")&amp;"T"&amp;TEXT($D286,"hhmmss")&amp;"
DTEND;TZID=Europe/Rome:"&amp;TEXT($E286,"yyyymmdd")&amp;"T"&amp;TEXT($F286,"hhmmss")&amp;"
SUMMARY:"&amp;$B286&amp;"
LOCATION:"&amp;$G286&amp;"
DESCRIPTION:"&amp;$H286&amp;"
END:VEVENT")</f>
        <v/>
      </c>
      <c r="B286" s="68">
        <f>IF('Calendario G'!$B56="","",'Calendario G'!$B56&amp;" vs "&amp;'Calendario G'!$D56&amp;" "&amp;'Calendario G'!$AC56)</f>
        <v/>
      </c>
      <c r="C286" s="222">
        <f>IF($B286="","",DATE(YEAR('Calendario G'!$F56),MONTH('Calendario G'!$F56),DAY('Calendario G'!$F56)))</f>
        <v/>
      </c>
      <c r="D286" s="223">
        <f>IF($B286="","",TIME(HOUR('Calendario G'!$F56),MINUTE('Calendario G'!$F56),0))</f>
        <v/>
      </c>
      <c r="E286" s="222">
        <f>IF($B286="","",DATE(YEAR('Calendario G'!$F56),MONTH('Calendario G'!$F56),DAY('Calendario G'!$F56)))</f>
        <v/>
      </c>
      <c r="F286" s="223">
        <f>IF($B286="","",TIME(HOUR('Calendario G'!$F56)+2,MINUTE('Calendario G'!$F56),0))</f>
        <v/>
      </c>
      <c r="G286" s="68">
        <f>IF($B286="","",'Calendario G'!$B57)</f>
        <v/>
      </c>
      <c r="H286" s="68">
        <f>IF($B286="","",Campionato!$D$2&amp;" "&amp;Campionato!$D$6)</f>
        <v/>
      </c>
      <c r="I286" s="68" t="inlineStr"/>
    </row>
    <row r="287">
      <c r="A287" s="68">
        <f>IF($B287="","","BEGIN:VEVENT
DTSTAMP:"&amp;TEXT(NOW(),"yyyymmdd")&amp;"T000001Z
UID:evt286@ClaudeCoworkBaskin
DTSTART;TZID=Europe/Rome:"&amp;TEXT($C287,"yyyymmdd")&amp;"T"&amp;TEXT($D287,"hhmmss")&amp;"
DTEND;TZID=Europe/Rome:"&amp;TEXT($E287,"yyyymmdd")&amp;"T"&amp;TEXT($F287,"hhmmss")&amp;"
SUMMARY:"&amp;$B287&amp;"
LOCATION:"&amp;$G287&amp;"
DESCRIPTION:"&amp;$H287&amp;"
END:VEVENT")</f>
        <v/>
      </c>
      <c r="B287" s="68">
        <f>IF('Calendario G'!$B61="","",'Calendario G'!$B61&amp;" vs "&amp;'Calendario G'!$D61&amp;" "&amp;'Calendario G'!$AC61)</f>
        <v/>
      </c>
      <c r="C287" s="222">
        <f>IF($B287="","",DATE(YEAR('Calendario G'!$F61),MONTH('Calendario G'!$F61),DAY('Calendario G'!$F61)))</f>
        <v/>
      </c>
      <c r="D287" s="223">
        <f>IF($B287="","",TIME(HOUR('Calendario G'!$F61),MINUTE('Calendario G'!$F61),0))</f>
        <v/>
      </c>
      <c r="E287" s="222">
        <f>IF($B287="","",DATE(YEAR('Calendario G'!$F61),MONTH('Calendario G'!$F61),DAY('Calendario G'!$F61)))</f>
        <v/>
      </c>
      <c r="F287" s="223">
        <f>IF($B287="","",TIME(HOUR('Calendario G'!$F61)+2,MINUTE('Calendario G'!$F61),0))</f>
        <v/>
      </c>
      <c r="G287" s="68">
        <f>IF($B287="","",'Calendario G'!$B62)</f>
        <v/>
      </c>
      <c r="H287" s="68">
        <f>IF($B287="","",Campionato!$D$2&amp;" "&amp;Campionato!$D$6)</f>
        <v/>
      </c>
      <c r="I287" s="68" t="inlineStr"/>
    </row>
    <row r="288">
      <c r="A288" s="68">
        <f>IF($B288="","","BEGIN:VEVENT
DTSTAMP:"&amp;TEXT(NOW(),"yyyymmdd")&amp;"T000001Z
UID:evt287@ClaudeCoworkBaskin
DTSTART;TZID=Europe/Rome:"&amp;TEXT($C288,"yyyymmdd")&amp;"T"&amp;TEXT($D288,"hhmmss")&amp;"
DTEND;TZID=Europe/Rome:"&amp;TEXT($E288,"yyyymmdd")&amp;"T"&amp;TEXT($F288,"hhmmss")&amp;"
SUMMARY:"&amp;$B288&amp;"
LOCATION:"&amp;$G288&amp;"
DESCRIPTION:"&amp;$H288&amp;"
END:VEVENT")</f>
        <v/>
      </c>
      <c r="B288" s="68">
        <f>IF('Calendario G'!$B64="","",'Calendario G'!$B64&amp;" vs "&amp;'Calendario G'!$D64&amp;" "&amp;'Calendario G'!$AC64)</f>
        <v/>
      </c>
      <c r="C288" s="222">
        <f>IF($B288="","",DATE(YEAR('Calendario G'!$F64),MONTH('Calendario G'!$F64),DAY('Calendario G'!$F64)))</f>
        <v/>
      </c>
      <c r="D288" s="223">
        <f>IF($B288="","",TIME(HOUR('Calendario G'!$F64),MINUTE('Calendario G'!$F64),0))</f>
        <v/>
      </c>
      <c r="E288" s="222">
        <f>IF($B288="","",DATE(YEAR('Calendario G'!$F64),MONTH('Calendario G'!$F64),DAY('Calendario G'!$F64)))</f>
        <v/>
      </c>
      <c r="F288" s="223">
        <f>IF($B288="","",TIME(HOUR('Calendario G'!$F64)+2,MINUTE('Calendario G'!$F64),0))</f>
        <v/>
      </c>
      <c r="G288" s="68">
        <f>IF($B288="","",'Calendario G'!$B65)</f>
        <v/>
      </c>
      <c r="H288" s="68">
        <f>IF($B288="","",Campionato!$D$2&amp;" "&amp;Campionato!$D$6)</f>
        <v/>
      </c>
      <c r="I288" s="68" t="inlineStr"/>
    </row>
    <row r="289">
      <c r="A289" s="68">
        <f>IF($B289="","","BEGIN:VEVENT
DTSTAMP:"&amp;TEXT(NOW(),"yyyymmdd")&amp;"T000001Z
UID:evt288@ClaudeCoworkBaskin
DTSTART;TZID=Europe/Rome:"&amp;TEXT($C289,"yyyymmdd")&amp;"T"&amp;TEXT($D289,"hhmmss")&amp;"
DTEND;TZID=Europe/Rome:"&amp;TEXT($E289,"yyyymmdd")&amp;"T"&amp;TEXT($F289,"hhmmss")&amp;"
SUMMARY:"&amp;$B289&amp;"
LOCATION:"&amp;$G289&amp;"
DESCRIPTION:"&amp;$H289&amp;"
END:VEVENT")</f>
        <v/>
      </c>
      <c r="B289" s="68">
        <f>IF('Calendario G'!$B67="","",'Calendario G'!$B67&amp;" vs "&amp;'Calendario G'!$D67&amp;" "&amp;'Calendario G'!$AC67)</f>
        <v/>
      </c>
      <c r="C289" s="222">
        <f>IF($B289="","",DATE(YEAR('Calendario G'!$F67),MONTH('Calendario G'!$F67),DAY('Calendario G'!$F67)))</f>
        <v/>
      </c>
      <c r="D289" s="223">
        <f>IF($B289="","",TIME(HOUR('Calendario G'!$F67),MINUTE('Calendario G'!$F67),0))</f>
        <v/>
      </c>
      <c r="E289" s="222">
        <f>IF($B289="","",DATE(YEAR('Calendario G'!$F67),MONTH('Calendario G'!$F67),DAY('Calendario G'!$F67)))</f>
        <v/>
      </c>
      <c r="F289" s="223">
        <f>IF($B289="","",TIME(HOUR('Calendario G'!$F67)+2,MINUTE('Calendario G'!$F67),0))</f>
        <v/>
      </c>
      <c r="G289" s="68">
        <f>IF($B289="","",'Calendario G'!$B68)</f>
        <v/>
      </c>
      <c r="H289" s="68">
        <f>IF($B289="","",Campionato!$D$2&amp;" "&amp;Campionato!$D$6)</f>
        <v/>
      </c>
      <c r="I289" s="68" t="inlineStr"/>
    </row>
    <row r="290">
      <c r="A290" s="68">
        <f>IF($B290="","","BEGIN:VEVENT
DTSTAMP:"&amp;TEXT(NOW(),"yyyymmdd")&amp;"T000001Z
UID:evt289@ClaudeCoworkBaskin
DTSTART;TZID=Europe/Rome:"&amp;TEXT($C290,"yyyymmdd")&amp;"T"&amp;TEXT($D290,"hhmmss")&amp;"
DTEND;TZID=Europe/Rome:"&amp;TEXT($E290,"yyyymmdd")&amp;"T"&amp;TEXT($F290,"hhmmss")&amp;"
SUMMARY:"&amp;$B290&amp;"
LOCATION:"&amp;$G290&amp;"
DESCRIPTION:"&amp;$H290&amp;"
END:VEVENT")</f>
        <v/>
      </c>
      <c r="B290" s="68">
        <f>IF('Calendario G'!$B70="","",'Calendario G'!$B70&amp;" vs "&amp;'Calendario G'!$D70&amp;" "&amp;'Calendario G'!$AC70)</f>
        <v/>
      </c>
      <c r="C290" s="222">
        <f>IF($B290="","",DATE(YEAR('Calendario G'!$F70),MONTH('Calendario G'!$F70),DAY('Calendario G'!$F70)))</f>
        <v/>
      </c>
      <c r="D290" s="223">
        <f>IF($B290="","",TIME(HOUR('Calendario G'!$F70),MINUTE('Calendario G'!$F70),0))</f>
        <v/>
      </c>
      <c r="E290" s="222">
        <f>IF($B290="","",DATE(YEAR('Calendario G'!$F70),MONTH('Calendario G'!$F70),DAY('Calendario G'!$F70)))</f>
        <v/>
      </c>
      <c r="F290" s="223">
        <f>IF($B290="","",TIME(HOUR('Calendario G'!$F70)+2,MINUTE('Calendario G'!$F70),0))</f>
        <v/>
      </c>
      <c r="G290" s="68">
        <f>IF($B290="","",'Calendario G'!$B71)</f>
        <v/>
      </c>
      <c r="H290" s="68">
        <f>IF($B290="","",Campionato!$D$2&amp;" "&amp;Campionato!$D$6)</f>
        <v/>
      </c>
      <c r="I290" s="68" t="inlineStr"/>
    </row>
    <row r="291">
      <c r="A291" s="68">
        <f>IF($B291="","","BEGIN:VEVENT
DTSTAMP:"&amp;TEXT(NOW(),"yyyymmdd")&amp;"T000001Z
UID:evt290@ClaudeCoworkBaskin
DTSTART;TZID=Europe/Rome:"&amp;TEXT($C291,"yyyymmdd")&amp;"T"&amp;TEXT($D291,"hhmmss")&amp;"
DTEND;TZID=Europe/Rome:"&amp;TEXT($E291,"yyyymmdd")&amp;"T"&amp;TEXT($F291,"hhmmss")&amp;"
SUMMARY:"&amp;$B291&amp;"
LOCATION:"&amp;$G291&amp;"
DESCRIPTION:"&amp;$H291&amp;"
END:VEVENT")</f>
        <v/>
      </c>
      <c r="B291" s="68">
        <f>IF('Calendario G'!$B73="","",'Calendario G'!$B73&amp;" vs "&amp;'Calendario G'!$D73&amp;" "&amp;'Calendario G'!$AC73)</f>
        <v/>
      </c>
      <c r="C291" s="222">
        <f>IF($B291="","",DATE(YEAR('Calendario G'!$F73),MONTH('Calendario G'!$F73),DAY('Calendario G'!$F73)))</f>
        <v/>
      </c>
      <c r="D291" s="223">
        <f>IF($B291="","",TIME(HOUR('Calendario G'!$F73),MINUTE('Calendario G'!$F73),0))</f>
        <v/>
      </c>
      <c r="E291" s="222">
        <f>IF($B291="","",DATE(YEAR('Calendario G'!$F73),MONTH('Calendario G'!$F73),DAY('Calendario G'!$F73)))</f>
        <v/>
      </c>
      <c r="F291" s="223">
        <f>IF($B291="","",TIME(HOUR('Calendario G'!$F73)+2,MINUTE('Calendario G'!$F73),0))</f>
        <v/>
      </c>
      <c r="G291" s="68">
        <f>IF($B291="","",'Calendario G'!$B74)</f>
        <v/>
      </c>
      <c r="H291" s="68">
        <f>IF($B291="","",Campionato!$D$2&amp;" "&amp;Campionato!$D$6)</f>
        <v/>
      </c>
      <c r="I291" s="68" t="inlineStr"/>
    </row>
    <row r="292">
      <c r="A292" s="68">
        <f>IF($B292="","","BEGIN:VEVENT
DTSTAMP:"&amp;TEXT(NOW(),"yyyymmdd")&amp;"T000001Z
UID:evt291@ClaudeCoworkBaskin
DTSTART;TZID=Europe/Rome:"&amp;TEXT($C292,"yyyymmdd")&amp;"T"&amp;TEXT($D292,"hhmmss")&amp;"
DTEND;TZID=Europe/Rome:"&amp;TEXT($E292,"yyyymmdd")&amp;"T"&amp;TEXT($F292,"hhmmss")&amp;"
SUMMARY:"&amp;$B292&amp;"
LOCATION:"&amp;$G292&amp;"
DESCRIPTION:"&amp;$H292&amp;"
END:VEVENT")</f>
        <v/>
      </c>
      <c r="B292" s="68">
        <f>IF('Calendario G'!$B78="","",'Calendario G'!$B78&amp;" vs "&amp;'Calendario G'!$D78&amp;" "&amp;'Calendario G'!$AC78)</f>
        <v/>
      </c>
      <c r="C292" s="222">
        <f>IF($B292="","",DATE(YEAR('Calendario G'!$F78),MONTH('Calendario G'!$F78),DAY('Calendario G'!$F78)))</f>
        <v/>
      </c>
      <c r="D292" s="223">
        <f>IF($B292="","",TIME(HOUR('Calendario G'!$F78),MINUTE('Calendario G'!$F78),0))</f>
        <v/>
      </c>
      <c r="E292" s="222">
        <f>IF($B292="","",DATE(YEAR('Calendario G'!$F78),MONTH('Calendario G'!$F78),DAY('Calendario G'!$F78)))</f>
        <v/>
      </c>
      <c r="F292" s="223">
        <f>IF($B292="","",TIME(HOUR('Calendario G'!$F78)+2,MINUTE('Calendario G'!$F78),0))</f>
        <v/>
      </c>
      <c r="G292" s="68">
        <f>IF($B292="","",'Calendario G'!$B79)</f>
        <v/>
      </c>
      <c r="H292" s="68">
        <f>IF($B292="","",Campionato!$D$2&amp;" "&amp;Campionato!$D$6)</f>
        <v/>
      </c>
      <c r="I292" s="68" t="inlineStr"/>
    </row>
    <row r="293">
      <c r="A293" s="68">
        <f>IF($B293="","","BEGIN:VEVENT
DTSTAMP:"&amp;TEXT(NOW(),"yyyymmdd")&amp;"T000001Z
UID:evt292@ClaudeCoworkBaskin
DTSTART;TZID=Europe/Rome:"&amp;TEXT($C293,"yyyymmdd")&amp;"T"&amp;TEXT($D293,"hhmmss")&amp;"
DTEND;TZID=Europe/Rome:"&amp;TEXT($E293,"yyyymmdd")&amp;"T"&amp;TEXT($F293,"hhmmss")&amp;"
SUMMARY:"&amp;$B293&amp;"
LOCATION:"&amp;$G293&amp;"
DESCRIPTION:"&amp;$H293&amp;"
END:VEVENT")</f>
        <v/>
      </c>
      <c r="B293" s="68">
        <f>IF('Calendario G'!$B81="","",'Calendario G'!$B81&amp;" vs "&amp;'Calendario G'!$D81&amp;" "&amp;'Calendario G'!$AC81)</f>
        <v/>
      </c>
      <c r="C293" s="222">
        <f>IF($B293="","",DATE(YEAR('Calendario G'!$F81),MONTH('Calendario G'!$F81),DAY('Calendario G'!$F81)))</f>
        <v/>
      </c>
      <c r="D293" s="223">
        <f>IF($B293="","",TIME(HOUR('Calendario G'!$F81),MINUTE('Calendario G'!$F81),0))</f>
        <v/>
      </c>
      <c r="E293" s="222">
        <f>IF($B293="","",DATE(YEAR('Calendario G'!$F81),MONTH('Calendario G'!$F81),DAY('Calendario G'!$F81)))</f>
        <v/>
      </c>
      <c r="F293" s="223">
        <f>IF($B293="","",TIME(HOUR('Calendario G'!$F81)+2,MINUTE('Calendario G'!$F81),0))</f>
        <v/>
      </c>
      <c r="G293" s="68">
        <f>IF($B293="","",'Calendario G'!$B82)</f>
        <v/>
      </c>
      <c r="H293" s="68">
        <f>IF($B293="","",Campionato!$D$2&amp;" "&amp;Campionato!$D$6)</f>
        <v/>
      </c>
      <c r="I293" s="68" t="inlineStr"/>
    </row>
    <row r="294">
      <c r="A294" s="68">
        <f>IF($B294="","","BEGIN:VEVENT
DTSTAMP:"&amp;TEXT(NOW(),"yyyymmdd")&amp;"T000001Z
UID:evt293@ClaudeCoworkBaskin
DTSTART;TZID=Europe/Rome:"&amp;TEXT($C294,"yyyymmdd")&amp;"T"&amp;TEXT($D294,"hhmmss")&amp;"
DTEND;TZID=Europe/Rome:"&amp;TEXT($E294,"yyyymmdd")&amp;"T"&amp;TEXT($F294,"hhmmss")&amp;"
SUMMARY:"&amp;$B294&amp;"
LOCATION:"&amp;$G294&amp;"
DESCRIPTION:"&amp;$H294&amp;"
END:VEVENT")</f>
        <v/>
      </c>
      <c r="B294" s="68">
        <f>IF('Calendario G'!$B84="","",'Calendario G'!$B84&amp;" vs "&amp;'Calendario G'!$D84&amp;" "&amp;'Calendario G'!$AC84)</f>
        <v/>
      </c>
      <c r="C294" s="222">
        <f>IF($B294="","",DATE(YEAR('Calendario G'!$F84),MONTH('Calendario G'!$F84),DAY('Calendario G'!$F84)))</f>
        <v/>
      </c>
      <c r="D294" s="223">
        <f>IF($B294="","",TIME(HOUR('Calendario G'!$F84),MINUTE('Calendario G'!$F84),0))</f>
        <v/>
      </c>
      <c r="E294" s="222">
        <f>IF($B294="","",DATE(YEAR('Calendario G'!$F84),MONTH('Calendario G'!$F84),DAY('Calendario G'!$F84)))</f>
        <v/>
      </c>
      <c r="F294" s="223">
        <f>IF($B294="","",TIME(HOUR('Calendario G'!$F84)+2,MINUTE('Calendario G'!$F84),0))</f>
        <v/>
      </c>
      <c r="G294" s="68">
        <f>IF($B294="","",'Calendario G'!$B85)</f>
        <v/>
      </c>
      <c r="H294" s="68">
        <f>IF($B294="","",Campionato!$D$2&amp;" "&amp;Campionato!$D$6)</f>
        <v/>
      </c>
      <c r="I294" s="68" t="inlineStr"/>
    </row>
    <row r="295">
      <c r="A295" s="68">
        <f>IF($B295="","","BEGIN:VEVENT
DTSTAMP:"&amp;TEXT(NOW(),"yyyymmdd")&amp;"T000001Z
UID:evt294@ClaudeCoworkBaskin
DTSTART;TZID=Europe/Rome:"&amp;TEXT($C295,"yyyymmdd")&amp;"T"&amp;TEXT($D295,"hhmmss")&amp;"
DTEND;TZID=Europe/Rome:"&amp;TEXT($E295,"yyyymmdd")&amp;"T"&amp;TEXT($F295,"hhmmss")&amp;"
SUMMARY:"&amp;$B295&amp;"
LOCATION:"&amp;$G295&amp;"
DESCRIPTION:"&amp;$H295&amp;"
END:VEVENT")</f>
        <v/>
      </c>
      <c r="B295" s="68">
        <f>IF('Calendario G'!$B87="","",'Calendario G'!$B87&amp;" vs "&amp;'Calendario G'!$D87&amp;" "&amp;'Calendario G'!$AC87)</f>
        <v/>
      </c>
      <c r="C295" s="222">
        <f>IF($B295="","",DATE(YEAR('Calendario G'!$F87),MONTH('Calendario G'!$F87),DAY('Calendario G'!$F87)))</f>
        <v/>
      </c>
      <c r="D295" s="223">
        <f>IF($B295="","",TIME(HOUR('Calendario G'!$F87),MINUTE('Calendario G'!$F87),0))</f>
        <v/>
      </c>
      <c r="E295" s="222">
        <f>IF($B295="","",DATE(YEAR('Calendario G'!$F87),MONTH('Calendario G'!$F87),DAY('Calendario G'!$F87)))</f>
        <v/>
      </c>
      <c r="F295" s="223">
        <f>IF($B295="","",TIME(HOUR('Calendario G'!$F87)+2,MINUTE('Calendario G'!$F87),0))</f>
        <v/>
      </c>
      <c r="G295" s="68">
        <f>IF($B295="","",'Calendario G'!$B88)</f>
        <v/>
      </c>
      <c r="H295" s="68">
        <f>IF($B295="","",Campionato!$D$2&amp;" "&amp;Campionato!$D$6)</f>
        <v/>
      </c>
      <c r="I295" s="68" t="inlineStr"/>
    </row>
    <row r="296">
      <c r="A296" s="68">
        <f>IF($B296="","","BEGIN:VEVENT
DTSTAMP:"&amp;TEXT(NOW(),"yyyymmdd")&amp;"T000001Z
UID:evt295@ClaudeCoworkBaskin
DTSTART;TZID=Europe/Rome:"&amp;TEXT($C296,"yyyymmdd")&amp;"T"&amp;TEXT($D296,"hhmmss")&amp;"
DTEND;TZID=Europe/Rome:"&amp;TEXT($E296,"yyyymmdd")&amp;"T"&amp;TEXT($F296,"hhmmss")&amp;"
SUMMARY:"&amp;$B296&amp;"
LOCATION:"&amp;$G296&amp;"
DESCRIPTION:"&amp;$H296&amp;"
END:VEVENT")</f>
        <v/>
      </c>
      <c r="B296" s="68">
        <f>IF('Calendario G'!$B90="","",'Calendario G'!$B90&amp;" vs "&amp;'Calendario G'!$D90&amp;" "&amp;'Calendario G'!$AC90)</f>
        <v/>
      </c>
      <c r="C296" s="222">
        <f>IF($B296="","",DATE(YEAR('Calendario G'!$F90),MONTH('Calendario G'!$F90),DAY('Calendario G'!$F90)))</f>
        <v/>
      </c>
      <c r="D296" s="223">
        <f>IF($B296="","",TIME(HOUR('Calendario G'!$F90),MINUTE('Calendario G'!$F90),0))</f>
        <v/>
      </c>
      <c r="E296" s="222">
        <f>IF($B296="","",DATE(YEAR('Calendario G'!$F90),MONTH('Calendario G'!$F90),DAY('Calendario G'!$F90)))</f>
        <v/>
      </c>
      <c r="F296" s="223">
        <f>IF($B296="","",TIME(HOUR('Calendario G'!$F90)+2,MINUTE('Calendario G'!$F90),0))</f>
        <v/>
      </c>
      <c r="G296" s="68">
        <f>IF($B296="","",'Calendario G'!$B91)</f>
        <v/>
      </c>
      <c r="H296" s="68">
        <f>IF($B296="","",Campionato!$D$2&amp;" "&amp;Campionato!$D$6)</f>
        <v/>
      </c>
      <c r="I296" s="68" t="inlineStr"/>
    </row>
    <row r="297">
      <c r="A297" s="68">
        <f>IF($B297="","","BEGIN:VEVENT
DTSTAMP:"&amp;TEXT(NOW(),"yyyymmdd")&amp;"T000001Z
UID:evt296@ClaudeCoworkBaskin
DTSTART;TZID=Europe/Rome:"&amp;TEXT($C297,"yyyymmdd")&amp;"T"&amp;TEXT($D297,"hhmmss")&amp;"
DTEND;TZID=Europe/Rome:"&amp;TEXT($E297,"yyyymmdd")&amp;"T"&amp;TEXT($F297,"hhmmss")&amp;"
SUMMARY:"&amp;$B297&amp;"
LOCATION:"&amp;$G297&amp;"
DESCRIPTION:"&amp;$H297&amp;"
END:VEVENT")</f>
        <v/>
      </c>
      <c r="B297" s="68">
        <f>IF('Calendario G'!$B95="","",'Calendario G'!$B95&amp;" vs "&amp;'Calendario G'!$D95&amp;" "&amp;'Calendario G'!$AC95)</f>
        <v/>
      </c>
      <c r="C297" s="222">
        <f>IF($B297="","",DATE(YEAR('Calendario G'!$F95),MONTH('Calendario G'!$F95),DAY('Calendario G'!$F95)))</f>
        <v/>
      </c>
      <c r="D297" s="223">
        <f>IF($B297="","",TIME(HOUR('Calendario G'!$F95),MINUTE('Calendario G'!$F95),0))</f>
        <v/>
      </c>
      <c r="E297" s="222">
        <f>IF($B297="","",DATE(YEAR('Calendario G'!$F95),MONTH('Calendario G'!$F95),DAY('Calendario G'!$F95)))</f>
        <v/>
      </c>
      <c r="F297" s="223">
        <f>IF($B297="","",TIME(HOUR('Calendario G'!$F95)+2,MINUTE('Calendario G'!$F95),0))</f>
        <v/>
      </c>
      <c r="G297" s="68">
        <f>IF($B297="","",'Calendario G'!$B96)</f>
        <v/>
      </c>
      <c r="H297" s="68">
        <f>IF($B297="","",Campionato!$D$2&amp;" "&amp;Campionato!$D$6)</f>
        <v/>
      </c>
      <c r="I297" s="68" t="inlineStr"/>
    </row>
    <row r="298">
      <c r="A298" s="68">
        <f>IF($B298="","","BEGIN:VEVENT
DTSTAMP:"&amp;TEXT(NOW(),"yyyymmdd")&amp;"T000001Z
UID:evt297@ClaudeCoworkBaskin
DTSTART;TZID=Europe/Rome:"&amp;TEXT($C298,"yyyymmdd")&amp;"T"&amp;TEXT($D298,"hhmmss")&amp;"
DTEND;TZID=Europe/Rome:"&amp;TEXT($E298,"yyyymmdd")&amp;"T"&amp;TEXT($F298,"hhmmss")&amp;"
SUMMARY:"&amp;$B298&amp;"
LOCATION:"&amp;$G298&amp;"
DESCRIPTION:"&amp;$H298&amp;"
END:VEVENT")</f>
        <v/>
      </c>
      <c r="B298" s="68">
        <f>IF('Calendario G'!$B98="","",'Calendario G'!$B98&amp;" vs "&amp;'Calendario G'!$D98&amp;" "&amp;'Calendario G'!$AC98)</f>
        <v/>
      </c>
      <c r="C298" s="222">
        <f>IF($B298="","",DATE(YEAR('Calendario G'!$F98),MONTH('Calendario G'!$F98),DAY('Calendario G'!$F98)))</f>
        <v/>
      </c>
      <c r="D298" s="223">
        <f>IF($B298="","",TIME(HOUR('Calendario G'!$F98),MINUTE('Calendario G'!$F98),0))</f>
        <v/>
      </c>
      <c r="E298" s="222">
        <f>IF($B298="","",DATE(YEAR('Calendario G'!$F98),MONTH('Calendario G'!$F98),DAY('Calendario G'!$F98)))</f>
        <v/>
      </c>
      <c r="F298" s="223">
        <f>IF($B298="","",TIME(HOUR('Calendario G'!$F98)+2,MINUTE('Calendario G'!$F98),0))</f>
        <v/>
      </c>
      <c r="G298" s="68">
        <f>IF($B298="","",'Calendario G'!$B99)</f>
        <v/>
      </c>
      <c r="H298" s="68">
        <f>IF($B298="","",Campionato!$D$2&amp;" "&amp;Campionato!$D$6)</f>
        <v/>
      </c>
      <c r="I298" s="68" t="inlineStr"/>
    </row>
    <row r="299">
      <c r="A299" s="68">
        <f>IF($B299="","","BEGIN:VEVENT
DTSTAMP:"&amp;TEXT(NOW(),"yyyymmdd")&amp;"T000001Z
UID:evt298@ClaudeCoworkBaskin
DTSTART;TZID=Europe/Rome:"&amp;TEXT($C299,"yyyymmdd")&amp;"T"&amp;TEXT($D299,"hhmmss")&amp;"
DTEND;TZID=Europe/Rome:"&amp;TEXT($E299,"yyyymmdd")&amp;"T"&amp;TEXT($F299,"hhmmss")&amp;"
SUMMARY:"&amp;$B299&amp;"
LOCATION:"&amp;$G299&amp;"
DESCRIPTION:"&amp;$H299&amp;"
END:VEVENT")</f>
        <v/>
      </c>
      <c r="B299" s="68">
        <f>IF('Calendario G'!$B101="","",'Calendario G'!$B101&amp;" vs "&amp;'Calendario G'!$D101&amp;" "&amp;'Calendario G'!$AC101)</f>
        <v/>
      </c>
      <c r="C299" s="222">
        <f>IF($B299="","",DATE(YEAR('Calendario G'!$F101),MONTH('Calendario G'!$F101),DAY('Calendario G'!$F101)))</f>
        <v/>
      </c>
      <c r="D299" s="223">
        <f>IF($B299="","",TIME(HOUR('Calendario G'!$F101),MINUTE('Calendario G'!$F101),0))</f>
        <v/>
      </c>
      <c r="E299" s="222">
        <f>IF($B299="","",DATE(YEAR('Calendario G'!$F101),MONTH('Calendario G'!$F101),DAY('Calendario G'!$F101)))</f>
        <v/>
      </c>
      <c r="F299" s="223">
        <f>IF($B299="","",TIME(HOUR('Calendario G'!$F101)+2,MINUTE('Calendario G'!$F101),0))</f>
        <v/>
      </c>
      <c r="G299" s="68">
        <f>IF($B299="","",'Calendario G'!$B102)</f>
        <v/>
      </c>
      <c r="H299" s="68">
        <f>IF($B299="","",Campionato!$D$2&amp;" "&amp;Campionato!$D$6)</f>
        <v/>
      </c>
      <c r="I299" s="68" t="inlineStr"/>
    </row>
    <row r="300">
      <c r="A300" s="68">
        <f>IF($B300="","","BEGIN:VEVENT
DTSTAMP:"&amp;TEXT(NOW(),"yyyymmdd")&amp;"T000001Z
UID:evt299@ClaudeCoworkBaskin
DTSTART;TZID=Europe/Rome:"&amp;TEXT($C300,"yyyymmdd")&amp;"T"&amp;TEXT($D300,"hhmmss")&amp;"
DTEND;TZID=Europe/Rome:"&amp;TEXT($E300,"yyyymmdd")&amp;"T"&amp;TEXT($F300,"hhmmss")&amp;"
SUMMARY:"&amp;$B300&amp;"
LOCATION:"&amp;$G300&amp;"
DESCRIPTION:"&amp;$H300&amp;"
END:VEVENT")</f>
        <v/>
      </c>
      <c r="B300" s="68">
        <f>IF('Calendario G'!$B104="","",'Calendario G'!$B104&amp;" vs "&amp;'Calendario G'!$D104&amp;" "&amp;'Calendario G'!$AC104)</f>
        <v/>
      </c>
      <c r="C300" s="222">
        <f>IF($B300="","",DATE(YEAR('Calendario G'!$F104),MONTH('Calendario G'!$F104),DAY('Calendario G'!$F104)))</f>
        <v/>
      </c>
      <c r="D300" s="223">
        <f>IF($B300="","",TIME(HOUR('Calendario G'!$F104),MINUTE('Calendario G'!$F104),0))</f>
        <v/>
      </c>
      <c r="E300" s="222">
        <f>IF($B300="","",DATE(YEAR('Calendario G'!$F104),MONTH('Calendario G'!$F104),DAY('Calendario G'!$F104)))</f>
        <v/>
      </c>
      <c r="F300" s="223">
        <f>IF($B300="","",TIME(HOUR('Calendario G'!$F104)+2,MINUTE('Calendario G'!$F104),0))</f>
        <v/>
      </c>
      <c r="G300" s="68">
        <f>IF($B300="","",'Calendario G'!$B105)</f>
        <v/>
      </c>
      <c r="H300" s="68">
        <f>IF($B300="","",Campionato!$D$2&amp;" "&amp;Campionato!$D$6)</f>
        <v/>
      </c>
      <c r="I300" s="68" t="inlineStr"/>
    </row>
    <row r="301">
      <c r="A301" s="68">
        <f>IF($B301="","","BEGIN:VEVENT
DTSTAMP:"&amp;TEXT(NOW(),"yyyymmdd")&amp;"T000001Z
UID:evt300@ClaudeCoworkBaskin
DTSTART;TZID=Europe/Rome:"&amp;TEXT($C301,"yyyymmdd")&amp;"T"&amp;TEXT($D301,"hhmmss")&amp;"
DTEND;TZID=Europe/Rome:"&amp;TEXT($E301,"yyyymmdd")&amp;"T"&amp;TEXT($F301,"hhmmss")&amp;"
SUMMARY:"&amp;$B301&amp;"
LOCATION:"&amp;$G301&amp;"
DESCRIPTION:"&amp;$H301&amp;"
END:VEVENT")</f>
        <v/>
      </c>
      <c r="B301" s="68">
        <f>IF('Calendario G'!$B107="","",'Calendario G'!$B107&amp;" vs "&amp;'Calendario G'!$D107&amp;" "&amp;'Calendario G'!$AC107)</f>
        <v/>
      </c>
      <c r="C301" s="222">
        <f>IF($B301="","",DATE(YEAR('Calendario G'!$F107),MONTH('Calendario G'!$F107),DAY('Calendario G'!$F107)))</f>
        <v/>
      </c>
      <c r="D301" s="223">
        <f>IF($B301="","",TIME(HOUR('Calendario G'!$F107),MINUTE('Calendario G'!$F107),0))</f>
        <v/>
      </c>
      <c r="E301" s="222">
        <f>IF($B301="","",DATE(YEAR('Calendario G'!$F107),MONTH('Calendario G'!$F107),DAY('Calendario G'!$F107)))</f>
        <v/>
      </c>
      <c r="F301" s="223">
        <f>IF($B301="","",TIME(HOUR('Calendario G'!$F107)+2,MINUTE('Calendario G'!$F107),0))</f>
        <v/>
      </c>
      <c r="G301" s="68">
        <f>IF($B301="","",'Calendario G'!$B108)</f>
        <v/>
      </c>
      <c r="H301" s="68">
        <f>IF($B301="","",Campionato!$D$2&amp;" "&amp;Campionato!$D$6)</f>
        <v/>
      </c>
      <c r="I301" s="68" t="inlineStr"/>
    </row>
    <row r="302">
      <c r="A302" s="68">
        <f>IF($B302="","","BEGIN:VEVENT
DTSTAMP:"&amp;TEXT(NOW(),"yyyymmdd")&amp;"T000001Z
UID:evt301@ClaudeCoworkBaskin
DTSTART;TZID=Europe/Rome:"&amp;TEXT($C302,"yyyymmdd")&amp;"T"&amp;TEXT($D302,"hhmmss")&amp;"
DTEND;TZID=Europe/Rome:"&amp;TEXT($E302,"yyyymmdd")&amp;"T"&amp;TEXT($F302,"hhmmss")&amp;"
SUMMARY:"&amp;$B302&amp;"
LOCATION:"&amp;$G302&amp;"
DESCRIPTION:"&amp;$H302&amp;"
END:VEVENT")</f>
        <v/>
      </c>
      <c r="B302" s="68">
        <f>IF('Calendario G'!$B112="","",'Calendario G'!$B112&amp;" vs "&amp;'Calendario G'!$D112&amp;" "&amp;'Calendario G'!$AC112)</f>
        <v/>
      </c>
      <c r="C302" s="222">
        <f>IF($B302="","",DATE(YEAR('Calendario G'!$F112),MONTH('Calendario G'!$F112),DAY('Calendario G'!$F112)))</f>
        <v/>
      </c>
      <c r="D302" s="223">
        <f>IF($B302="","",TIME(HOUR('Calendario G'!$F112),MINUTE('Calendario G'!$F112),0))</f>
        <v/>
      </c>
      <c r="E302" s="222">
        <f>IF($B302="","",DATE(YEAR('Calendario G'!$F112),MONTH('Calendario G'!$F112),DAY('Calendario G'!$F112)))</f>
        <v/>
      </c>
      <c r="F302" s="223">
        <f>IF($B302="","",TIME(HOUR('Calendario G'!$F112)+2,MINUTE('Calendario G'!$F112),0))</f>
        <v/>
      </c>
      <c r="G302" s="68">
        <f>IF($B302="","",'Calendario G'!$B113)</f>
        <v/>
      </c>
      <c r="H302" s="68">
        <f>IF($B302="","",Campionato!$D$2&amp;" "&amp;Campionato!$D$6)</f>
        <v/>
      </c>
      <c r="I302" s="68" t="inlineStr"/>
    </row>
    <row r="303">
      <c r="A303" s="68">
        <f>IF($B303="","","BEGIN:VEVENT
DTSTAMP:"&amp;TEXT(NOW(),"yyyymmdd")&amp;"T000001Z
UID:evt302@ClaudeCoworkBaskin
DTSTART;TZID=Europe/Rome:"&amp;TEXT($C303,"yyyymmdd")&amp;"T"&amp;TEXT($D303,"hhmmss")&amp;"
DTEND;TZID=Europe/Rome:"&amp;TEXT($E303,"yyyymmdd")&amp;"T"&amp;TEXT($F303,"hhmmss")&amp;"
SUMMARY:"&amp;$B303&amp;"
LOCATION:"&amp;$G303&amp;"
DESCRIPTION:"&amp;$H303&amp;"
END:VEVENT")</f>
        <v/>
      </c>
      <c r="B303" s="68">
        <f>IF('Calendario G'!$B115="","",'Calendario G'!$B115&amp;" vs "&amp;'Calendario G'!$D115&amp;" "&amp;'Calendario G'!$AC115)</f>
        <v/>
      </c>
      <c r="C303" s="222">
        <f>IF($B303="","",DATE(YEAR('Calendario G'!$F115),MONTH('Calendario G'!$F115),DAY('Calendario G'!$F115)))</f>
        <v/>
      </c>
      <c r="D303" s="223">
        <f>IF($B303="","",TIME(HOUR('Calendario G'!$F115),MINUTE('Calendario G'!$F115),0))</f>
        <v/>
      </c>
      <c r="E303" s="222">
        <f>IF($B303="","",DATE(YEAR('Calendario G'!$F115),MONTH('Calendario G'!$F115),DAY('Calendario G'!$F115)))</f>
        <v/>
      </c>
      <c r="F303" s="223">
        <f>IF($B303="","",TIME(HOUR('Calendario G'!$F115)+2,MINUTE('Calendario G'!$F115),0))</f>
        <v/>
      </c>
      <c r="G303" s="68">
        <f>IF($B303="","",'Calendario G'!$B116)</f>
        <v/>
      </c>
      <c r="H303" s="68">
        <f>IF($B303="","",Campionato!$D$2&amp;" "&amp;Campionato!$D$6)</f>
        <v/>
      </c>
      <c r="I303" s="68" t="inlineStr"/>
    </row>
    <row r="304">
      <c r="A304" s="68">
        <f>IF($B304="","","BEGIN:VEVENT
DTSTAMP:"&amp;TEXT(NOW(),"yyyymmdd")&amp;"T000001Z
UID:evt303@ClaudeCoworkBaskin
DTSTART;TZID=Europe/Rome:"&amp;TEXT($C304,"yyyymmdd")&amp;"T"&amp;TEXT($D304,"hhmmss")&amp;"
DTEND;TZID=Europe/Rome:"&amp;TEXT($E304,"yyyymmdd")&amp;"T"&amp;TEXT($F304,"hhmmss")&amp;"
SUMMARY:"&amp;$B304&amp;"
LOCATION:"&amp;$G304&amp;"
DESCRIPTION:"&amp;$H304&amp;"
END:VEVENT")</f>
        <v/>
      </c>
      <c r="B304" s="68">
        <f>IF('Calendario G'!$B118="","",'Calendario G'!$B118&amp;" vs "&amp;'Calendario G'!$D118&amp;" "&amp;'Calendario G'!$AC118)</f>
        <v/>
      </c>
      <c r="C304" s="222">
        <f>IF($B304="","",DATE(YEAR('Calendario G'!$F118),MONTH('Calendario G'!$F118),DAY('Calendario G'!$F118)))</f>
        <v/>
      </c>
      <c r="D304" s="223">
        <f>IF($B304="","",TIME(HOUR('Calendario G'!$F118),MINUTE('Calendario G'!$F118),0))</f>
        <v/>
      </c>
      <c r="E304" s="222">
        <f>IF($B304="","",DATE(YEAR('Calendario G'!$F118),MONTH('Calendario G'!$F118),DAY('Calendario G'!$F118)))</f>
        <v/>
      </c>
      <c r="F304" s="223">
        <f>IF($B304="","",TIME(HOUR('Calendario G'!$F118)+2,MINUTE('Calendario G'!$F118),0))</f>
        <v/>
      </c>
      <c r="G304" s="68">
        <f>IF($B304="","",'Calendario G'!$B119)</f>
        <v/>
      </c>
      <c r="H304" s="68">
        <f>IF($B304="","",Campionato!$D$2&amp;" "&amp;Campionato!$D$6)</f>
        <v/>
      </c>
      <c r="I304" s="68" t="inlineStr"/>
    </row>
    <row r="305">
      <c r="A305" s="68">
        <f>IF($B305="","","BEGIN:VEVENT
DTSTAMP:"&amp;TEXT(NOW(),"yyyymmdd")&amp;"T000001Z
UID:evt304@ClaudeCoworkBaskin
DTSTART;TZID=Europe/Rome:"&amp;TEXT($C305,"yyyymmdd")&amp;"T"&amp;TEXT($D305,"hhmmss")&amp;"
DTEND;TZID=Europe/Rome:"&amp;TEXT($E305,"yyyymmdd")&amp;"T"&amp;TEXT($F305,"hhmmss")&amp;"
SUMMARY:"&amp;$B305&amp;"
LOCATION:"&amp;$G305&amp;"
DESCRIPTION:"&amp;$H305&amp;"
END:VEVENT")</f>
        <v/>
      </c>
      <c r="B305" s="68">
        <f>IF('Calendario G'!$B121="","",'Calendario G'!$B121&amp;" vs "&amp;'Calendario G'!$D121&amp;" "&amp;'Calendario G'!$AC121)</f>
        <v/>
      </c>
      <c r="C305" s="222">
        <f>IF($B305="","",DATE(YEAR('Calendario G'!$F121),MONTH('Calendario G'!$F121),DAY('Calendario G'!$F121)))</f>
        <v/>
      </c>
      <c r="D305" s="223">
        <f>IF($B305="","",TIME(HOUR('Calendario G'!$F121),MINUTE('Calendario G'!$F121),0))</f>
        <v/>
      </c>
      <c r="E305" s="222">
        <f>IF($B305="","",DATE(YEAR('Calendario G'!$F121),MONTH('Calendario G'!$F121),DAY('Calendario G'!$F121)))</f>
        <v/>
      </c>
      <c r="F305" s="223">
        <f>IF($B305="","",TIME(HOUR('Calendario G'!$F121)+2,MINUTE('Calendario G'!$F121),0))</f>
        <v/>
      </c>
      <c r="G305" s="68">
        <f>IF($B305="","",'Calendario G'!$B122)</f>
        <v/>
      </c>
      <c r="H305" s="68">
        <f>IF($B305="","",Campionato!$D$2&amp;" "&amp;Campionato!$D$6)</f>
        <v/>
      </c>
      <c r="I305" s="68" t="inlineStr"/>
    </row>
    <row r="306">
      <c r="A306" s="68">
        <f>IF($B306="","","BEGIN:VEVENT
DTSTAMP:"&amp;TEXT(NOW(),"yyyymmdd")&amp;"T000001Z
UID:evt305@ClaudeCoworkBaskin
DTSTART;TZID=Europe/Rome:"&amp;TEXT($C306,"yyyymmdd")&amp;"T"&amp;TEXT($D306,"hhmmss")&amp;"
DTEND;TZID=Europe/Rome:"&amp;TEXT($E306,"yyyymmdd")&amp;"T"&amp;TEXT($F306,"hhmmss")&amp;"
SUMMARY:"&amp;$B306&amp;"
LOCATION:"&amp;$G306&amp;"
DESCRIPTION:"&amp;$H306&amp;"
END:VEVENT")</f>
        <v/>
      </c>
      <c r="B306" s="68">
        <f>IF('Calendario G'!$B124="","",'Calendario G'!$B124&amp;" vs "&amp;'Calendario G'!$D124&amp;" "&amp;'Calendario G'!$AC124)</f>
        <v/>
      </c>
      <c r="C306" s="222">
        <f>IF($B306="","",DATE(YEAR('Calendario G'!$F124),MONTH('Calendario G'!$F124),DAY('Calendario G'!$F124)))</f>
        <v/>
      </c>
      <c r="D306" s="223">
        <f>IF($B306="","",TIME(HOUR('Calendario G'!$F124),MINUTE('Calendario G'!$F124),0))</f>
        <v/>
      </c>
      <c r="E306" s="222">
        <f>IF($B306="","",DATE(YEAR('Calendario G'!$F124),MONTH('Calendario G'!$F124),DAY('Calendario G'!$F124)))</f>
        <v/>
      </c>
      <c r="F306" s="223">
        <f>IF($B306="","",TIME(HOUR('Calendario G'!$F124)+2,MINUTE('Calendario G'!$F124),0))</f>
        <v/>
      </c>
      <c r="G306" s="68">
        <f>IF($B306="","",'Calendario G'!$B125)</f>
        <v/>
      </c>
      <c r="H306" s="68">
        <f>IF($B306="","",Campionato!$D$2&amp;" "&amp;Campionato!$D$6)</f>
        <v/>
      </c>
      <c r="I306" s="68" t="inlineStr"/>
    </row>
    <row r="307">
      <c r="A307" s="68">
        <f>IF($B307="","","BEGIN:VEVENT
DTSTAMP:"&amp;TEXT(NOW(),"yyyymmdd")&amp;"T000001Z
UID:evt306@ClaudeCoworkBaskin
DTSTART;TZID=Europe/Rome:"&amp;TEXT($C307,"yyyymmdd")&amp;"T"&amp;TEXT($D307,"hhmmss")&amp;"
DTEND;TZID=Europe/Rome:"&amp;TEXT($E307,"yyyymmdd")&amp;"T"&amp;TEXT($F307,"hhmmss")&amp;"
SUMMARY:"&amp;$B307&amp;"
LOCATION:"&amp;$G307&amp;"
DESCRIPTION:"&amp;$H307&amp;"
END:VEVENT")</f>
        <v/>
      </c>
      <c r="B307" s="68">
        <f>IF('Calendario G'!$B129="","",'Calendario G'!$B129&amp;" vs "&amp;'Calendario G'!$D129&amp;" "&amp;'Calendario G'!$AC129)</f>
        <v/>
      </c>
      <c r="C307" s="222">
        <f>IF($B307="","",DATE(YEAR('Calendario G'!$F129),MONTH('Calendario G'!$F129),DAY('Calendario G'!$F129)))</f>
        <v/>
      </c>
      <c r="D307" s="223">
        <f>IF($B307="","",TIME(HOUR('Calendario G'!$F129),MINUTE('Calendario G'!$F129),0))</f>
        <v/>
      </c>
      <c r="E307" s="222">
        <f>IF($B307="","",DATE(YEAR('Calendario G'!$F129),MONTH('Calendario G'!$F129),DAY('Calendario G'!$F129)))</f>
        <v/>
      </c>
      <c r="F307" s="223">
        <f>IF($B307="","",TIME(HOUR('Calendario G'!$F129)+2,MINUTE('Calendario G'!$F129),0))</f>
        <v/>
      </c>
      <c r="G307" s="68">
        <f>IF($B307="","",'Calendario G'!$B130)</f>
        <v/>
      </c>
      <c r="H307" s="68">
        <f>IF($B307="","",Campionato!$D$2&amp;" "&amp;Campionato!$D$6)</f>
        <v/>
      </c>
      <c r="I307" s="68" t="inlineStr"/>
    </row>
    <row r="308">
      <c r="A308" s="68">
        <f>IF($B308="","","BEGIN:VEVENT
DTSTAMP:"&amp;TEXT(NOW(),"yyyymmdd")&amp;"T000001Z
UID:evt307@ClaudeCoworkBaskin
DTSTART;TZID=Europe/Rome:"&amp;TEXT($C308,"yyyymmdd")&amp;"T"&amp;TEXT($D308,"hhmmss")&amp;"
DTEND;TZID=Europe/Rome:"&amp;TEXT($E308,"yyyymmdd")&amp;"T"&amp;TEXT($F308,"hhmmss")&amp;"
SUMMARY:"&amp;$B308&amp;"
LOCATION:"&amp;$G308&amp;"
DESCRIPTION:"&amp;$H308&amp;"
END:VEVENT")</f>
        <v/>
      </c>
      <c r="B308" s="68">
        <f>IF('Calendario G'!$B132="","",'Calendario G'!$B132&amp;" vs "&amp;'Calendario G'!$D132&amp;" "&amp;'Calendario G'!$AC132)</f>
        <v/>
      </c>
      <c r="C308" s="222">
        <f>IF($B308="","",DATE(YEAR('Calendario G'!$F132),MONTH('Calendario G'!$F132),DAY('Calendario G'!$F132)))</f>
        <v/>
      </c>
      <c r="D308" s="223">
        <f>IF($B308="","",TIME(HOUR('Calendario G'!$F132),MINUTE('Calendario G'!$F132),0))</f>
        <v/>
      </c>
      <c r="E308" s="222">
        <f>IF($B308="","",DATE(YEAR('Calendario G'!$F132),MONTH('Calendario G'!$F132),DAY('Calendario G'!$F132)))</f>
        <v/>
      </c>
      <c r="F308" s="223">
        <f>IF($B308="","",TIME(HOUR('Calendario G'!$F132)+2,MINUTE('Calendario G'!$F132),0))</f>
        <v/>
      </c>
      <c r="G308" s="68">
        <f>IF($B308="","",'Calendario G'!$B133)</f>
        <v/>
      </c>
      <c r="H308" s="68">
        <f>IF($B308="","",Campionato!$D$2&amp;" "&amp;Campionato!$D$6)</f>
        <v/>
      </c>
      <c r="I308" s="68" t="inlineStr"/>
    </row>
    <row r="309">
      <c r="A309" s="68">
        <f>IF($B309="","","BEGIN:VEVENT
DTSTAMP:"&amp;TEXT(NOW(),"yyyymmdd")&amp;"T000001Z
UID:evt308@ClaudeCoworkBaskin
DTSTART;TZID=Europe/Rome:"&amp;TEXT($C309,"yyyymmdd")&amp;"T"&amp;TEXT($D309,"hhmmss")&amp;"
DTEND;TZID=Europe/Rome:"&amp;TEXT($E309,"yyyymmdd")&amp;"T"&amp;TEXT($F309,"hhmmss")&amp;"
SUMMARY:"&amp;$B309&amp;"
LOCATION:"&amp;$G309&amp;"
DESCRIPTION:"&amp;$H309&amp;"
END:VEVENT")</f>
        <v/>
      </c>
      <c r="B309" s="68">
        <f>IF('Calendario G'!$B135="","",'Calendario G'!$B135&amp;" vs "&amp;'Calendario G'!$D135&amp;" "&amp;'Calendario G'!$AC135)</f>
        <v/>
      </c>
      <c r="C309" s="222">
        <f>IF($B309="","",DATE(YEAR('Calendario G'!$F135),MONTH('Calendario G'!$F135),DAY('Calendario G'!$F135)))</f>
        <v/>
      </c>
      <c r="D309" s="223">
        <f>IF($B309="","",TIME(HOUR('Calendario G'!$F135),MINUTE('Calendario G'!$F135),0))</f>
        <v/>
      </c>
      <c r="E309" s="222">
        <f>IF($B309="","",DATE(YEAR('Calendario G'!$F135),MONTH('Calendario G'!$F135),DAY('Calendario G'!$F135)))</f>
        <v/>
      </c>
      <c r="F309" s="223">
        <f>IF($B309="","",TIME(HOUR('Calendario G'!$F135)+2,MINUTE('Calendario G'!$F135),0))</f>
        <v/>
      </c>
      <c r="G309" s="68">
        <f>IF($B309="","",'Calendario G'!$B136)</f>
        <v/>
      </c>
      <c r="H309" s="68">
        <f>IF($B309="","",Campionato!$D$2&amp;" "&amp;Campionato!$D$6)</f>
        <v/>
      </c>
      <c r="I309" s="68" t="inlineStr"/>
    </row>
    <row r="310">
      <c r="A310" s="68">
        <f>IF($B310="","","BEGIN:VEVENT
DTSTAMP:"&amp;TEXT(NOW(),"yyyymmdd")&amp;"T000001Z
UID:evt309@ClaudeCoworkBaskin
DTSTART;TZID=Europe/Rome:"&amp;TEXT($C310,"yyyymmdd")&amp;"T"&amp;TEXT($D310,"hhmmss")&amp;"
DTEND;TZID=Europe/Rome:"&amp;TEXT($E310,"yyyymmdd")&amp;"T"&amp;TEXT($F310,"hhmmss")&amp;"
SUMMARY:"&amp;$B310&amp;"
LOCATION:"&amp;$G310&amp;"
DESCRIPTION:"&amp;$H310&amp;"
END:VEVENT")</f>
        <v/>
      </c>
      <c r="B310" s="68">
        <f>IF('Calendario G'!$B138="","",'Calendario G'!$B138&amp;" vs "&amp;'Calendario G'!$D138&amp;" "&amp;'Calendario G'!$AC138)</f>
        <v/>
      </c>
      <c r="C310" s="222">
        <f>IF($B310="","",DATE(YEAR('Calendario G'!$F138),MONTH('Calendario G'!$F138),DAY('Calendario G'!$F138)))</f>
        <v/>
      </c>
      <c r="D310" s="223">
        <f>IF($B310="","",TIME(HOUR('Calendario G'!$F138),MINUTE('Calendario G'!$F138),0))</f>
        <v/>
      </c>
      <c r="E310" s="222">
        <f>IF($B310="","",DATE(YEAR('Calendario G'!$F138),MONTH('Calendario G'!$F138),DAY('Calendario G'!$F138)))</f>
        <v/>
      </c>
      <c r="F310" s="223">
        <f>IF($B310="","",TIME(HOUR('Calendario G'!$F138)+2,MINUTE('Calendario G'!$F138),0))</f>
        <v/>
      </c>
      <c r="G310" s="68">
        <f>IF($B310="","",'Calendario G'!$B139)</f>
        <v/>
      </c>
      <c r="H310" s="68">
        <f>IF($B310="","",Campionato!$D$2&amp;" "&amp;Campionato!$D$6)</f>
        <v/>
      </c>
      <c r="I310" s="68" t="inlineStr"/>
    </row>
    <row r="311">
      <c r="A311" s="68">
        <f>IF($B311="","","BEGIN:VEVENT
DTSTAMP:"&amp;TEXT(NOW(),"yyyymmdd")&amp;"T000001Z
UID:evt310@ClaudeCoworkBaskin
DTSTART;TZID=Europe/Rome:"&amp;TEXT($C311,"yyyymmdd")&amp;"T"&amp;TEXT($D311,"hhmmss")&amp;"
DTEND;TZID=Europe/Rome:"&amp;TEXT($E311,"yyyymmdd")&amp;"T"&amp;TEXT($F311,"hhmmss")&amp;"
SUMMARY:"&amp;$B311&amp;"
LOCATION:"&amp;$G311&amp;"
DESCRIPTION:"&amp;$H311&amp;"
END:VEVENT")</f>
        <v/>
      </c>
      <c r="B311" s="68">
        <f>IF('Calendario G'!$B141="","",'Calendario G'!$B141&amp;" vs "&amp;'Calendario G'!$D141&amp;" "&amp;'Calendario G'!$AC141)</f>
        <v/>
      </c>
      <c r="C311" s="222">
        <f>IF($B311="","",DATE(YEAR('Calendario G'!$F141),MONTH('Calendario G'!$F141),DAY('Calendario G'!$F141)))</f>
        <v/>
      </c>
      <c r="D311" s="223">
        <f>IF($B311="","",TIME(HOUR('Calendario G'!$F141),MINUTE('Calendario G'!$F141),0))</f>
        <v/>
      </c>
      <c r="E311" s="222">
        <f>IF($B311="","",DATE(YEAR('Calendario G'!$F141),MONTH('Calendario G'!$F141),DAY('Calendario G'!$F141)))</f>
        <v/>
      </c>
      <c r="F311" s="223">
        <f>IF($B311="","",TIME(HOUR('Calendario G'!$F141)+2,MINUTE('Calendario G'!$F141),0))</f>
        <v/>
      </c>
      <c r="G311" s="68">
        <f>IF($B311="","",'Calendario G'!$B142)</f>
        <v/>
      </c>
      <c r="H311" s="68">
        <f>IF($B311="","",Campionato!$D$2&amp;" "&amp;Campionato!$D$6)</f>
        <v/>
      </c>
      <c r="I311" s="68" t="inlineStr"/>
    </row>
    <row r="312">
      <c r="A312" s="68">
        <f>IF($B312="","","BEGIN:VEVENT
DTSTAMP:"&amp;TEXT(NOW(),"yyyymmdd")&amp;"T000001Z
UID:evt311@ClaudeCoworkBaskin
DTSTART;TZID=Europe/Rome:"&amp;TEXT($C312,"yyyymmdd")&amp;"T"&amp;TEXT($D312,"hhmmss")&amp;"
DTEND;TZID=Europe/Rome:"&amp;TEXT($E312,"yyyymmdd")&amp;"T"&amp;TEXT($F312,"hhmmss")&amp;"
SUMMARY:"&amp;$B312&amp;"
LOCATION:"&amp;$G312&amp;"
DESCRIPTION:"&amp;$H312&amp;"
END:VEVENT")</f>
        <v/>
      </c>
      <c r="B312" s="68">
        <f>IF('Calendario G'!$B146="","",'Calendario G'!$B146&amp;" vs "&amp;'Calendario G'!$D146&amp;" "&amp;'Calendario G'!$AC146)</f>
        <v/>
      </c>
      <c r="C312" s="222">
        <f>IF($B312="","",DATE(YEAR('Calendario G'!$F146),MONTH('Calendario G'!$F146),DAY('Calendario G'!$F146)))</f>
        <v/>
      </c>
      <c r="D312" s="223">
        <f>IF($B312="","",TIME(HOUR('Calendario G'!$F146),MINUTE('Calendario G'!$F146),0))</f>
        <v/>
      </c>
      <c r="E312" s="222">
        <f>IF($B312="","",DATE(YEAR('Calendario G'!$F146),MONTH('Calendario G'!$F146),DAY('Calendario G'!$F146)))</f>
        <v/>
      </c>
      <c r="F312" s="223">
        <f>IF($B312="","",TIME(HOUR('Calendario G'!$F146)+2,MINUTE('Calendario G'!$F146),0))</f>
        <v/>
      </c>
      <c r="G312" s="68">
        <f>IF($B312="","",'Calendario G'!$B147)</f>
        <v/>
      </c>
      <c r="H312" s="68">
        <f>IF($B312="","",Campionato!$D$2&amp;" "&amp;Campionato!$D$6)</f>
        <v/>
      </c>
      <c r="I312" s="68" t="inlineStr"/>
    </row>
    <row r="313">
      <c r="A313" s="68">
        <f>IF($B313="","","BEGIN:VEVENT
DTSTAMP:"&amp;TEXT(NOW(),"yyyymmdd")&amp;"T000001Z
UID:evt312@ClaudeCoworkBaskin
DTSTART;TZID=Europe/Rome:"&amp;TEXT($C313,"yyyymmdd")&amp;"T"&amp;TEXT($D313,"hhmmss")&amp;"
DTEND;TZID=Europe/Rome:"&amp;TEXT($E313,"yyyymmdd")&amp;"T"&amp;TEXT($F313,"hhmmss")&amp;"
SUMMARY:"&amp;$B313&amp;"
LOCATION:"&amp;$G313&amp;"
DESCRIPTION:"&amp;$H313&amp;"
END:VEVENT")</f>
        <v/>
      </c>
      <c r="B313" s="68">
        <f>IF('Calendario G'!$B149="","",'Calendario G'!$B149&amp;" vs "&amp;'Calendario G'!$D149&amp;" "&amp;'Calendario G'!$AC149)</f>
        <v/>
      </c>
      <c r="C313" s="222">
        <f>IF($B313="","",DATE(YEAR('Calendario G'!$F149),MONTH('Calendario G'!$F149),DAY('Calendario G'!$F149)))</f>
        <v/>
      </c>
      <c r="D313" s="223">
        <f>IF($B313="","",TIME(HOUR('Calendario G'!$F149),MINUTE('Calendario G'!$F149),0))</f>
        <v/>
      </c>
      <c r="E313" s="222">
        <f>IF($B313="","",DATE(YEAR('Calendario G'!$F149),MONTH('Calendario G'!$F149),DAY('Calendario G'!$F149)))</f>
        <v/>
      </c>
      <c r="F313" s="223">
        <f>IF($B313="","",TIME(HOUR('Calendario G'!$F149)+2,MINUTE('Calendario G'!$F149),0))</f>
        <v/>
      </c>
      <c r="G313" s="68">
        <f>IF($B313="","",'Calendario G'!$B150)</f>
        <v/>
      </c>
      <c r="H313" s="68">
        <f>IF($B313="","",Campionato!$D$2&amp;" "&amp;Campionato!$D$6)</f>
        <v/>
      </c>
      <c r="I313" s="68" t="inlineStr"/>
    </row>
    <row r="314">
      <c r="A314" s="68">
        <f>IF($B314="","","BEGIN:VEVENT
DTSTAMP:"&amp;TEXT(NOW(),"yyyymmdd")&amp;"T000001Z
UID:evt313@ClaudeCoworkBaskin
DTSTART;TZID=Europe/Rome:"&amp;TEXT($C314,"yyyymmdd")&amp;"T"&amp;TEXT($D314,"hhmmss")&amp;"
DTEND;TZID=Europe/Rome:"&amp;TEXT($E314,"yyyymmdd")&amp;"T"&amp;TEXT($F314,"hhmmss")&amp;"
SUMMARY:"&amp;$B314&amp;"
LOCATION:"&amp;$G314&amp;"
DESCRIPTION:"&amp;$H314&amp;"
END:VEVENT")</f>
        <v/>
      </c>
      <c r="B314" s="68">
        <f>IF('Calendario G'!$B152="","",'Calendario G'!$B152&amp;" vs "&amp;'Calendario G'!$D152&amp;" "&amp;'Calendario G'!$AC152)</f>
        <v/>
      </c>
      <c r="C314" s="222">
        <f>IF($B314="","",DATE(YEAR('Calendario G'!$F152),MONTH('Calendario G'!$F152),DAY('Calendario G'!$F152)))</f>
        <v/>
      </c>
      <c r="D314" s="223">
        <f>IF($B314="","",TIME(HOUR('Calendario G'!$F152),MINUTE('Calendario G'!$F152),0))</f>
        <v/>
      </c>
      <c r="E314" s="222">
        <f>IF($B314="","",DATE(YEAR('Calendario G'!$F152),MONTH('Calendario G'!$F152),DAY('Calendario G'!$F152)))</f>
        <v/>
      </c>
      <c r="F314" s="223">
        <f>IF($B314="","",TIME(HOUR('Calendario G'!$F152)+2,MINUTE('Calendario G'!$F152),0))</f>
        <v/>
      </c>
      <c r="G314" s="68">
        <f>IF($B314="","",'Calendario G'!$B153)</f>
        <v/>
      </c>
      <c r="H314" s="68">
        <f>IF($B314="","",Campionato!$D$2&amp;" "&amp;Campionato!$D$6)</f>
        <v/>
      </c>
      <c r="I314" s="68" t="inlineStr"/>
    </row>
    <row r="315">
      <c r="A315" s="68">
        <f>IF($B315="","","BEGIN:VEVENT
DTSTAMP:"&amp;TEXT(NOW(),"yyyymmdd")&amp;"T000001Z
UID:evt314@ClaudeCoworkBaskin
DTSTART;TZID=Europe/Rome:"&amp;TEXT($C315,"yyyymmdd")&amp;"T"&amp;TEXT($D315,"hhmmss")&amp;"
DTEND;TZID=Europe/Rome:"&amp;TEXT($E315,"yyyymmdd")&amp;"T"&amp;TEXT($F315,"hhmmss")&amp;"
SUMMARY:"&amp;$B315&amp;"
LOCATION:"&amp;$G315&amp;"
DESCRIPTION:"&amp;$H315&amp;"
END:VEVENT")</f>
        <v/>
      </c>
      <c r="B315" s="68">
        <f>IF('Calendario G'!$B155="","",'Calendario G'!$B155&amp;" vs "&amp;'Calendario G'!$D155&amp;" "&amp;'Calendario G'!$AC155)</f>
        <v/>
      </c>
      <c r="C315" s="222">
        <f>IF($B315="","",DATE(YEAR('Calendario G'!$F155),MONTH('Calendario G'!$F155),DAY('Calendario G'!$F155)))</f>
        <v/>
      </c>
      <c r="D315" s="223">
        <f>IF($B315="","",TIME(HOUR('Calendario G'!$F155),MINUTE('Calendario G'!$F155),0))</f>
        <v/>
      </c>
      <c r="E315" s="222">
        <f>IF($B315="","",DATE(YEAR('Calendario G'!$F155),MONTH('Calendario G'!$F155),DAY('Calendario G'!$F155)))</f>
        <v/>
      </c>
      <c r="F315" s="223">
        <f>IF($B315="","",TIME(HOUR('Calendario G'!$F155)+2,MINUTE('Calendario G'!$F155),0))</f>
        <v/>
      </c>
      <c r="G315" s="68">
        <f>IF($B315="","",'Calendario G'!$B156)</f>
        <v/>
      </c>
      <c r="H315" s="68">
        <f>IF($B315="","",Campionato!$D$2&amp;" "&amp;Campionato!$D$6)</f>
        <v/>
      </c>
      <c r="I315" s="68" t="inlineStr"/>
    </row>
    <row r="316">
      <c r="A316" s="68">
        <f>IF($B316="","","BEGIN:VEVENT
DTSTAMP:"&amp;TEXT(NOW(),"yyyymmdd")&amp;"T000001Z
UID:evt315@ClaudeCoworkBaskin
DTSTART;TZID=Europe/Rome:"&amp;TEXT($C316,"yyyymmdd")&amp;"T"&amp;TEXT($D316,"hhmmss")&amp;"
DTEND;TZID=Europe/Rome:"&amp;TEXT($E316,"yyyymmdd")&amp;"T"&amp;TEXT($F316,"hhmmss")&amp;"
SUMMARY:"&amp;$B316&amp;"
LOCATION:"&amp;$G316&amp;"
DESCRIPTION:"&amp;$H316&amp;"
END:VEVENT")</f>
        <v/>
      </c>
      <c r="B316" s="68">
        <f>IF('Calendario G'!$B158="","",'Calendario G'!$B158&amp;" vs "&amp;'Calendario G'!$D158&amp;" "&amp;'Calendario G'!$AC158)</f>
        <v/>
      </c>
      <c r="C316" s="222">
        <f>IF($B316="","",DATE(YEAR('Calendario G'!$F158),MONTH('Calendario G'!$F158),DAY('Calendario G'!$F158)))</f>
        <v/>
      </c>
      <c r="D316" s="223">
        <f>IF($B316="","",TIME(HOUR('Calendario G'!$F158),MINUTE('Calendario G'!$F158),0))</f>
        <v/>
      </c>
      <c r="E316" s="222">
        <f>IF($B316="","",DATE(YEAR('Calendario G'!$F158),MONTH('Calendario G'!$F158),DAY('Calendario G'!$F158)))</f>
        <v/>
      </c>
      <c r="F316" s="223">
        <f>IF($B316="","",TIME(HOUR('Calendario G'!$F158)+2,MINUTE('Calendario G'!$F158),0))</f>
        <v/>
      </c>
      <c r="G316" s="68">
        <f>IF($B316="","",'Calendario G'!$B159)</f>
        <v/>
      </c>
      <c r="H316" s="68">
        <f>IF($B316="","",Campionato!$D$2&amp;" "&amp;Campionato!$D$6)</f>
        <v/>
      </c>
      <c r="I316" s="68" t="inlineStr"/>
    </row>
    <row r="317">
      <c r="A317" s="68">
        <f>IF($B317="","","BEGIN:VEVENT
DTSTAMP:"&amp;TEXT(NOW(),"yyyymmdd")&amp;"T000001Z
UID:evt316@ClaudeCoworkBaskin
DTSTART;TZID=Europe/Rome:"&amp;TEXT($C317,"yyyymmdd")&amp;"T"&amp;TEXT($D317,"hhmmss")&amp;"
DTEND;TZID=Europe/Rome:"&amp;TEXT($E317,"yyyymmdd")&amp;"T"&amp;TEXT($F317,"hhmmss")&amp;"
SUMMARY:"&amp;$B317&amp;"
LOCATION:"&amp;$G317&amp;"
DESCRIPTION:"&amp;$H317&amp;"
END:VEVENT")</f>
        <v/>
      </c>
      <c r="B317" s="68">
        <f>IF('Calendario H'!$B10="","",'Calendario H'!$B10&amp;" vs "&amp;'Calendario H'!$D10&amp;" "&amp;'Calendario H'!$AC10)</f>
        <v/>
      </c>
      <c r="C317" s="222">
        <f>IF($B317="","",DATE(YEAR('Calendario H'!$F10),MONTH('Calendario H'!$F10),DAY('Calendario H'!$F10)))</f>
        <v/>
      </c>
      <c r="D317" s="223">
        <f>IF($B317="","",TIME(HOUR('Calendario H'!$F10),MINUTE('Calendario H'!$F10),0))</f>
        <v/>
      </c>
      <c r="E317" s="222">
        <f>IF($B317="","",DATE(YEAR('Calendario H'!$F10),MONTH('Calendario H'!$F10),DAY('Calendario H'!$F10)))</f>
        <v/>
      </c>
      <c r="F317" s="223">
        <f>IF($B317="","",TIME(HOUR('Calendario H'!$F10)+2,MINUTE('Calendario H'!$F10),0))</f>
        <v/>
      </c>
      <c r="G317" s="68">
        <f>IF($B317="","",'Calendario H'!$B11)</f>
        <v/>
      </c>
      <c r="H317" s="68">
        <f>IF($B317="","",Campionato!$D$2&amp;" "&amp;Campionato!$D$6)</f>
        <v/>
      </c>
      <c r="I317" s="68" t="inlineStr"/>
    </row>
    <row r="318">
      <c r="A318" s="68">
        <f>IF($B318="","","BEGIN:VEVENT
DTSTAMP:"&amp;TEXT(NOW(),"yyyymmdd")&amp;"T000001Z
UID:evt317@ClaudeCoworkBaskin
DTSTART;TZID=Europe/Rome:"&amp;TEXT($C318,"yyyymmdd")&amp;"T"&amp;TEXT($D318,"hhmmss")&amp;"
DTEND;TZID=Europe/Rome:"&amp;TEXT($E318,"yyyymmdd")&amp;"T"&amp;TEXT($F318,"hhmmss")&amp;"
SUMMARY:"&amp;$B318&amp;"
LOCATION:"&amp;$G318&amp;"
DESCRIPTION:"&amp;$H318&amp;"
END:VEVENT")</f>
        <v/>
      </c>
      <c r="B318" s="68">
        <f>IF('Calendario H'!$B13="","",'Calendario H'!$B13&amp;" vs "&amp;'Calendario H'!$D13&amp;" "&amp;'Calendario H'!$AC13)</f>
        <v/>
      </c>
      <c r="C318" s="222">
        <f>IF($B318="","",DATE(YEAR('Calendario H'!$F13),MONTH('Calendario H'!$F13),DAY('Calendario H'!$F13)))</f>
        <v/>
      </c>
      <c r="D318" s="223">
        <f>IF($B318="","",TIME(HOUR('Calendario H'!$F13),MINUTE('Calendario H'!$F13),0))</f>
        <v/>
      </c>
      <c r="E318" s="222">
        <f>IF($B318="","",DATE(YEAR('Calendario H'!$F13),MONTH('Calendario H'!$F13),DAY('Calendario H'!$F13)))</f>
        <v/>
      </c>
      <c r="F318" s="223">
        <f>IF($B318="","",TIME(HOUR('Calendario H'!$F13)+2,MINUTE('Calendario H'!$F13),0))</f>
        <v/>
      </c>
      <c r="G318" s="68">
        <f>IF($B318="","",'Calendario H'!$B14)</f>
        <v/>
      </c>
      <c r="H318" s="68">
        <f>IF($B318="","",Campionato!$D$2&amp;" "&amp;Campionato!$D$6)</f>
        <v/>
      </c>
      <c r="I318" s="68" t="inlineStr"/>
    </row>
    <row r="319">
      <c r="A319" s="68">
        <f>IF($B319="","","BEGIN:VEVENT
DTSTAMP:"&amp;TEXT(NOW(),"yyyymmdd")&amp;"T000001Z
UID:evt318@ClaudeCoworkBaskin
DTSTART;TZID=Europe/Rome:"&amp;TEXT($C319,"yyyymmdd")&amp;"T"&amp;TEXT($D319,"hhmmss")&amp;"
DTEND;TZID=Europe/Rome:"&amp;TEXT($E319,"yyyymmdd")&amp;"T"&amp;TEXT($F319,"hhmmss")&amp;"
SUMMARY:"&amp;$B319&amp;"
LOCATION:"&amp;$G319&amp;"
DESCRIPTION:"&amp;$H319&amp;"
END:VEVENT")</f>
        <v/>
      </c>
      <c r="B319" s="68">
        <f>IF('Calendario H'!$B16="","",'Calendario H'!$B16&amp;" vs "&amp;'Calendario H'!$D16&amp;" "&amp;'Calendario H'!$AC16)</f>
        <v/>
      </c>
      <c r="C319" s="222">
        <f>IF($B319="","",DATE(YEAR('Calendario H'!$F16),MONTH('Calendario H'!$F16),DAY('Calendario H'!$F16)))</f>
        <v/>
      </c>
      <c r="D319" s="223">
        <f>IF($B319="","",TIME(HOUR('Calendario H'!$F16),MINUTE('Calendario H'!$F16),0))</f>
        <v/>
      </c>
      <c r="E319" s="222">
        <f>IF($B319="","",DATE(YEAR('Calendario H'!$F16),MONTH('Calendario H'!$F16),DAY('Calendario H'!$F16)))</f>
        <v/>
      </c>
      <c r="F319" s="223">
        <f>IF($B319="","",TIME(HOUR('Calendario H'!$F16)+2,MINUTE('Calendario H'!$F16),0))</f>
        <v/>
      </c>
      <c r="G319" s="68">
        <f>IF($B319="","",'Calendario H'!$B17)</f>
        <v/>
      </c>
      <c r="H319" s="68">
        <f>IF($B319="","",Campionato!$D$2&amp;" "&amp;Campionato!$D$6)</f>
        <v/>
      </c>
      <c r="I319" s="68" t="inlineStr"/>
    </row>
    <row r="320">
      <c r="A320" s="68">
        <f>IF($B320="","","BEGIN:VEVENT
DTSTAMP:"&amp;TEXT(NOW(),"yyyymmdd")&amp;"T000001Z
UID:evt319@ClaudeCoworkBaskin
DTSTART;TZID=Europe/Rome:"&amp;TEXT($C320,"yyyymmdd")&amp;"T"&amp;TEXT($D320,"hhmmss")&amp;"
DTEND;TZID=Europe/Rome:"&amp;TEXT($E320,"yyyymmdd")&amp;"T"&amp;TEXT($F320,"hhmmss")&amp;"
SUMMARY:"&amp;$B320&amp;"
LOCATION:"&amp;$G320&amp;"
DESCRIPTION:"&amp;$H320&amp;"
END:VEVENT")</f>
        <v/>
      </c>
      <c r="B320" s="68">
        <f>IF('Calendario H'!$B19="","",'Calendario H'!$B19&amp;" vs "&amp;'Calendario H'!$D19&amp;" "&amp;'Calendario H'!$AC19)</f>
        <v/>
      </c>
      <c r="C320" s="222">
        <f>IF($B320="","",DATE(YEAR('Calendario H'!$F19),MONTH('Calendario H'!$F19),DAY('Calendario H'!$F19)))</f>
        <v/>
      </c>
      <c r="D320" s="223">
        <f>IF($B320="","",TIME(HOUR('Calendario H'!$F19),MINUTE('Calendario H'!$F19),0))</f>
        <v/>
      </c>
      <c r="E320" s="222">
        <f>IF($B320="","",DATE(YEAR('Calendario H'!$F19),MONTH('Calendario H'!$F19),DAY('Calendario H'!$F19)))</f>
        <v/>
      </c>
      <c r="F320" s="223">
        <f>IF($B320="","",TIME(HOUR('Calendario H'!$F19)+2,MINUTE('Calendario H'!$F19),0))</f>
        <v/>
      </c>
      <c r="G320" s="68">
        <f>IF($B320="","",'Calendario H'!$B20)</f>
        <v/>
      </c>
      <c r="H320" s="68">
        <f>IF($B320="","",Campionato!$D$2&amp;" "&amp;Campionato!$D$6)</f>
        <v/>
      </c>
      <c r="I320" s="68" t="inlineStr"/>
    </row>
    <row r="321">
      <c r="A321" s="68">
        <f>IF($B321="","","BEGIN:VEVENT
DTSTAMP:"&amp;TEXT(NOW(),"yyyymmdd")&amp;"T000001Z
UID:evt320@ClaudeCoworkBaskin
DTSTART;TZID=Europe/Rome:"&amp;TEXT($C321,"yyyymmdd")&amp;"T"&amp;TEXT($D321,"hhmmss")&amp;"
DTEND;TZID=Europe/Rome:"&amp;TEXT($E321,"yyyymmdd")&amp;"T"&amp;TEXT($F321,"hhmmss")&amp;"
SUMMARY:"&amp;$B321&amp;"
LOCATION:"&amp;$G321&amp;"
DESCRIPTION:"&amp;$H321&amp;"
END:VEVENT")</f>
        <v/>
      </c>
      <c r="B321" s="68">
        <f>IF('Calendario H'!$B22="","",'Calendario H'!$B22&amp;" vs "&amp;'Calendario H'!$D22&amp;" "&amp;'Calendario H'!$AC22)</f>
        <v/>
      </c>
      <c r="C321" s="222">
        <f>IF($B321="","",DATE(YEAR('Calendario H'!$F22),MONTH('Calendario H'!$F22),DAY('Calendario H'!$F22)))</f>
        <v/>
      </c>
      <c r="D321" s="223">
        <f>IF($B321="","",TIME(HOUR('Calendario H'!$F22),MINUTE('Calendario H'!$F22),0))</f>
        <v/>
      </c>
      <c r="E321" s="222">
        <f>IF($B321="","",DATE(YEAR('Calendario H'!$F22),MONTH('Calendario H'!$F22),DAY('Calendario H'!$F22)))</f>
        <v/>
      </c>
      <c r="F321" s="223">
        <f>IF($B321="","",TIME(HOUR('Calendario H'!$F22)+2,MINUTE('Calendario H'!$F22),0))</f>
        <v/>
      </c>
      <c r="G321" s="68">
        <f>IF($B321="","",'Calendario H'!$B23)</f>
        <v/>
      </c>
      <c r="H321" s="68">
        <f>IF($B321="","",Campionato!$D$2&amp;" "&amp;Campionato!$D$6)</f>
        <v/>
      </c>
      <c r="I321" s="68" t="inlineStr"/>
    </row>
    <row r="322">
      <c r="A322" s="68">
        <f>IF($B322="","","BEGIN:VEVENT
DTSTAMP:"&amp;TEXT(NOW(),"yyyymmdd")&amp;"T000001Z
UID:evt321@ClaudeCoworkBaskin
DTSTART;TZID=Europe/Rome:"&amp;TEXT($C322,"yyyymmdd")&amp;"T"&amp;TEXT($D322,"hhmmss")&amp;"
DTEND;TZID=Europe/Rome:"&amp;TEXT($E322,"yyyymmdd")&amp;"T"&amp;TEXT($F322,"hhmmss")&amp;"
SUMMARY:"&amp;$B322&amp;"
LOCATION:"&amp;$G322&amp;"
DESCRIPTION:"&amp;$H322&amp;"
END:VEVENT")</f>
        <v/>
      </c>
      <c r="B322" s="68">
        <f>IF('Calendario H'!$B27="","",'Calendario H'!$B27&amp;" vs "&amp;'Calendario H'!$D27&amp;" "&amp;'Calendario H'!$AC27)</f>
        <v/>
      </c>
      <c r="C322" s="222">
        <f>IF($B322="","",DATE(YEAR('Calendario H'!$F27),MONTH('Calendario H'!$F27),DAY('Calendario H'!$F27)))</f>
        <v/>
      </c>
      <c r="D322" s="223">
        <f>IF($B322="","",TIME(HOUR('Calendario H'!$F27),MINUTE('Calendario H'!$F27),0))</f>
        <v/>
      </c>
      <c r="E322" s="222">
        <f>IF($B322="","",DATE(YEAR('Calendario H'!$F27),MONTH('Calendario H'!$F27),DAY('Calendario H'!$F27)))</f>
        <v/>
      </c>
      <c r="F322" s="223">
        <f>IF($B322="","",TIME(HOUR('Calendario H'!$F27)+2,MINUTE('Calendario H'!$F27),0))</f>
        <v/>
      </c>
      <c r="G322" s="68">
        <f>IF($B322="","",'Calendario H'!$B28)</f>
        <v/>
      </c>
      <c r="H322" s="68">
        <f>IF($B322="","",Campionato!$D$2&amp;" "&amp;Campionato!$D$6)</f>
        <v/>
      </c>
      <c r="I322" s="68" t="inlineStr"/>
    </row>
    <row r="323">
      <c r="A323" s="68">
        <f>IF($B323="","","BEGIN:VEVENT
DTSTAMP:"&amp;TEXT(NOW(),"yyyymmdd")&amp;"T000001Z
UID:evt322@ClaudeCoworkBaskin
DTSTART;TZID=Europe/Rome:"&amp;TEXT($C323,"yyyymmdd")&amp;"T"&amp;TEXT($D323,"hhmmss")&amp;"
DTEND;TZID=Europe/Rome:"&amp;TEXT($E323,"yyyymmdd")&amp;"T"&amp;TEXT($F323,"hhmmss")&amp;"
SUMMARY:"&amp;$B323&amp;"
LOCATION:"&amp;$G323&amp;"
DESCRIPTION:"&amp;$H323&amp;"
END:VEVENT")</f>
        <v/>
      </c>
      <c r="B323" s="68">
        <f>IF('Calendario H'!$B30="","",'Calendario H'!$B30&amp;" vs "&amp;'Calendario H'!$D30&amp;" "&amp;'Calendario H'!$AC30)</f>
        <v/>
      </c>
      <c r="C323" s="222">
        <f>IF($B323="","",DATE(YEAR('Calendario H'!$F30),MONTH('Calendario H'!$F30),DAY('Calendario H'!$F30)))</f>
        <v/>
      </c>
      <c r="D323" s="223">
        <f>IF($B323="","",TIME(HOUR('Calendario H'!$F30),MINUTE('Calendario H'!$F30),0))</f>
        <v/>
      </c>
      <c r="E323" s="222">
        <f>IF($B323="","",DATE(YEAR('Calendario H'!$F30),MONTH('Calendario H'!$F30),DAY('Calendario H'!$F30)))</f>
        <v/>
      </c>
      <c r="F323" s="223">
        <f>IF($B323="","",TIME(HOUR('Calendario H'!$F30)+2,MINUTE('Calendario H'!$F30),0))</f>
        <v/>
      </c>
      <c r="G323" s="68">
        <f>IF($B323="","",'Calendario H'!$B31)</f>
        <v/>
      </c>
      <c r="H323" s="68">
        <f>IF($B323="","",Campionato!$D$2&amp;" "&amp;Campionato!$D$6)</f>
        <v/>
      </c>
      <c r="I323" s="68" t="inlineStr"/>
    </row>
    <row r="324">
      <c r="A324" s="68">
        <f>IF($B324="","","BEGIN:VEVENT
DTSTAMP:"&amp;TEXT(NOW(),"yyyymmdd")&amp;"T000001Z
UID:evt323@ClaudeCoworkBaskin
DTSTART;TZID=Europe/Rome:"&amp;TEXT($C324,"yyyymmdd")&amp;"T"&amp;TEXT($D324,"hhmmss")&amp;"
DTEND;TZID=Europe/Rome:"&amp;TEXT($E324,"yyyymmdd")&amp;"T"&amp;TEXT($F324,"hhmmss")&amp;"
SUMMARY:"&amp;$B324&amp;"
LOCATION:"&amp;$G324&amp;"
DESCRIPTION:"&amp;$H324&amp;"
END:VEVENT")</f>
        <v/>
      </c>
      <c r="B324" s="68">
        <f>IF('Calendario H'!$B33="","",'Calendario H'!$B33&amp;" vs "&amp;'Calendario H'!$D33&amp;" "&amp;'Calendario H'!$AC33)</f>
        <v/>
      </c>
      <c r="C324" s="222">
        <f>IF($B324="","",DATE(YEAR('Calendario H'!$F33),MONTH('Calendario H'!$F33),DAY('Calendario H'!$F33)))</f>
        <v/>
      </c>
      <c r="D324" s="223">
        <f>IF($B324="","",TIME(HOUR('Calendario H'!$F33),MINUTE('Calendario H'!$F33),0))</f>
        <v/>
      </c>
      <c r="E324" s="222">
        <f>IF($B324="","",DATE(YEAR('Calendario H'!$F33),MONTH('Calendario H'!$F33),DAY('Calendario H'!$F33)))</f>
        <v/>
      </c>
      <c r="F324" s="223">
        <f>IF($B324="","",TIME(HOUR('Calendario H'!$F33)+2,MINUTE('Calendario H'!$F33),0))</f>
        <v/>
      </c>
      <c r="G324" s="68">
        <f>IF($B324="","",'Calendario H'!$B34)</f>
        <v/>
      </c>
      <c r="H324" s="68">
        <f>IF($B324="","",Campionato!$D$2&amp;" "&amp;Campionato!$D$6)</f>
        <v/>
      </c>
      <c r="I324" s="68" t="inlineStr"/>
    </row>
    <row r="325">
      <c r="A325" s="68">
        <f>IF($B325="","","BEGIN:VEVENT
DTSTAMP:"&amp;TEXT(NOW(),"yyyymmdd")&amp;"T000001Z
UID:evt324@ClaudeCoworkBaskin
DTSTART;TZID=Europe/Rome:"&amp;TEXT($C325,"yyyymmdd")&amp;"T"&amp;TEXT($D325,"hhmmss")&amp;"
DTEND;TZID=Europe/Rome:"&amp;TEXT($E325,"yyyymmdd")&amp;"T"&amp;TEXT($F325,"hhmmss")&amp;"
SUMMARY:"&amp;$B325&amp;"
LOCATION:"&amp;$G325&amp;"
DESCRIPTION:"&amp;$H325&amp;"
END:VEVENT")</f>
        <v/>
      </c>
      <c r="B325" s="68">
        <f>IF('Calendario H'!$B36="","",'Calendario H'!$B36&amp;" vs "&amp;'Calendario H'!$D36&amp;" "&amp;'Calendario H'!$AC36)</f>
        <v/>
      </c>
      <c r="C325" s="222">
        <f>IF($B325="","",DATE(YEAR('Calendario H'!$F36),MONTH('Calendario H'!$F36),DAY('Calendario H'!$F36)))</f>
        <v/>
      </c>
      <c r="D325" s="223">
        <f>IF($B325="","",TIME(HOUR('Calendario H'!$F36),MINUTE('Calendario H'!$F36),0))</f>
        <v/>
      </c>
      <c r="E325" s="222">
        <f>IF($B325="","",DATE(YEAR('Calendario H'!$F36),MONTH('Calendario H'!$F36),DAY('Calendario H'!$F36)))</f>
        <v/>
      </c>
      <c r="F325" s="223">
        <f>IF($B325="","",TIME(HOUR('Calendario H'!$F36)+2,MINUTE('Calendario H'!$F36),0))</f>
        <v/>
      </c>
      <c r="G325" s="68">
        <f>IF($B325="","",'Calendario H'!$B37)</f>
        <v/>
      </c>
      <c r="H325" s="68">
        <f>IF($B325="","",Campionato!$D$2&amp;" "&amp;Campionato!$D$6)</f>
        <v/>
      </c>
      <c r="I325" s="68" t="inlineStr"/>
    </row>
    <row r="326">
      <c r="A326" s="68">
        <f>IF($B326="","","BEGIN:VEVENT
DTSTAMP:"&amp;TEXT(NOW(),"yyyymmdd")&amp;"T000001Z
UID:evt325@ClaudeCoworkBaskin
DTSTART;TZID=Europe/Rome:"&amp;TEXT($C326,"yyyymmdd")&amp;"T"&amp;TEXT($D326,"hhmmss")&amp;"
DTEND;TZID=Europe/Rome:"&amp;TEXT($E326,"yyyymmdd")&amp;"T"&amp;TEXT($F326,"hhmmss")&amp;"
SUMMARY:"&amp;$B326&amp;"
LOCATION:"&amp;$G326&amp;"
DESCRIPTION:"&amp;$H326&amp;"
END:VEVENT")</f>
        <v/>
      </c>
      <c r="B326" s="68">
        <f>IF('Calendario H'!$B39="","",'Calendario H'!$B39&amp;" vs "&amp;'Calendario H'!$D39&amp;" "&amp;'Calendario H'!$AC39)</f>
        <v/>
      </c>
      <c r="C326" s="222">
        <f>IF($B326="","",DATE(YEAR('Calendario H'!$F39),MONTH('Calendario H'!$F39),DAY('Calendario H'!$F39)))</f>
        <v/>
      </c>
      <c r="D326" s="223">
        <f>IF($B326="","",TIME(HOUR('Calendario H'!$F39),MINUTE('Calendario H'!$F39),0))</f>
        <v/>
      </c>
      <c r="E326" s="222">
        <f>IF($B326="","",DATE(YEAR('Calendario H'!$F39),MONTH('Calendario H'!$F39),DAY('Calendario H'!$F39)))</f>
        <v/>
      </c>
      <c r="F326" s="223">
        <f>IF($B326="","",TIME(HOUR('Calendario H'!$F39)+2,MINUTE('Calendario H'!$F39),0))</f>
        <v/>
      </c>
      <c r="G326" s="68">
        <f>IF($B326="","",'Calendario H'!$B40)</f>
        <v/>
      </c>
      <c r="H326" s="68">
        <f>IF($B326="","",Campionato!$D$2&amp;" "&amp;Campionato!$D$6)</f>
        <v/>
      </c>
      <c r="I326" s="68" t="inlineStr"/>
    </row>
    <row r="327">
      <c r="A327" s="68">
        <f>IF($B327="","","BEGIN:VEVENT
DTSTAMP:"&amp;TEXT(NOW(),"yyyymmdd")&amp;"T000001Z
UID:evt326@ClaudeCoworkBaskin
DTSTART;TZID=Europe/Rome:"&amp;TEXT($C327,"yyyymmdd")&amp;"T"&amp;TEXT($D327,"hhmmss")&amp;"
DTEND;TZID=Europe/Rome:"&amp;TEXT($E327,"yyyymmdd")&amp;"T"&amp;TEXT($F327,"hhmmss")&amp;"
SUMMARY:"&amp;$B327&amp;"
LOCATION:"&amp;$G327&amp;"
DESCRIPTION:"&amp;$H327&amp;"
END:VEVENT")</f>
        <v/>
      </c>
      <c r="B327" s="68">
        <f>IF('Calendario H'!$B44="","",'Calendario H'!$B44&amp;" vs "&amp;'Calendario H'!$D44&amp;" "&amp;'Calendario H'!$AC44)</f>
        <v/>
      </c>
      <c r="C327" s="222">
        <f>IF($B327="","",DATE(YEAR('Calendario H'!$F44),MONTH('Calendario H'!$F44),DAY('Calendario H'!$F44)))</f>
        <v/>
      </c>
      <c r="D327" s="223">
        <f>IF($B327="","",TIME(HOUR('Calendario H'!$F44),MINUTE('Calendario H'!$F44),0))</f>
        <v/>
      </c>
      <c r="E327" s="222">
        <f>IF($B327="","",DATE(YEAR('Calendario H'!$F44),MONTH('Calendario H'!$F44),DAY('Calendario H'!$F44)))</f>
        <v/>
      </c>
      <c r="F327" s="223">
        <f>IF($B327="","",TIME(HOUR('Calendario H'!$F44)+2,MINUTE('Calendario H'!$F44),0))</f>
        <v/>
      </c>
      <c r="G327" s="68">
        <f>IF($B327="","",'Calendario H'!$B45)</f>
        <v/>
      </c>
      <c r="H327" s="68">
        <f>IF($B327="","",Campionato!$D$2&amp;" "&amp;Campionato!$D$6)</f>
        <v/>
      </c>
      <c r="I327" s="68" t="inlineStr"/>
    </row>
    <row r="328">
      <c r="A328" s="68">
        <f>IF($B328="","","BEGIN:VEVENT
DTSTAMP:"&amp;TEXT(NOW(),"yyyymmdd")&amp;"T000001Z
UID:evt327@ClaudeCoworkBaskin
DTSTART;TZID=Europe/Rome:"&amp;TEXT($C328,"yyyymmdd")&amp;"T"&amp;TEXT($D328,"hhmmss")&amp;"
DTEND;TZID=Europe/Rome:"&amp;TEXT($E328,"yyyymmdd")&amp;"T"&amp;TEXT($F328,"hhmmss")&amp;"
SUMMARY:"&amp;$B328&amp;"
LOCATION:"&amp;$G328&amp;"
DESCRIPTION:"&amp;$H328&amp;"
END:VEVENT")</f>
        <v/>
      </c>
      <c r="B328" s="68">
        <f>IF('Calendario H'!$B47="","",'Calendario H'!$B47&amp;" vs "&amp;'Calendario H'!$D47&amp;" "&amp;'Calendario H'!$AC47)</f>
        <v/>
      </c>
      <c r="C328" s="222">
        <f>IF($B328="","",DATE(YEAR('Calendario H'!$F47),MONTH('Calendario H'!$F47),DAY('Calendario H'!$F47)))</f>
        <v/>
      </c>
      <c r="D328" s="223">
        <f>IF($B328="","",TIME(HOUR('Calendario H'!$F47),MINUTE('Calendario H'!$F47),0))</f>
        <v/>
      </c>
      <c r="E328" s="222">
        <f>IF($B328="","",DATE(YEAR('Calendario H'!$F47),MONTH('Calendario H'!$F47),DAY('Calendario H'!$F47)))</f>
        <v/>
      </c>
      <c r="F328" s="223">
        <f>IF($B328="","",TIME(HOUR('Calendario H'!$F47)+2,MINUTE('Calendario H'!$F47),0))</f>
        <v/>
      </c>
      <c r="G328" s="68">
        <f>IF($B328="","",'Calendario H'!$B48)</f>
        <v/>
      </c>
      <c r="H328" s="68">
        <f>IF($B328="","",Campionato!$D$2&amp;" "&amp;Campionato!$D$6)</f>
        <v/>
      </c>
      <c r="I328" s="68" t="inlineStr"/>
    </row>
    <row r="329">
      <c r="A329" s="68">
        <f>IF($B329="","","BEGIN:VEVENT
DTSTAMP:"&amp;TEXT(NOW(),"yyyymmdd")&amp;"T000001Z
UID:evt328@ClaudeCoworkBaskin
DTSTART;TZID=Europe/Rome:"&amp;TEXT($C329,"yyyymmdd")&amp;"T"&amp;TEXT($D329,"hhmmss")&amp;"
DTEND;TZID=Europe/Rome:"&amp;TEXT($E329,"yyyymmdd")&amp;"T"&amp;TEXT($F329,"hhmmss")&amp;"
SUMMARY:"&amp;$B329&amp;"
LOCATION:"&amp;$G329&amp;"
DESCRIPTION:"&amp;$H329&amp;"
END:VEVENT")</f>
        <v/>
      </c>
      <c r="B329" s="68">
        <f>IF('Calendario H'!$B50="","",'Calendario H'!$B50&amp;" vs "&amp;'Calendario H'!$D50&amp;" "&amp;'Calendario H'!$AC50)</f>
        <v/>
      </c>
      <c r="C329" s="222">
        <f>IF($B329="","",DATE(YEAR('Calendario H'!$F50),MONTH('Calendario H'!$F50),DAY('Calendario H'!$F50)))</f>
        <v/>
      </c>
      <c r="D329" s="223">
        <f>IF($B329="","",TIME(HOUR('Calendario H'!$F50),MINUTE('Calendario H'!$F50),0))</f>
        <v/>
      </c>
      <c r="E329" s="222">
        <f>IF($B329="","",DATE(YEAR('Calendario H'!$F50),MONTH('Calendario H'!$F50),DAY('Calendario H'!$F50)))</f>
        <v/>
      </c>
      <c r="F329" s="223">
        <f>IF($B329="","",TIME(HOUR('Calendario H'!$F50)+2,MINUTE('Calendario H'!$F50),0))</f>
        <v/>
      </c>
      <c r="G329" s="68">
        <f>IF($B329="","",'Calendario H'!$B51)</f>
        <v/>
      </c>
      <c r="H329" s="68">
        <f>IF($B329="","",Campionato!$D$2&amp;" "&amp;Campionato!$D$6)</f>
        <v/>
      </c>
      <c r="I329" s="68" t="inlineStr"/>
    </row>
    <row r="330">
      <c r="A330" s="68">
        <f>IF($B330="","","BEGIN:VEVENT
DTSTAMP:"&amp;TEXT(NOW(),"yyyymmdd")&amp;"T000001Z
UID:evt329@ClaudeCoworkBaskin
DTSTART;TZID=Europe/Rome:"&amp;TEXT($C330,"yyyymmdd")&amp;"T"&amp;TEXT($D330,"hhmmss")&amp;"
DTEND;TZID=Europe/Rome:"&amp;TEXT($E330,"yyyymmdd")&amp;"T"&amp;TEXT($F330,"hhmmss")&amp;"
SUMMARY:"&amp;$B330&amp;"
LOCATION:"&amp;$G330&amp;"
DESCRIPTION:"&amp;$H330&amp;"
END:VEVENT")</f>
        <v/>
      </c>
      <c r="B330" s="68">
        <f>IF('Calendario H'!$B53="","",'Calendario H'!$B53&amp;" vs "&amp;'Calendario H'!$D53&amp;" "&amp;'Calendario H'!$AC53)</f>
        <v/>
      </c>
      <c r="C330" s="222">
        <f>IF($B330="","",DATE(YEAR('Calendario H'!$F53),MONTH('Calendario H'!$F53),DAY('Calendario H'!$F53)))</f>
        <v/>
      </c>
      <c r="D330" s="223">
        <f>IF($B330="","",TIME(HOUR('Calendario H'!$F53),MINUTE('Calendario H'!$F53),0))</f>
        <v/>
      </c>
      <c r="E330" s="222">
        <f>IF($B330="","",DATE(YEAR('Calendario H'!$F53),MONTH('Calendario H'!$F53),DAY('Calendario H'!$F53)))</f>
        <v/>
      </c>
      <c r="F330" s="223">
        <f>IF($B330="","",TIME(HOUR('Calendario H'!$F53)+2,MINUTE('Calendario H'!$F53),0))</f>
        <v/>
      </c>
      <c r="G330" s="68">
        <f>IF($B330="","",'Calendario H'!$B54)</f>
        <v/>
      </c>
      <c r="H330" s="68">
        <f>IF($B330="","",Campionato!$D$2&amp;" "&amp;Campionato!$D$6)</f>
        <v/>
      </c>
      <c r="I330" s="68" t="inlineStr"/>
    </row>
    <row r="331">
      <c r="A331" s="68">
        <f>IF($B331="","","BEGIN:VEVENT
DTSTAMP:"&amp;TEXT(NOW(),"yyyymmdd")&amp;"T000001Z
UID:evt330@ClaudeCoworkBaskin
DTSTART;TZID=Europe/Rome:"&amp;TEXT($C331,"yyyymmdd")&amp;"T"&amp;TEXT($D331,"hhmmss")&amp;"
DTEND;TZID=Europe/Rome:"&amp;TEXT($E331,"yyyymmdd")&amp;"T"&amp;TEXT($F331,"hhmmss")&amp;"
SUMMARY:"&amp;$B331&amp;"
LOCATION:"&amp;$G331&amp;"
DESCRIPTION:"&amp;$H331&amp;"
END:VEVENT")</f>
        <v/>
      </c>
      <c r="B331" s="68">
        <f>IF('Calendario H'!$B56="","",'Calendario H'!$B56&amp;" vs "&amp;'Calendario H'!$D56&amp;" "&amp;'Calendario H'!$AC56)</f>
        <v/>
      </c>
      <c r="C331" s="222">
        <f>IF($B331="","",DATE(YEAR('Calendario H'!$F56),MONTH('Calendario H'!$F56),DAY('Calendario H'!$F56)))</f>
        <v/>
      </c>
      <c r="D331" s="223">
        <f>IF($B331="","",TIME(HOUR('Calendario H'!$F56),MINUTE('Calendario H'!$F56),0))</f>
        <v/>
      </c>
      <c r="E331" s="222">
        <f>IF($B331="","",DATE(YEAR('Calendario H'!$F56),MONTH('Calendario H'!$F56),DAY('Calendario H'!$F56)))</f>
        <v/>
      </c>
      <c r="F331" s="223">
        <f>IF($B331="","",TIME(HOUR('Calendario H'!$F56)+2,MINUTE('Calendario H'!$F56),0))</f>
        <v/>
      </c>
      <c r="G331" s="68">
        <f>IF($B331="","",'Calendario H'!$B57)</f>
        <v/>
      </c>
      <c r="H331" s="68">
        <f>IF($B331="","",Campionato!$D$2&amp;" "&amp;Campionato!$D$6)</f>
        <v/>
      </c>
      <c r="I331" s="68" t="inlineStr"/>
    </row>
    <row r="332">
      <c r="A332" s="68">
        <f>IF($B332="","","BEGIN:VEVENT
DTSTAMP:"&amp;TEXT(NOW(),"yyyymmdd")&amp;"T000001Z
UID:evt331@ClaudeCoworkBaskin
DTSTART;TZID=Europe/Rome:"&amp;TEXT($C332,"yyyymmdd")&amp;"T"&amp;TEXT($D332,"hhmmss")&amp;"
DTEND;TZID=Europe/Rome:"&amp;TEXT($E332,"yyyymmdd")&amp;"T"&amp;TEXT($F332,"hhmmss")&amp;"
SUMMARY:"&amp;$B332&amp;"
LOCATION:"&amp;$G332&amp;"
DESCRIPTION:"&amp;$H332&amp;"
END:VEVENT")</f>
        <v/>
      </c>
      <c r="B332" s="68">
        <f>IF('Calendario H'!$B61="","",'Calendario H'!$B61&amp;" vs "&amp;'Calendario H'!$D61&amp;" "&amp;'Calendario H'!$AC61)</f>
        <v/>
      </c>
      <c r="C332" s="222">
        <f>IF($B332="","",DATE(YEAR('Calendario H'!$F61),MONTH('Calendario H'!$F61),DAY('Calendario H'!$F61)))</f>
        <v/>
      </c>
      <c r="D332" s="223">
        <f>IF($B332="","",TIME(HOUR('Calendario H'!$F61),MINUTE('Calendario H'!$F61),0))</f>
        <v/>
      </c>
      <c r="E332" s="222">
        <f>IF($B332="","",DATE(YEAR('Calendario H'!$F61),MONTH('Calendario H'!$F61),DAY('Calendario H'!$F61)))</f>
        <v/>
      </c>
      <c r="F332" s="223">
        <f>IF($B332="","",TIME(HOUR('Calendario H'!$F61)+2,MINUTE('Calendario H'!$F61),0))</f>
        <v/>
      </c>
      <c r="G332" s="68">
        <f>IF($B332="","",'Calendario H'!$B62)</f>
        <v/>
      </c>
      <c r="H332" s="68">
        <f>IF($B332="","",Campionato!$D$2&amp;" "&amp;Campionato!$D$6)</f>
        <v/>
      </c>
      <c r="I332" s="68" t="inlineStr"/>
    </row>
    <row r="333">
      <c r="A333" s="68">
        <f>IF($B333="","","BEGIN:VEVENT
DTSTAMP:"&amp;TEXT(NOW(),"yyyymmdd")&amp;"T000001Z
UID:evt332@ClaudeCoworkBaskin
DTSTART;TZID=Europe/Rome:"&amp;TEXT($C333,"yyyymmdd")&amp;"T"&amp;TEXT($D333,"hhmmss")&amp;"
DTEND;TZID=Europe/Rome:"&amp;TEXT($E333,"yyyymmdd")&amp;"T"&amp;TEXT($F333,"hhmmss")&amp;"
SUMMARY:"&amp;$B333&amp;"
LOCATION:"&amp;$G333&amp;"
DESCRIPTION:"&amp;$H333&amp;"
END:VEVENT")</f>
        <v/>
      </c>
      <c r="B333" s="68">
        <f>IF('Calendario H'!$B64="","",'Calendario H'!$B64&amp;" vs "&amp;'Calendario H'!$D64&amp;" "&amp;'Calendario H'!$AC64)</f>
        <v/>
      </c>
      <c r="C333" s="222">
        <f>IF($B333="","",DATE(YEAR('Calendario H'!$F64),MONTH('Calendario H'!$F64),DAY('Calendario H'!$F64)))</f>
        <v/>
      </c>
      <c r="D333" s="223">
        <f>IF($B333="","",TIME(HOUR('Calendario H'!$F64),MINUTE('Calendario H'!$F64),0))</f>
        <v/>
      </c>
      <c r="E333" s="222">
        <f>IF($B333="","",DATE(YEAR('Calendario H'!$F64),MONTH('Calendario H'!$F64),DAY('Calendario H'!$F64)))</f>
        <v/>
      </c>
      <c r="F333" s="223">
        <f>IF($B333="","",TIME(HOUR('Calendario H'!$F64)+2,MINUTE('Calendario H'!$F64),0))</f>
        <v/>
      </c>
      <c r="G333" s="68">
        <f>IF($B333="","",'Calendario H'!$B65)</f>
        <v/>
      </c>
      <c r="H333" s="68">
        <f>IF($B333="","",Campionato!$D$2&amp;" "&amp;Campionato!$D$6)</f>
        <v/>
      </c>
      <c r="I333" s="68" t="inlineStr"/>
    </row>
    <row r="334">
      <c r="A334" s="68">
        <f>IF($B334="","","BEGIN:VEVENT
DTSTAMP:"&amp;TEXT(NOW(),"yyyymmdd")&amp;"T000001Z
UID:evt333@ClaudeCoworkBaskin
DTSTART;TZID=Europe/Rome:"&amp;TEXT($C334,"yyyymmdd")&amp;"T"&amp;TEXT($D334,"hhmmss")&amp;"
DTEND;TZID=Europe/Rome:"&amp;TEXT($E334,"yyyymmdd")&amp;"T"&amp;TEXT($F334,"hhmmss")&amp;"
SUMMARY:"&amp;$B334&amp;"
LOCATION:"&amp;$G334&amp;"
DESCRIPTION:"&amp;$H334&amp;"
END:VEVENT")</f>
        <v/>
      </c>
      <c r="B334" s="68">
        <f>IF('Calendario H'!$B67="","",'Calendario H'!$B67&amp;" vs "&amp;'Calendario H'!$D67&amp;" "&amp;'Calendario H'!$AC67)</f>
        <v/>
      </c>
      <c r="C334" s="222">
        <f>IF($B334="","",DATE(YEAR('Calendario H'!$F67),MONTH('Calendario H'!$F67),DAY('Calendario H'!$F67)))</f>
        <v/>
      </c>
      <c r="D334" s="223">
        <f>IF($B334="","",TIME(HOUR('Calendario H'!$F67),MINUTE('Calendario H'!$F67),0))</f>
        <v/>
      </c>
      <c r="E334" s="222">
        <f>IF($B334="","",DATE(YEAR('Calendario H'!$F67),MONTH('Calendario H'!$F67),DAY('Calendario H'!$F67)))</f>
        <v/>
      </c>
      <c r="F334" s="223">
        <f>IF($B334="","",TIME(HOUR('Calendario H'!$F67)+2,MINUTE('Calendario H'!$F67),0))</f>
        <v/>
      </c>
      <c r="G334" s="68">
        <f>IF($B334="","",'Calendario H'!$B68)</f>
        <v/>
      </c>
      <c r="H334" s="68">
        <f>IF($B334="","",Campionato!$D$2&amp;" "&amp;Campionato!$D$6)</f>
        <v/>
      </c>
      <c r="I334" s="68" t="inlineStr"/>
    </row>
    <row r="335">
      <c r="A335" s="68">
        <f>IF($B335="","","BEGIN:VEVENT
DTSTAMP:"&amp;TEXT(NOW(),"yyyymmdd")&amp;"T000001Z
UID:evt334@ClaudeCoworkBaskin
DTSTART;TZID=Europe/Rome:"&amp;TEXT($C335,"yyyymmdd")&amp;"T"&amp;TEXT($D335,"hhmmss")&amp;"
DTEND;TZID=Europe/Rome:"&amp;TEXT($E335,"yyyymmdd")&amp;"T"&amp;TEXT($F335,"hhmmss")&amp;"
SUMMARY:"&amp;$B335&amp;"
LOCATION:"&amp;$G335&amp;"
DESCRIPTION:"&amp;$H335&amp;"
END:VEVENT")</f>
        <v/>
      </c>
      <c r="B335" s="68">
        <f>IF('Calendario H'!$B70="","",'Calendario H'!$B70&amp;" vs "&amp;'Calendario H'!$D70&amp;" "&amp;'Calendario H'!$AC70)</f>
        <v/>
      </c>
      <c r="C335" s="222">
        <f>IF($B335="","",DATE(YEAR('Calendario H'!$F70),MONTH('Calendario H'!$F70),DAY('Calendario H'!$F70)))</f>
        <v/>
      </c>
      <c r="D335" s="223">
        <f>IF($B335="","",TIME(HOUR('Calendario H'!$F70),MINUTE('Calendario H'!$F70),0))</f>
        <v/>
      </c>
      <c r="E335" s="222">
        <f>IF($B335="","",DATE(YEAR('Calendario H'!$F70),MONTH('Calendario H'!$F70),DAY('Calendario H'!$F70)))</f>
        <v/>
      </c>
      <c r="F335" s="223">
        <f>IF($B335="","",TIME(HOUR('Calendario H'!$F70)+2,MINUTE('Calendario H'!$F70),0))</f>
        <v/>
      </c>
      <c r="G335" s="68">
        <f>IF($B335="","",'Calendario H'!$B71)</f>
        <v/>
      </c>
      <c r="H335" s="68">
        <f>IF($B335="","",Campionato!$D$2&amp;" "&amp;Campionato!$D$6)</f>
        <v/>
      </c>
      <c r="I335" s="68" t="inlineStr"/>
    </row>
    <row r="336">
      <c r="A336" s="68">
        <f>IF($B336="","","BEGIN:VEVENT
DTSTAMP:"&amp;TEXT(NOW(),"yyyymmdd")&amp;"T000001Z
UID:evt335@ClaudeCoworkBaskin
DTSTART;TZID=Europe/Rome:"&amp;TEXT($C336,"yyyymmdd")&amp;"T"&amp;TEXT($D336,"hhmmss")&amp;"
DTEND;TZID=Europe/Rome:"&amp;TEXT($E336,"yyyymmdd")&amp;"T"&amp;TEXT($F336,"hhmmss")&amp;"
SUMMARY:"&amp;$B336&amp;"
LOCATION:"&amp;$G336&amp;"
DESCRIPTION:"&amp;$H336&amp;"
END:VEVENT")</f>
        <v/>
      </c>
      <c r="B336" s="68">
        <f>IF('Calendario H'!$B73="","",'Calendario H'!$B73&amp;" vs "&amp;'Calendario H'!$D73&amp;" "&amp;'Calendario H'!$AC73)</f>
        <v/>
      </c>
      <c r="C336" s="222">
        <f>IF($B336="","",DATE(YEAR('Calendario H'!$F73),MONTH('Calendario H'!$F73),DAY('Calendario H'!$F73)))</f>
        <v/>
      </c>
      <c r="D336" s="223">
        <f>IF($B336="","",TIME(HOUR('Calendario H'!$F73),MINUTE('Calendario H'!$F73),0))</f>
        <v/>
      </c>
      <c r="E336" s="222">
        <f>IF($B336="","",DATE(YEAR('Calendario H'!$F73),MONTH('Calendario H'!$F73),DAY('Calendario H'!$F73)))</f>
        <v/>
      </c>
      <c r="F336" s="223">
        <f>IF($B336="","",TIME(HOUR('Calendario H'!$F73)+2,MINUTE('Calendario H'!$F73),0))</f>
        <v/>
      </c>
      <c r="G336" s="68">
        <f>IF($B336="","",'Calendario H'!$B74)</f>
        <v/>
      </c>
      <c r="H336" s="68">
        <f>IF($B336="","",Campionato!$D$2&amp;" "&amp;Campionato!$D$6)</f>
        <v/>
      </c>
      <c r="I336" s="68" t="inlineStr"/>
    </row>
    <row r="337">
      <c r="A337" s="68">
        <f>IF($B337="","","BEGIN:VEVENT
DTSTAMP:"&amp;TEXT(NOW(),"yyyymmdd")&amp;"T000001Z
UID:evt336@ClaudeCoworkBaskin
DTSTART;TZID=Europe/Rome:"&amp;TEXT($C337,"yyyymmdd")&amp;"T"&amp;TEXT($D337,"hhmmss")&amp;"
DTEND;TZID=Europe/Rome:"&amp;TEXT($E337,"yyyymmdd")&amp;"T"&amp;TEXT($F337,"hhmmss")&amp;"
SUMMARY:"&amp;$B337&amp;"
LOCATION:"&amp;$G337&amp;"
DESCRIPTION:"&amp;$H337&amp;"
END:VEVENT")</f>
        <v/>
      </c>
      <c r="B337" s="68">
        <f>IF('Calendario H'!$B78="","",'Calendario H'!$B78&amp;" vs "&amp;'Calendario H'!$D78&amp;" "&amp;'Calendario H'!$AC78)</f>
        <v/>
      </c>
      <c r="C337" s="222">
        <f>IF($B337="","",DATE(YEAR('Calendario H'!$F78),MONTH('Calendario H'!$F78),DAY('Calendario H'!$F78)))</f>
        <v/>
      </c>
      <c r="D337" s="223">
        <f>IF($B337="","",TIME(HOUR('Calendario H'!$F78),MINUTE('Calendario H'!$F78),0))</f>
        <v/>
      </c>
      <c r="E337" s="222">
        <f>IF($B337="","",DATE(YEAR('Calendario H'!$F78),MONTH('Calendario H'!$F78),DAY('Calendario H'!$F78)))</f>
        <v/>
      </c>
      <c r="F337" s="223">
        <f>IF($B337="","",TIME(HOUR('Calendario H'!$F78)+2,MINUTE('Calendario H'!$F78),0))</f>
        <v/>
      </c>
      <c r="G337" s="68">
        <f>IF($B337="","",'Calendario H'!$B79)</f>
        <v/>
      </c>
      <c r="H337" s="68">
        <f>IF($B337="","",Campionato!$D$2&amp;" "&amp;Campionato!$D$6)</f>
        <v/>
      </c>
      <c r="I337" s="68" t="inlineStr"/>
    </row>
    <row r="338">
      <c r="A338" s="68">
        <f>IF($B338="","","BEGIN:VEVENT
DTSTAMP:"&amp;TEXT(NOW(),"yyyymmdd")&amp;"T000001Z
UID:evt337@ClaudeCoworkBaskin
DTSTART;TZID=Europe/Rome:"&amp;TEXT($C338,"yyyymmdd")&amp;"T"&amp;TEXT($D338,"hhmmss")&amp;"
DTEND;TZID=Europe/Rome:"&amp;TEXT($E338,"yyyymmdd")&amp;"T"&amp;TEXT($F338,"hhmmss")&amp;"
SUMMARY:"&amp;$B338&amp;"
LOCATION:"&amp;$G338&amp;"
DESCRIPTION:"&amp;$H338&amp;"
END:VEVENT")</f>
        <v/>
      </c>
      <c r="B338" s="68">
        <f>IF('Calendario H'!$B81="","",'Calendario H'!$B81&amp;" vs "&amp;'Calendario H'!$D81&amp;" "&amp;'Calendario H'!$AC81)</f>
        <v/>
      </c>
      <c r="C338" s="222">
        <f>IF($B338="","",DATE(YEAR('Calendario H'!$F81),MONTH('Calendario H'!$F81),DAY('Calendario H'!$F81)))</f>
        <v/>
      </c>
      <c r="D338" s="223">
        <f>IF($B338="","",TIME(HOUR('Calendario H'!$F81),MINUTE('Calendario H'!$F81),0))</f>
        <v/>
      </c>
      <c r="E338" s="222">
        <f>IF($B338="","",DATE(YEAR('Calendario H'!$F81),MONTH('Calendario H'!$F81),DAY('Calendario H'!$F81)))</f>
        <v/>
      </c>
      <c r="F338" s="223">
        <f>IF($B338="","",TIME(HOUR('Calendario H'!$F81)+2,MINUTE('Calendario H'!$F81),0))</f>
        <v/>
      </c>
      <c r="G338" s="68">
        <f>IF($B338="","",'Calendario H'!$B82)</f>
        <v/>
      </c>
      <c r="H338" s="68">
        <f>IF($B338="","",Campionato!$D$2&amp;" "&amp;Campionato!$D$6)</f>
        <v/>
      </c>
      <c r="I338" s="68" t="inlineStr"/>
    </row>
    <row r="339">
      <c r="A339" s="68">
        <f>IF($B339="","","BEGIN:VEVENT
DTSTAMP:"&amp;TEXT(NOW(),"yyyymmdd")&amp;"T000001Z
UID:evt338@ClaudeCoworkBaskin
DTSTART;TZID=Europe/Rome:"&amp;TEXT($C339,"yyyymmdd")&amp;"T"&amp;TEXT($D339,"hhmmss")&amp;"
DTEND;TZID=Europe/Rome:"&amp;TEXT($E339,"yyyymmdd")&amp;"T"&amp;TEXT($F339,"hhmmss")&amp;"
SUMMARY:"&amp;$B339&amp;"
LOCATION:"&amp;$G339&amp;"
DESCRIPTION:"&amp;$H339&amp;"
END:VEVENT")</f>
        <v/>
      </c>
      <c r="B339" s="68">
        <f>IF('Calendario H'!$B84="","",'Calendario H'!$B84&amp;" vs "&amp;'Calendario H'!$D84&amp;" "&amp;'Calendario H'!$AC84)</f>
        <v/>
      </c>
      <c r="C339" s="222">
        <f>IF($B339="","",DATE(YEAR('Calendario H'!$F84),MONTH('Calendario H'!$F84),DAY('Calendario H'!$F84)))</f>
        <v/>
      </c>
      <c r="D339" s="223">
        <f>IF($B339="","",TIME(HOUR('Calendario H'!$F84),MINUTE('Calendario H'!$F84),0))</f>
        <v/>
      </c>
      <c r="E339" s="222">
        <f>IF($B339="","",DATE(YEAR('Calendario H'!$F84),MONTH('Calendario H'!$F84),DAY('Calendario H'!$F84)))</f>
        <v/>
      </c>
      <c r="F339" s="223">
        <f>IF($B339="","",TIME(HOUR('Calendario H'!$F84)+2,MINUTE('Calendario H'!$F84),0))</f>
        <v/>
      </c>
      <c r="G339" s="68">
        <f>IF($B339="","",'Calendario H'!$B85)</f>
        <v/>
      </c>
      <c r="H339" s="68">
        <f>IF($B339="","",Campionato!$D$2&amp;" "&amp;Campionato!$D$6)</f>
        <v/>
      </c>
      <c r="I339" s="68" t="inlineStr"/>
    </row>
    <row r="340">
      <c r="A340" s="68">
        <f>IF($B340="","","BEGIN:VEVENT
DTSTAMP:"&amp;TEXT(NOW(),"yyyymmdd")&amp;"T000001Z
UID:evt339@ClaudeCoworkBaskin
DTSTART;TZID=Europe/Rome:"&amp;TEXT($C340,"yyyymmdd")&amp;"T"&amp;TEXT($D340,"hhmmss")&amp;"
DTEND;TZID=Europe/Rome:"&amp;TEXT($E340,"yyyymmdd")&amp;"T"&amp;TEXT($F340,"hhmmss")&amp;"
SUMMARY:"&amp;$B340&amp;"
LOCATION:"&amp;$G340&amp;"
DESCRIPTION:"&amp;$H340&amp;"
END:VEVENT")</f>
        <v/>
      </c>
      <c r="B340" s="68">
        <f>IF('Calendario H'!$B87="","",'Calendario H'!$B87&amp;" vs "&amp;'Calendario H'!$D87&amp;" "&amp;'Calendario H'!$AC87)</f>
        <v/>
      </c>
      <c r="C340" s="222">
        <f>IF($B340="","",DATE(YEAR('Calendario H'!$F87),MONTH('Calendario H'!$F87),DAY('Calendario H'!$F87)))</f>
        <v/>
      </c>
      <c r="D340" s="223">
        <f>IF($B340="","",TIME(HOUR('Calendario H'!$F87),MINUTE('Calendario H'!$F87),0))</f>
        <v/>
      </c>
      <c r="E340" s="222">
        <f>IF($B340="","",DATE(YEAR('Calendario H'!$F87),MONTH('Calendario H'!$F87),DAY('Calendario H'!$F87)))</f>
        <v/>
      </c>
      <c r="F340" s="223">
        <f>IF($B340="","",TIME(HOUR('Calendario H'!$F87)+2,MINUTE('Calendario H'!$F87),0))</f>
        <v/>
      </c>
      <c r="G340" s="68">
        <f>IF($B340="","",'Calendario H'!$B88)</f>
        <v/>
      </c>
      <c r="H340" s="68">
        <f>IF($B340="","",Campionato!$D$2&amp;" "&amp;Campionato!$D$6)</f>
        <v/>
      </c>
      <c r="I340" s="68" t="inlineStr"/>
    </row>
    <row r="341">
      <c r="A341" s="68">
        <f>IF($B341="","","BEGIN:VEVENT
DTSTAMP:"&amp;TEXT(NOW(),"yyyymmdd")&amp;"T000001Z
UID:evt340@ClaudeCoworkBaskin
DTSTART;TZID=Europe/Rome:"&amp;TEXT($C341,"yyyymmdd")&amp;"T"&amp;TEXT($D341,"hhmmss")&amp;"
DTEND;TZID=Europe/Rome:"&amp;TEXT($E341,"yyyymmdd")&amp;"T"&amp;TEXT($F341,"hhmmss")&amp;"
SUMMARY:"&amp;$B341&amp;"
LOCATION:"&amp;$G341&amp;"
DESCRIPTION:"&amp;$H341&amp;"
END:VEVENT")</f>
        <v/>
      </c>
      <c r="B341" s="68">
        <f>IF('Calendario H'!$B90="","",'Calendario H'!$B90&amp;" vs "&amp;'Calendario H'!$D90&amp;" "&amp;'Calendario H'!$AC90)</f>
        <v/>
      </c>
      <c r="C341" s="222">
        <f>IF($B341="","",DATE(YEAR('Calendario H'!$F90),MONTH('Calendario H'!$F90),DAY('Calendario H'!$F90)))</f>
        <v/>
      </c>
      <c r="D341" s="223">
        <f>IF($B341="","",TIME(HOUR('Calendario H'!$F90),MINUTE('Calendario H'!$F90),0))</f>
        <v/>
      </c>
      <c r="E341" s="222">
        <f>IF($B341="","",DATE(YEAR('Calendario H'!$F90),MONTH('Calendario H'!$F90),DAY('Calendario H'!$F90)))</f>
        <v/>
      </c>
      <c r="F341" s="223">
        <f>IF($B341="","",TIME(HOUR('Calendario H'!$F90)+2,MINUTE('Calendario H'!$F90),0))</f>
        <v/>
      </c>
      <c r="G341" s="68">
        <f>IF($B341="","",'Calendario H'!$B91)</f>
        <v/>
      </c>
      <c r="H341" s="68">
        <f>IF($B341="","",Campionato!$D$2&amp;" "&amp;Campionato!$D$6)</f>
        <v/>
      </c>
      <c r="I341" s="68" t="inlineStr"/>
    </row>
    <row r="342">
      <c r="A342" s="68">
        <f>IF($B342="","","BEGIN:VEVENT
DTSTAMP:"&amp;TEXT(NOW(),"yyyymmdd")&amp;"T000001Z
UID:evt341@ClaudeCoworkBaskin
DTSTART;TZID=Europe/Rome:"&amp;TEXT($C342,"yyyymmdd")&amp;"T"&amp;TEXT($D342,"hhmmss")&amp;"
DTEND;TZID=Europe/Rome:"&amp;TEXT($E342,"yyyymmdd")&amp;"T"&amp;TEXT($F342,"hhmmss")&amp;"
SUMMARY:"&amp;$B342&amp;"
LOCATION:"&amp;$G342&amp;"
DESCRIPTION:"&amp;$H342&amp;"
END:VEVENT")</f>
        <v/>
      </c>
      <c r="B342" s="68">
        <f>IF('Calendario H'!$B95="","",'Calendario H'!$B95&amp;" vs "&amp;'Calendario H'!$D95&amp;" "&amp;'Calendario H'!$AC95)</f>
        <v/>
      </c>
      <c r="C342" s="222">
        <f>IF($B342="","",DATE(YEAR('Calendario H'!$F95),MONTH('Calendario H'!$F95),DAY('Calendario H'!$F95)))</f>
        <v/>
      </c>
      <c r="D342" s="223">
        <f>IF($B342="","",TIME(HOUR('Calendario H'!$F95),MINUTE('Calendario H'!$F95),0))</f>
        <v/>
      </c>
      <c r="E342" s="222">
        <f>IF($B342="","",DATE(YEAR('Calendario H'!$F95),MONTH('Calendario H'!$F95),DAY('Calendario H'!$F95)))</f>
        <v/>
      </c>
      <c r="F342" s="223">
        <f>IF($B342="","",TIME(HOUR('Calendario H'!$F95)+2,MINUTE('Calendario H'!$F95),0))</f>
        <v/>
      </c>
      <c r="G342" s="68">
        <f>IF($B342="","",'Calendario H'!$B96)</f>
        <v/>
      </c>
      <c r="H342" s="68">
        <f>IF($B342="","",Campionato!$D$2&amp;" "&amp;Campionato!$D$6)</f>
        <v/>
      </c>
      <c r="I342" s="68" t="inlineStr"/>
    </row>
    <row r="343">
      <c r="A343" s="68">
        <f>IF($B343="","","BEGIN:VEVENT
DTSTAMP:"&amp;TEXT(NOW(),"yyyymmdd")&amp;"T000001Z
UID:evt342@ClaudeCoworkBaskin
DTSTART;TZID=Europe/Rome:"&amp;TEXT($C343,"yyyymmdd")&amp;"T"&amp;TEXT($D343,"hhmmss")&amp;"
DTEND;TZID=Europe/Rome:"&amp;TEXT($E343,"yyyymmdd")&amp;"T"&amp;TEXT($F343,"hhmmss")&amp;"
SUMMARY:"&amp;$B343&amp;"
LOCATION:"&amp;$G343&amp;"
DESCRIPTION:"&amp;$H343&amp;"
END:VEVENT")</f>
        <v/>
      </c>
      <c r="B343" s="68">
        <f>IF('Calendario H'!$B98="","",'Calendario H'!$B98&amp;" vs "&amp;'Calendario H'!$D98&amp;" "&amp;'Calendario H'!$AC98)</f>
        <v/>
      </c>
      <c r="C343" s="222">
        <f>IF($B343="","",DATE(YEAR('Calendario H'!$F98),MONTH('Calendario H'!$F98),DAY('Calendario H'!$F98)))</f>
        <v/>
      </c>
      <c r="D343" s="223">
        <f>IF($B343="","",TIME(HOUR('Calendario H'!$F98),MINUTE('Calendario H'!$F98),0))</f>
        <v/>
      </c>
      <c r="E343" s="222">
        <f>IF($B343="","",DATE(YEAR('Calendario H'!$F98),MONTH('Calendario H'!$F98),DAY('Calendario H'!$F98)))</f>
        <v/>
      </c>
      <c r="F343" s="223">
        <f>IF($B343="","",TIME(HOUR('Calendario H'!$F98)+2,MINUTE('Calendario H'!$F98),0))</f>
        <v/>
      </c>
      <c r="G343" s="68">
        <f>IF($B343="","",'Calendario H'!$B99)</f>
        <v/>
      </c>
      <c r="H343" s="68">
        <f>IF($B343="","",Campionato!$D$2&amp;" "&amp;Campionato!$D$6)</f>
        <v/>
      </c>
      <c r="I343" s="68" t="inlineStr"/>
    </row>
    <row r="344">
      <c r="A344" s="68">
        <f>IF($B344="","","BEGIN:VEVENT
DTSTAMP:"&amp;TEXT(NOW(),"yyyymmdd")&amp;"T000001Z
UID:evt343@ClaudeCoworkBaskin
DTSTART;TZID=Europe/Rome:"&amp;TEXT($C344,"yyyymmdd")&amp;"T"&amp;TEXT($D344,"hhmmss")&amp;"
DTEND;TZID=Europe/Rome:"&amp;TEXT($E344,"yyyymmdd")&amp;"T"&amp;TEXT($F344,"hhmmss")&amp;"
SUMMARY:"&amp;$B344&amp;"
LOCATION:"&amp;$G344&amp;"
DESCRIPTION:"&amp;$H344&amp;"
END:VEVENT")</f>
        <v/>
      </c>
      <c r="B344" s="68">
        <f>IF('Calendario H'!$B101="","",'Calendario H'!$B101&amp;" vs "&amp;'Calendario H'!$D101&amp;" "&amp;'Calendario H'!$AC101)</f>
        <v/>
      </c>
      <c r="C344" s="222">
        <f>IF($B344="","",DATE(YEAR('Calendario H'!$F101),MONTH('Calendario H'!$F101),DAY('Calendario H'!$F101)))</f>
        <v/>
      </c>
      <c r="D344" s="223">
        <f>IF($B344="","",TIME(HOUR('Calendario H'!$F101),MINUTE('Calendario H'!$F101),0))</f>
        <v/>
      </c>
      <c r="E344" s="222">
        <f>IF($B344="","",DATE(YEAR('Calendario H'!$F101),MONTH('Calendario H'!$F101),DAY('Calendario H'!$F101)))</f>
        <v/>
      </c>
      <c r="F344" s="223">
        <f>IF($B344="","",TIME(HOUR('Calendario H'!$F101)+2,MINUTE('Calendario H'!$F101),0))</f>
        <v/>
      </c>
      <c r="G344" s="68">
        <f>IF($B344="","",'Calendario H'!$B102)</f>
        <v/>
      </c>
      <c r="H344" s="68">
        <f>IF($B344="","",Campionato!$D$2&amp;" "&amp;Campionato!$D$6)</f>
        <v/>
      </c>
      <c r="I344" s="68" t="inlineStr"/>
    </row>
    <row r="345">
      <c r="A345" s="68">
        <f>IF($B345="","","BEGIN:VEVENT
DTSTAMP:"&amp;TEXT(NOW(),"yyyymmdd")&amp;"T000001Z
UID:evt344@ClaudeCoworkBaskin
DTSTART;TZID=Europe/Rome:"&amp;TEXT($C345,"yyyymmdd")&amp;"T"&amp;TEXT($D345,"hhmmss")&amp;"
DTEND;TZID=Europe/Rome:"&amp;TEXT($E345,"yyyymmdd")&amp;"T"&amp;TEXT($F345,"hhmmss")&amp;"
SUMMARY:"&amp;$B345&amp;"
LOCATION:"&amp;$G345&amp;"
DESCRIPTION:"&amp;$H345&amp;"
END:VEVENT")</f>
        <v/>
      </c>
      <c r="B345" s="68">
        <f>IF('Calendario H'!$B104="","",'Calendario H'!$B104&amp;" vs "&amp;'Calendario H'!$D104&amp;" "&amp;'Calendario H'!$AC104)</f>
        <v/>
      </c>
      <c r="C345" s="222">
        <f>IF($B345="","",DATE(YEAR('Calendario H'!$F104),MONTH('Calendario H'!$F104),DAY('Calendario H'!$F104)))</f>
        <v/>
      </c>
      <c r="D345" s="223">
        <f>IF($B345="","",TIME(HOUR('Calendario H'!$F104),MINUTE('Calendario H'!$F104),0))</f>
        <v/>
      </c>
      <c r="E345" s="222">
        <f>IF($B345="","",DATE(YEAR('Calendario H'!$F104),MONTH('Calendario H'!$F104),DAY('Calendario H'!$F104)))</f>
        <v/>
      </c>
      <c r="F345" s="223">
        <f>IF($B345="","",TIME(HOUR('Calendario H'!$F104)+2,MINUTE('Calendario H'!$F104),0))</f>
        <v/>
      </c>
      <c r="G345" s="68">
        <f>IF($B345="","",'Calendario H'!$B105)</f>
        <v/>
      </c>
      <c r="H345" s="68">
        <f>IF($B345="","",Campionato!$D$2&amp;" "&amp;Campionato!$D$6)</f>
        <v/>
      </c>
      <c r="I345" s="68" t="inlineStr"/>
    </row>
    <row r="346">
      <c r="A346" s="68">
        <f>IF($B346="","","BEGIN:VEVENT
DTSTAMP:"&amp;TEXT(NOW(),"yyyymmdd")&amp;"T000001Z
UID:evt345@ClaudeCoworkBaskin
DTSTART;TZID=Europe/Rome:"&amp;TEXT($C346,"yyyymmdd")&amp;"T"&amp;TEXT($D346,"hhmmss")&amp;"
DTEND;TZID=Europe/Rome:"&amp;TEXT($E346,"yyyymmdd")&amp;"T"&amp;TEXT($F346,"hhmmss")&amp;"
SUMMARY:"&amp;$B346&amp;"
LOCATION:"&amp;$G346&amp;"
DESCRIPTION:"&amp;$H346&amp;"
END:VEVENT")</f>
        <v/>
      </c>
      <c r="B346" s="68">
        <f>IF('Calendario H'!$B107="","",'Calendario H'!$B107&amp;" vs "&amp;'Calendario H'!$D107&amp;" "&amp;'Calendario H'!$AC107)</f>
        <v/>
      </c>
      <c r="C346" s="222">
        <f>IF($B346="","",DATE(YEAR('Calendario H'!$F107),MONTH('Calendario H'!$F107),DAY('Calendario H'!$F107)))</f>
        <v/>
      </c>
      <c r="D346" s="223">
        <f>IF($B346="","",TIME(HOUR('Calendario H'!$F107),MINUTE('Calendario H'!$F107),0))</f>
        <v/>
      </c>
      <c r="E346" s="222">
        <f>IF($B346="","",DATE(YEAR('Calendario H'!$F107),MONTH('Calendario H'!$F107),DAY('Calendario H'!$F107)))</f>
        <v/>
      </c>
      <c r="F346" s="223">
        <f>IF($B346="","",TIME(HOUR('Calendario H'!$F107)+2,MINUTE('Calendario H'!$F107),0))</f>
        <v/>
      </c>
      <c r="G346" s="68">
        <f>IF($B346="","",'Calendario H'!$B108)</f>
        <v/>
      </c>
      <c r="H346" s="68">
        <f>IF($B346="","",Campionato!$D$2&amp;" "&amp;Campionato!$D$6)</f>
        <v/>
      </c>
      <c r="I346" s="68" t="inlineStr"/>
    </row>
    <row r="347">
      <c r="A347" s="68">
        <f>IF($B347="","","BEGIN:VEVENT
DTSTAMP:"&amp;TEXT(NOW(),"yyyymmdd")&amp;"T000001Z
UID:evt346@ClaudeCoworkBaskin
DTSTART;TZID=Europe/Rome:"&amp;TEXT($C347,"yyyymmdd")&amp;"T"&amp;TEXT($D347,"hhmmss")&amp;"
DTEND;TZID=Europe/Rome:"&amp;TEXT($E347,"yyyymmdd")&amp;"T"&amp;TEXT($F347,"hhmmss")&amp;"
SUMMARY:"&amp;$B347&amp;"
LOCATION:"&amp;$G347&amp;"
DESCRIPTION:"&amp;$H347&amp;"
END:VEVENT")</f>
        <v/>
      </c>
      <c r="B347" s="68">
        <f>IF('Calendario H'!$B112="","",'Calendario H'!$B112&amp;" vs "&amp;'Calendario H'!$D112&amp;" "&amp;'Calendario H'!$AC112)</f>
        <v/>
      </c>
      <c r="C347" s="222">
        <f>IF($B347="","",DATE(YEAR('Calendario H'!$F112),MONTH('Calendario H'!$F112),DAY('Calendario H'!$F112)))</f>
        <v/>
      </c>
      <c r="D347" s="223">
        <f>IF($B347="","",TIME(HOUR('Calendario H'!$F112),MINUTE('Calendario H'!$F112),0))</f>
        <v/>
      </c>
      <c r="E347" s="222">
        <f>IF($B347="","",DATE(YEAR('Calendario H'!$F112),MONTH('Calendario H'!$F112),DAY('Calendario H'!$F112)))</f>
        <v/>
      </c>
      <c r="F347" s="223">
        <f>IF($B347="","",TIME(HOUR('Calendario H'!$F112)+2,MINUTE('Calendario H'!$F112),0))</f>
        <v/>
      </c>
      <c r="G347" s="68">
        <f>IF($B347="","",'Calendario H'!$B113)</f>
        <v/>
      </c>
      <c r="H347" s="68">
        <f>IF($B347="","",Campionato!$D$2&amp;" "&amp;Campionato!$D$6)</f>
        <v/>
      </c>
      <c r="I347" s="68" t="inlineStr"/>
    </row>
    <row r="348">
      <c r="A348" s="68">
        <f>IF($B348="","","BEGIN:VEVENT
DTSTAMP:"&amp;TEXT(NOW(),"yyyymmdd")&amp;"T000001Z
UID:evt347@ClaudeCoworkBaskin
DTSTART;TZID=Europe/Rome:"&amp;TEXT($C348,"yyyymmdd")&amp;"T"&amp;TEXT($D348,"hhmmss")&amp;"
DTEND;TZID=Europe/Rome:"&amp;TEXT($E348,"yyyymmdd")&amp;"T"&amp;TEXT($F348,"hhmmss")&amp;"
SUMMARY:"&amp;$B348&amp;"
LOCATION:"&amp;$G348&amp;"
DESCRIPTION:"&amp;$H348&amp;"
END:VEVENT")</f>
        <v/>
      </c>
      <c r="B348" s="68">
        <f>IF('Calendario H'!$B115="","",'Calendario H'!$B115&amp;" vs "&amp;'Calendario H'!$D115&amp;" "&amp;'Calendario H'!$AC115)</f>
        <v/>
      </c>
      <c r="C348" s="222">
        <f>IF($B348="","",DATE(YEAR('Calendario H'!$F115),MONTH('Calendario H'!$F115),DAY('Calendario H'!$F115)))</f>
        <v/>
      </c>
      <c r="D348" s="223">
        <f>IF($B348="","",TIME(HOUR('Calendario H'!$F115),MINUTE('Calendario H'!$F115),0))</f>
        <v/>
      </c>
      <c r="E348" s="222">
        <f>IF($B348="","",DATE(YEAR('Calendario H'!$F115),MONTH('Calendario H'!$F115),DAY('Calendario H'!$F115)))</f>
        <v/>
      </c>
      <c r="F348" s="223">
        <f>IF($B348="","",TIME(HOUR('Calendario H'!$F115)+2,MINUTE('Calendario H'!$F115),0))</f>
        <v/>
      </c>
      <c r="G348" s="68">
        <f>IF($B348="","",'Calendario H'!$B116)</f>
        <v/>
      </c>
      <c r="H348" s="68">
        <f>IF($B348="","",Campionato!$D$2&amp;" "&amp;Campionato!$D$6)</f>
        <v/>
      </c>
      <c r="I348" s="68" t="inlineStr"/>
    </row>
    <row r="349">
      <c r="A349" s="68">
        <f>IF($B349="","","BEGIN:VEVENT
DTSTAMP:"&amp;TEXT(NOW(),"yyyymmdd")&amp;"T000001Z
UID:evt348@ClaudeCoworkBaskin
DTSTART;TZID=Europe/Rome:"&amp;TEXT($C349,"yyyymmdd")&amp;"T"&amp;TEXT($D349,"hhmmss")&amp;"
DTEND;TZID=Europe/Rome:"&amp;TEXT($E349,"yyyymmdd")&amp;"T"&amp;TEXT($F349,"hhmmss")&amp;"
SUMMARY:"&amp;$B349&amp;"
LOCATION:"&amp;$G349&amp;"
DESCRIPTION:"&amp;$H349&amp;"
END:VEVENT")</f>
        <v/>
      </c>
      <c r="B349" s="68">
        <f>IF('Calendario H'!$B118="","",'Calendario H'!$B118&amp;" vs "&amp;'Calendario H'!$D118&amp;" "&amp;'Calendario H'!$AC118)</f>
        <v/>
      </c>
      <c r="C349" s="222">
        <f>IF($B349="","",DATE(YEAR('Calendario H'!$F118),MONTH('Calendario H'!$F118),DAY('Calendario H'!$F118)))</f>
        <v/>
      </c>
      <c r="D349" s="223">
        <f>IF($B349="","",TIME(HOUR('Calendario H'!$F118),MINUTE('Calendario H'!$F118),0))</f>
        <v/>
      </c>
      <c r="E349" s="222">
        <f>IF($B349="","",DATE(YEAR('Calendario H'!$F118),MONTH('Calendario H'!$F118),DAY('Calendario H'!$F118)))</f>
        <v/>
      </c>
      <c r="F349" s="223">
        <f>IF($B349="","",TIME(HOUR('Calendario H'!$F118)+2,MINUTE('Calendario H'!$F118),0))</f>
        <v/>
      </c>
      <c r="G349" s="68">
        <f>IF($B349="","",'Calendario H'!$B119)</f>
        <v/>
      </c>
      <c r="H349" s="68">
        <f>IF($B349="","",Campionato!$D$2&amp;" "&amp;Campionato!$D$6)</f>
        <v/>
      </c>
      <c r="I349" s="68" t="inlineStr"/>
    </row>
    <row r="350">
      <c r="A350" s="68">
        <f>IF($B350="","","BEGIN:VEVENT
DTSTAMP:"&amp;TEXT(NOW(),"yyyymmdd")&amp;"T000001Z
UID:evt349@ClaudeCoworkBaskin
DTSTART;TZID=Europe/Rome:"&amp;TEXT($C350,"yyyymmdd")&amp;"T"&amp;TEXT($D350,"hhmmss")&amp;"
DTEND;TZID=Europe/Rome:"&amp;TEXT($E350,"yyyymmdd")&amp;"T"&amp;TEXT($F350,"hhmmss")&amp;"
SUMMARY:"&amp;$B350&amp;"
LOCATION:"&amp;$G350&amp;"
DESCRIPTION:"&amp;$H350&amp;"
END:VEVENT")</f>
        <v/>
      </c>
      <c r="B350" s="68">
        <f>IF('Calendario H'!$B121="","",'Calendario H'!$B121&amp;" vs "&amp;'Calendario H'!$D121&amp;" "&amp;'Calendario H'!$AC121)</f>
        <v/>
      </c>
      <c r="C350" s="222">
        <f>IF($B350="","",DATE(YEAR('Calendario H'!$F121),MONTH('Calendario H'!$F121),DAY('Calendario H'!$F121)))</f>
        <v/>
      </c>
      <c r="D350" s="223">
        <f>IF($B350="","",TIME(HOUR('Calendario H'!$F121),MINUTE('Calendario H'!$F121),0))</f>
        <v/>
      </c>
      <c r="E350" s="222">
        <f>IF($B350="","",DATE(YEAR('Calendario H'!$F121),MONTH('Calendario H'!$F121),DAY('Calendario H'!$F121)))</f>
        <v/>
      </c>
      <c r="F350" s="223">
        <f>IF($B350="","",TIME(HOUR('Calendario H'!$F121)+2,MINUTE('Calendario H'!$F121),0))</f>
        <v/>
      </c>
      <c r="G350" s="68">
        <f>IF($B350="","",'Calendario H'!$B122)</f>
        <v/>
      </c>
      <c r="H350" s="68">
        <f>IF($B350="","",Campionato!$D$2&amp;" "&amp;Campionato!$D$6)</f>
        <v/>
      </c>
      <c r="I350" s="68" t="inlineStr"/>
    </row>
    <row r="351">
      <c r="A351" s="68">
        <f>IF($B351="","","BEGIN:VEVENT
DTSTAMP:"&amp;TEXT(NOW(),"yyyymmdd")&amp;"T000001Z
UID:evt350@ClaudeCoworkBaskin
DTSTART;TZID=Europe/Rome:"&amp;TEXT($C351,"yyyymmdd")&amp;"T"&amp;TEXT($D351,"hhmmss")&amp;"
DTEND;TZID=Europe/Rome:"&amp;TEXT($E351,"yyyymmdd")&amp;"T"&amp;TEXT($F351,"hhmmss")&amp;"
SUMMARY:"&amp;$B351&amp;"
LOCATION:"&amp;$G351&amp;"
DESCRIPTION:"&amp;$H351&amp;"
END:VEVENT")</f>
        <v/>
      </c>
      <c r="B351" s="68">
        <f>IF('Calendario H'!$B124="","",'Calendario H'!$B124&amp;" vs "&amp;'Calendario H'!$D124&amp;" "&amp;'Calendario H'!$AC124)</f>
        <v/>
      </c>
      <c r="C351" s="222">
        <f>IF($B351="","",DATE(YEAR('Calendario H'!$F124),MONTH('Calendario H'!$F124),DAY('Calendario H'!$F124)))</f>
        <v/>
      </c>
      <c r="D351" s="223">
        <f>IF($B351="","",TIME(HOUR('Calendario H'!$F124),MINUTE('Calendario H'!$F124),0))</f>
        <v/>
      </c>
      <c r="E351" s="222">
        <f>IF($B351="","",DATE(YEAR('Calendario H'!$F124),MONTH('Calendario H'!$F124),DAY('Calendario H'!$F124)))</f>
        <v/>
      </c>
      <c r="F351" s="223">
        <f>IF($B351="","",TIME(HOUR('Calendario H'!$F124)+2,MINUTE('Calendario H'!$F124),0))</f>
        <v/>
      </c>
      <c r="G351" s="68">
        <f>IF($B351="","",'Calendario H'!$B125)</f>
        <v/>
      </c>
      <c r="H351" s="68">
        <f>IF($B351="","",Campionato!$D$2&amp;" "&amp;Campionato!$D$6)</f>
        <v/>
      </c>
      <c r="I351" s="68" t="inlineStr"/>
    </row>
    <row r="352">
      <c r="A352" s="68">
        <f>IF($B352="","","BEGIN:VEVENT
DTSTAMP:"&amp;TEXT(NOW(),"yyyymmdd")&amp;"T000001Z
UID:evt351@ClaudeCoworkBaskin
DTSTART;TZID=Europe/Rome:"&amp;TEXT($C352,"yyyymmdd")&amp;"T"&amp;TEXT($D352,"hhmmss")&amp;"
DTEND;TZID=Europe/Rome:"&amp;TEXT($E352,"yyyymmdd")&amp;"T"&amp;TEXT($F352,"hhmmss")&amp;"
SUMMARY:"&amp;$B352&amp;"
LOCATION:"&amp;$G352&amp;"
DESCRIPTION:"&amp;$H352&amp;"
END:VEVENT")</f>
        <v/>
      </c>
      <c r="B352" s="68">
        <f>IF('Calendario H'!$B129="","",'Calendario H'!$B129&amp;" vs "&amp;'Calendario H'!$D129&amp;" "&amp;'Calendario H'!$AC129)</f>
        <v/>
      </c>
      <c r="C352" s="222">
        <f>IF($B352="","",DATE(YEAR('Calendario H'!$F129),MONTH('Calendario H'!$F129),DAY('Calendario H'!$F129)))</f>
        <v/>
      </c>
      <c r="D352" s="223">
        <f>IF($B352="","",TIME(HOUR('Calendario H'!$F129),MINUTE('Calendario H'!$F129),0))</f>
        <v/>
      </c>
      <c r="E352" s="222">
        <f>IF($B352="","",DATE(YEAR('Calendario H'!$F129),MONTH('Calendario H'!$F129),DAY('Calendario H'!$F129)))</f>
        <v/>
      </c>
      <c r="F352" s="223">
        <f>IF($B352="","",TIME(HOUR('Calendario H'!$F129)+2,MINUTE('Calendario H'!$F129),0))</f>
        <v/>
      </c>
      <c r="G352" s="68">
        <f>IF($B352="","",'Calendario H'!$B130)</f>
        <v/>
      </c>
      <c r="H352" s="68">
        <f>IF($B352="","",Campionato!$D$2&amp;" "&amp;Campionato!$D$6)</f>
        <v/>
      </c>
      <c r="I352" s="68" t="inlineStr"/>
    </row>
    <row r="353">
      <c r="A353" s="68">
        <f>IF($B353="","","BEGIN:VEVENT
DTSTAMP:"&amp;TEXT(NOW(),"yyyymmdd")&amp;"T000001Z
UID:evt352@ClaudeCoworkBaskin
DTSTART;TZID=Europe/Rome:"&amp;TEXT($C353,"yyyymmdd")&amp;"T"&amp;TEXT($D353,"hhmmss")&amp;"
DTEND;TZID=Europe/Rome:"&amp;TEXT($E353,"yyyymmdd")&amp;"T"&amp;TEXT($F353,"hhmmss")&amp;"
SUMMARY:"&amp;$B353&amp;"
LOCATION:"&amp;$G353&amp;"
DESCRIPTION:"&amp;$H353&amp;"
END:VEVENT")</f>
        <v/>
      </c>
      <c r="B353" s="68">
        <f>IF('Calendario H'!$B132="","",'Calendario H'!$B132&amp;" vs "&amp;'Calendario H'!$D132&amp;" "&amp;'Calendario H'!$AC132)</f>
        <v/>
      </c>
      <c r="C353" s="222">
        <f>IF($B353="","",DATE(YEAR('Calendario H'!$F132),MONTH('Calendario H'!$F132),DAY('Calendario H'!$F132)))</f>
        <v/>
      </c>
      <c r="D353" s="223">
        <f>IF($B353="","",TIME(HOUR('Calendario H'!$F132),MINUTE('Calendario H'!$F132),0))</f>
        <v/>
      </c>
      <c r="E353" s="222">
        <f>IF($B353="","",DATE(YEAR('Calendario H'!$F132),MONTH('Calendario H'!$F132),DAY('Calendario H'!$F132)))</f>
        <v/>
      </c>
      <c r="F353" s="223">
        <f>IF($B353="","",TIME(HOUR('Calendario H'!$F132)+2,MINUTE('Calendario H'!$F132),0))</f>
        <v/>
      </c>
      <c r="G353" s="68">
        <f>IF($B353="","",'Calendario H'!$B133)</f>
        <v/>
      </c>
      <c r="H353" s="68">
        <f>IF($B353="","",Campionato!$D$2&amp;" "&amp;Campionato!$D$6)</f>
        <v/>
      </c>
      <c r="I353" s="68" t="inlineStr"/>
    </row>
    <row r="354">
      <c r="A354" s="68">
        <f>IF($B354="","","BEGIN:VEVENT
DTSTAMP:"&amp;TEXT(NOW(),"yyyymmdd")&amp;"T000001Z
UID:evt353@ClaudeCoworkBaskin
DTSTART;TZID=Europe/Rome:"&amp;TEXT($C354,"yyyymmdd")&amp;"T"&amp;TEXT($D354,"hhmmss")&amp;"
DTEND;TZID=Europe/Rome:"&amp;TEXT($E354,"yyyymmdd")&amp;"T"&amp;TEXT($F354,"hhmmss")&amp;"
SUMMARY:"&amp;$B354&amp;"
LOCATION:"&amp;$G354&amp;"
DESCRIPTION:"&amp;$H354&amp;"
END:VEVENT")</f>
        <v/>
      </c>
      <c r="B354" s="68">
        <f>IF('Calendario H'!$B135="","",'Calendario H'!$B135&amp;" vs "&amp;'Calendario H'!$D135&amp;" "&amp;'Calendario H'!$AC135)</f>
        <v/>
      </c>
      <c r="C354" s="222">
        <f>IF($B354="","",DATE(YEAR('Calendario H'!$F135),MONTH('Calendario H'!$F135),DAY('Calendario H'!$F135)))</f>
        <v/>
      </c>
      <c r="D354" s="223">
        <f>IF($B354="","",TIME(HOUR('Calendario H'!$F135),MINUTE('Calendario H'!$F135),0))</f>
        <v/>
      </c>
      <c r="E354" s="222">
        <f>IF($B354="","",DATE(YEAR('Calendario H'!$F135),MONTH('Calendario H'!$F135),DAY('Calendario H'!$F135)))</f>
        <v/>
      </c>
      <c r="F354" s="223">
        <f>IF($B354="","",TIME(HOUR('Calendario H'!$F135)+2,MINUTE('Calendario H'!$F135),0))</f>
        <v/>
      </c>
      <c r="G354" s="68">
        <f>IF($B354="","",'Calendario H'!$B136)</f>
        <v/>
      </c>
      <c r="H354" s="68">
        <f>IF($B354="","",Campionato!$D$2&amp;" "&amp;Campionato!$D$6)</f>
        <v/>
      </c>
      <c r="I354" s="68" t="inlineStr"/>
    </row>
    <row r="355">
      <c r="A355" s="68">
        <f>IF($B355="","","BEGIN:VEVENT
DTSTAMP:"&amp;TEXT(NOW(),"yyyymmdd")&amp;"T000001Z
UID:evt354@ClaudeCoworkBaskin
DTSTART;TZID=Europe/Rome:"&amp;TEXT($C355,"yyyymmdd")&amp;"T"&amp;TEXT($D355,"hhmmss")&amp;"
DTEND;TZID=Europe/Rome:"&amp;TEXT($E355,"yyyymmdd")&amp;"T"&amp;TEXT($F355,"hhmmss")&amp;"
SUMMARY:"&amp;$B355&amp;"
LOCATION:"&amp;$G355&amp;"
DESCRIPTION:"&amp;$H355&amp;"
END:VEVENT")</f>
        <v/>
      </c>
      <c r="B355" s="68">
        <f>IF('Calendario H'!$B138="","",'Calendario H'!$B138&amp;" vs "&amp;'Calendario H'!$D138&amp;" "&amp;'Calendario H'!$AC138)</f>
        <v/>
      </c>
      <c r="C355" s="222">
        <f>IF($B355="","",DATE(YEAR('Calendario H'!$F138),MONTH('Calendario H'!$F138),DAY('Calendario H'!$F138)))</f>
        <v/>
      </c>
      <c r="D355" s="223">
        <f>IF($B355="","",TIME(HOUR('Calendario H'!$F138),MINUTE('Calendario H'!$F138),0))</f>
        <v/>
      </c>
      <c r="E355" s="222">
        <f>IF($B355="","",DATE(YEAR('Calendario H'!$F138),MONTH('Calendario H'!$F138),DAY('Calendario H'!$F138)))</f>
        <v/>
      </c>
      <c r="F355" s="223">
        <f>IF($B355="","",TIME(HOUR('Calendario H'!$F138)+2,MINUTE('Calendario H'!$F138),0))</f>
        <v/>
      </c>
      <c r="G355" s="68">
        <f>IF($B355="","",'Calendario H'!$B139)</f>
        <v/>
      </c>
      <c r="H355" s="68">
        <f>IF($B355="","",Campionato!$D$2&amp;" "&amp;Campionato!$D$6)</f>
        <v/>
      </c>
      <c r="I355" s="68" t="inlineStr"/>
    </row>
    <row r="356">
      <c r="A356" s="68">
        <f>IF($B356="","","BEGIN:VEVENT
DTSTAMP:"&amp;TEXT(NOW(),"yyyymmdd")&amp;"T000001Z
UID:evt355@ClaudeCoworkBaskin
DTSTART;TZID=Europe/Rome:"&amp;TEXT($C356,"yyyymmdd")&amp;"T"&amp;TEXT($D356,"hhmmss")&amp;"
DTEND;TZID=Europe/Rome:"&amp;TEXT($E356,"yyyymmdd")&amp;"T"&amp;TEXT($F356,"hhmmss")&amp;"
SUMMARY:"&amp;$B356&amp;"
LOCATION:"&amp;$G356&amp;"
DESCRIPTION:"&amp;$H356&amp;"
END:VEVENT")</f>
        <v/>
      </c>
      <c r="B356" s="68">
        <f>IF('Calendario H'!$B141="","",'Calendario H'!$B141&amp;" vs "&amp;'Calendario H'!$D141&amp;" "&amp;'Calendario H'!$AC141)</f>
        <v/>
      </c>
      <c r="C356" s="222">
        <f>IF($B356="","",DATE(YEAR('Calendario H'!$F141),MONTH('Calendario H'!$F141),DAY('Calendario H'!$F141)))</f>
        <v/>
      </c>
      <c r="D356" s="223">
        <f>IF($B356="","",TIME(HOUR('Calendario H'!$F141),MINUTE('Calendario H'!$F141),0))</f>
        <v/>
      </c>
      <c r="E356" s="222">
        <f>IF($B356="","",DATE(YEAR('Calendario H'!$F141),MONTH('Calendario H'!$F141),DAY('Calendario H'!$F141)))</f>
        <v/>
      </c>
      <c r="F356" s="223">
        <f>IF($B356="","",TIME(HOUR('Calendario H'!$F141)+2,MINUTE('Calendario H'!$F141),0))</f>
        <v/>
      </c>
      <c r="G356" s="68">
        <f>IF($B356="","",'Calendario H'!$B142)</f>
        <v/>
      </c>
      <c r="H356" s="68">
        <f>IF($B356="","",Campionato!$D$2&amp;" "&amp;Campionato!$D$6)</f>
        <v/>
      </c>
      <c r="I356" s="68" t="inlineStr"/>
    </row>
    <row r="357">
      <c r="A357" s="68">
        <f>IF($B357="","","BEGIN:VEVENT
DTSTAMP:"&amp;TEXT(NOW(),"yyyymmdd")&amp;"T000001Z
UID:evt356@ClaudeCoworkBaskin
DTSTART;TZID=Europe/Rome:"&amp;TEXT($C357,"yyyymmdd")&amp;"T"&amp;TEXT($D357,"hhmmss")&amp;"
DTEND;TZID=Europe/Rome:"&amp;TEXT($E357,"yyyymmdd")&amp;"T"&amp;TEXT($F357,"hhmmss")&amp;"
SUMMARY:"&amp;$B357&amp;"
LOCATION:"&amp;$G357&amp;"
DESCRIPTION:"&amp;$H357&amp;"
END:VEVENT")</f>
        <v/>
      </c>
      <c r="B357" s="68">
        <f>IF('Calendario H'!$B146="","",'Calendario H'!$B146&amp;" vs "&amp;'Calendario H'!$D146&amp;" "&amp;'Calendario H'!$AC146)</f>
        <v/>
      </c>
      <c r="C357" s="222">
        <f>IF($B357="","",DATE(YEAR('Calendario H'!$F146),MONTH('Calendario H'!$F146),DAY('Calendario H'!$F146)))</f>
        <v/>
      </c>
      <c r="D357" s="223">
        <f>IF($B357="","",TIME(HOUR('Calendario H'!$F146),MINUTE('Calendario H'!$F146),0))</f>
        <v/>
      </c>
      <c r="E357" s="222">
        <f>IF($B357="","",DATE(YEAR('Calendario H'!$F146),MONTH('Calendario H'!$F146),DAY('Calendario H'!$F146)))</f>
        <v/>
      </c>
      <c r="F357" s="223">
        <f>IF($B357="","",TIME(HOUR('Calendario H'!$F146)+2,MINUTE('Calendario H'!$F146),0))</f>
        <v/>
      </c>
      <c r="G357" s="68">
        <f>IF($B357="","",'Calendario H'!$B147)</f>
        <v/>
      </c>
      <c r="H357" s="68">
        <f>IF($B357="","",Campionato!$D$2&amp;" "&amp;Campionato!$D$6)</f>
        <v/>
      </c>
      <c r="I357" s="68" t="inlineStr"/>
    </row>
    <row r="358">
      <c r="A358" s="68">
        <f>IF($B358="","","BEGIN:VEVENT
DTSTAMP:"&amp;TEXT(NOW(),"yyyymmdd")&amp;"T000001Z
UID:evt357@ClaudeCoworkBaskin
DTSTART;TZID=Europe/Rome:"&amp;TEXT($C358,"yyyymmdd")&amp;"T"&amp;TEXT($D358,"hhmmss")&amp;"
DTEND;TZID=Europe/Rome:"&amp;TEXT($E358,"yyyymmdd")&amp;"T"&amp;TEXT($F358,"hhmmss")&amp;"
SUMMARY:"&amp;$B358&amp;"
LOCATION:"&amp;$G358&amp;"
DESCRIPTION:"&amp;$H358&amp;"
END:VEVENT")</f>
        <v/>
      </c>
      <c r="B358" s="68">
        <f>IF('Calendario H'!$B149="","",'Calendario H'!$B149&amp;" vs "&amp;'Calendario H'!$D149&amp;" "&amp;'Calendario H'!$AC149)</f>
        <v/>
      </c>
      <c r="C358" s="222">
        <f>IF($B358="","",DATE(YEAR('Calendario H'!$F149),MONTH('Calendario H'!$F149),DAY('Calendario H'!$F149)))</f>
        <v/>
      </c>
      <c r="D358" s="223">
        <f>IF($B358="","",TIME(HOUR('Calendario H'!$F149),MINUTE('Calendario H'!$F149),0))</f>
        <v/>
      </c>
      <c r="E358" s="222">
        <f>IF($B358="","",DATE(YEAR('Calendario H'!$F149),MONTH('Calendario H'!$F149),DAY('Calendario H'!$F149)))</f>
        <v/>
      </c>
      <c r="F358" s="223">
        <f>IF($B358="","",TIME(HOUR('Calendario H'!$F149)+2,MINUTE('Calendario H'!$F149),0))</f>
        <v/>
      </c>
      <c r="G358" s="68">
        <f>IF($B358="","",'Calendario H'!$B150)</f>
        <v/>
      </c>
      <c r="H358" s="68">
        <f>IF($B358="","",Campionato!$D$2&amp;" "&amp;Campionato!$D$6)</f>
        <v/>
      </c>
      <c r="I358" s="68" t="inlineStr"/>
    </row>
    <row r="359">
      <c r="A359" s="68">
        <f>IF($B359="","","BEGIN:VEVENT
DTSTAMP:"&amp;TEXT(NOW(),"yyyymmdd")&amp;"T000001Z
UID:evt358@ClaudeCoworkBaskin
DTSTART;TZID=Europe/Rome:"&amp;TEXT($C359,"yyyymmdd")&amp;"T"&amp;TEXT($D359,"hhmmss")&amp;"
DTEND;TZID=Europe/Rome:"&amp;TEXT($E359,"yyyymmdd")&amp;"T"&amp;TEXT($F359,"hhmmss")&amp;"
SUMMARY:"&amp;$B359&amp;"
LOCATION:"&amp;$G359&amp;"
DESCRIPTION:"&amp;$H359&amp;"
END:VEVENT")</f>
        <v/>
      </c>
      <c r="B359" s="68">
        <f>IF('Calendario H'!$B152="","",'Calendario H'!$B152&amp;" vs "&amp;'Calendario H'!$D152&amp;" "&amp;'Calendario H'!$AC152)</f>
        <v/>
      </c>
      <c r="C359" s="222">
        <f>IF($B359="","",DATE(YEAR('Calendario H'!$F152),MONTH('Calendario H'!$F152),DAY('Calendario H'!$F152)))</f>
        <v/>
      </c>
      <c r="D359" s="223">
        <f>IF($B359="","",TIME(HOUR('Calendario H'!$F152),MINUTE('Calendario H'!$F152),0))</f>
        <v/>
      </c>
      <c r="E359" s="222">
        <f>IF($B359="","",DATE(YEAR('Calendario H'!$F152),MONTH('Calendario H'!$F152),DAY('Calendario H'!$F152)))</f>
        <v/>
      </c>
      <c r="F359" s="223">
        <f>IF($B359="","",TIME(HOUR('Calendario H'!$F152)+2,MINUTE('Calendario H'!$F152),0))</f>
        <v/>
      </c>
      <c r="G359" s="68">
        <f>IF($B359="","",'Calendario H'!$B153)</f>
        <v/>
      </c>
      <c r="H359" s="68">
        <f>IF($B359="","",Campionato!$D$2&amp;" "&amp;Campionato!$D$6)</f>
        <v/>
      </c>
      <c r="I359" s="68" t="inlineStr"/>
    </row>
    <row r="360">
      <c r="A360" s="68">
        <f>IF($B360="","","BEGIN:VEVENT
DTSTAMP:"&amp;TEXT(NOW(),"yyyymmdd")&amp;"T000001Z
UID:evt359@ClaudeCoworkBaskin
DTSTART;TZID=Europe/Rome:"&amp;TEXT($C360,"yyyymmdd")&amp;"T"&amp;TEXT($D360,"hhmmss")&amp;"
DTEND;TZID=Europe/Rome:"&amp;TEXT($E360,"yyyymmdd")&amp;"T"&amp;TEXT($F360,"hhmmss")&amp;"
SUMMARY:"&amp;$B360&amp;"
LOCATION:"&amp;$G360&amp;"
DESCRIPTION:"&amp;$H360&amp;"
END:VEVENT")</f>
        <v/>
      </c>
      <c r="B360" s="68">
        <f>IF('Calendario H'!$B155="","",'Calendario H'!$B155&amp;" vs "&amp;'Calendario H'!$D155&amp;" "&amp;'Calendario H'!$AC155)</f>
        <v/>
      </c>
      <c r="C360" s="222">
        <f>IF($B360="","",DATE(YEAR('Calendario H'!$F155),MONTH('Calendario H'!$F155),DAY('Calendario H'!$F155)))</f>
        <v/>
      </c>
      <c r="D360" s="223">
        <f>IF($B360="","",TIME(HOUR('Calendario H'!$F155),MINUTE('Calendario H'!$F155),0))</f>
        <v/>
      </c>
      <c r="E360" s="222">
        <f>IF($B360="","",DATE(YEAR('Calendario H'!$F155),MONTH('Calendario H'!$F155),DAY('Calendario H'!$F155)))</f>
        <v/>
      </c>
      <c r="F360" s="223">
        <f>IF($B360="","",TIME(HOUR('Calendario H'!$F155)+2,MINUTE('Calendario H'!$F155),0))</f>
        <v/>
      </c>
      <c r="G360" s="68">
        <f>IF($B360="","",'Calendario H'!$B156)</f>
        <v/>
      </c>
      <c r="H360" s="68">
        <f>IF($B360="","",Campionato!$D$2&amp;" "&amp;Campionato!$D$6)</f>
        <v/>
      </c>
      <c r="I360" s="68" t="inlineStr"/>
    </row>
    <row r="361">
      <c r="A361" s="68">
        <f>IF($B361="","","BEGIN:VEVENT
DTSTAMP:"&amp;TEXT(NOW(),"yyyymmdd")&amp;"T000001Z
UID:evt360@ClaudeCoworkBaskin
DTSTART;TZID=Europe/Rome:"&amp;TEXT($C361,"yyyymmdd")&amp;"T"&amp;TEXT($D361,"hhmmss")&amp;"
DTEND;TZID=Europe/Rome:"&amp;TEXT($E361,"yyyymmdd")&amp;"T"&amp;TEXT($F361,"hhmmss")&amp;"
SUMMARY:"&amp;$B361&amp;"
LOCATION:"&amp;$G361&amp;"
DESCRIPTION:"&amp;$H361&amp;"
END:VEVENT")</f>
        <v/>
      </c>
      <c r="B361" s="68">
        <f>IF('Calendario H'!$B158="","",'Calendario H'!$B158&amp;" vs "&amp;'Calendario H'!$D158&amp;" "&amp;'Calendario H'!$AC158)</f>
        <v/>
      </c>
      <c r="C361" s="222">
        <f>IF($B361="","",DATE(YEAR('Calendario H'!$F158),MONTH('Calendario H'!$F158),DAY('Calendario H'!$F158)))</f>
        <v/>
      </c>
      <c r="D361" s="223">
        <f>IF($B361="","",TIME(HOUR('Calendario H'!$F158),MINUTE('Calendario H'!$F158),0))</f>
        <v/>
      </c>
      <c r="E361" s="222">
        <f>IF($B361="","",DATE(YEAR('Calendario H'!$F158),MONTH('Calendario H'!$F158),DAY('Calendario H'!$F158)))</f>
        <v/>
      </c>
      <c r="F361" s="223">
        <f>IF($B361="","",TIME(HOUR('Calendario H'!$F158)+2,MINUTE('Calendario H'!$F158),0))</f>
        <v/>
      </c>
      <c r="G361" s="68">
        <f>IF($B361="","",'Calendario H'!$B159)</f>
        <v/>
      </c>
      <c r="H361" s="68">
        <f>IF($B361="","",Campionato!$D$2&amp;" "&amp;Campionato!$D$6)</f>
        <v/>
      </c>
      <c r="I361" s="68" t="inlineStr"/>
    </row>
    <row r="362">
      <c r="A362" s="68">
        <f>IF($B362="","","BEGIN:VEVENT
DTSTAMP:"&amp;TEXT(NOW(),"yyyymmdd")&amp;"T000001Z
UID:evt361@ClaudeCoworkBaskin
DTSTART;TZID=Europe/Rome:"&amp;TEXT($C362,"yyyymmdd")&amp;"T"&amp;TEXT($D362,"hhmmss")&amp;"
DTEND;TZID=Europe/Rome:"&amp;TEXT($E362,"yyyymmdd")&amp;"T"&amp;TEXT($F362,"hhmmss")&amp;"
SUMMARY:"&amp;$B362&amp;"
LOCATION:"&amp;$G362&amp;"
DESCRIPTION:"&amp;$H362&amp;"
END:VEVENT")</f>
        <v/>
      </c>
      <c r="B362" s="68">
        <f>IF('Calendario I'!$B10="","",'Calendario I'!$B10&amp;" vs "&amp;'Calendario I'!$D10&amp;" "&amp;'Calendario I'!$AC10)</f>
        <v/>
      </c>
      <c r="C362" s="222">
        <f>IF($B362="","",DATE(YEAR('Calendario I'!$F10),MONTH('Calendario I'!$F10),DAY('Calendario I'!$F10)))</f>
        <v/>
      </c>
      <c r="D362" s="223">
        <f>IF($B362="","",TIME(HOUR('Calendario I'!$F10),MINUTE('Calendario I'!$F10),0))</f>
        <v/>
      </c>
      <c r="E362" s="222">
        <f>IF($B362="","",DATE(YEAR('Calendario I'!$F10),MONTH('Calendario I'!$F10),DAY('Calendario I'!$F10)))</f>
        <v/>
      </c>
      <c r="F362" s="223">
        <f>IF($B362="","",TIME(HOUR('Calendario I'!$F10)+2,MINUTE('Calendario I'!$F10),0))</f>
        <v/>
      </c>
      <c r="G362" s="68">
        <f>IF($B362="","",'Calendario I'!$B11)</f>
        <v/>
      </c>
      <c r="H362" s="68">
        <f>IF($B362="","",Campionato!$D$2&amp;" "&amp;Campionato!$D$6)</f>
        <v/>
      </c>
      <c r="I362" s="68" t="inlineStr"/>
    </row>
    <row r="363">
      <c r="A363" s="68">
        <f>IF($B363="","","BEGIN:VEVENT
DTSTAMP:"&amp;TEXT(NOW(),"yyyymmdd")&amp;"T000001Z
UID:evt362@ClaudeCoworkBaskin
DTSTART;TZID=Europe/Rome:"&amp;TEXT($C363,"yyyymmdd")&amp;"T"&amp;TEXT($D363,"hhmmss")&amp;"
DTEND;TZID=Europe/Rome:"&amp;TEXT($E363,"yyyymmdd")&amp;"T"&amp;TEXT($F363,"hhmmss")&amp;"
SUMMARY:"&amp;$B363&amp;"
LOCATION:"&amp;$G363&amp;"
DESCRIPTION:"&amp;$H363&amp;"
END:VEVENT")</f>
        <v/>
      </c>
      <c r="B363" s="68">
        <f>IF('Calendario I'!$B13="","",'Calendario I'!$B13&amp;" vs "&amp;'Calendario I'!$D13&amp;" "&amp;'Calendario I'!$AC13)</f>
        <v/>
      </c>
      <c r="C363" s="222">
        <f>IF($B363="","",DATE(YEAR('Calendario I'!$F13),MONTH('Calendario I'!$F13),DAY('Calendario I'!$F13)))</f>
        <v/>
      </c>
      <c r="D363" s="223">
        <f>IF($B363="","",TIME(HOUR('Calendario I'!$F13),MINUTE('Calendario I'!$F13),0))</f>
        <v/>
      </c>
      <c r="E363" s="222">
        <f>IF($B363="","",DATE(YEAR('Calendario I'!$F13),MONTH('Calendario I'!$F13),DAY('Calendario I'!$F13)))</f>
        <v/>
      </c>
      <c r="F363" s="223">
        <f>IF($B363="","",TIME(HOUR('Calendario I'!$F13)+2,MINUTE('Calendario I'!$F13),0))</f>
        <v/>
      </c>
      <c r="G363" s="68">
        <f>IF($B363="","",'Calendario I'!$B14)</f>
        <v/>
      </c>
      <c r="H363" s="68">
        <f>IF($B363="","",Campionato!$D$2&amp;" "&amp;Campionato!$D$6)</f>
        <v/>
      </c>
      <c r="I363" s="68" t="inlineStr"/>
    </row>
    <row r="364">
      <c r="A364" s="68">
        <f>IF($B364="","","BEGIN:VEVENT
DTSTAMP:"&amp;TEXT(NOW(),"yyyymmdd")&amp;"T000001Z
UID:evt363@ClaudeCoworkBaskin
DTSTART;TZID=Europe/Rome:"&amp;TEXT($C364,"yyyymmdd")&amp;"T"&amp;TEXT($D364,"hhmmss")&amp;"
DTEND;TZID=Europe/Rome:"&amp;TEXT($E364,"yyyymmdd")&amp;"T"&amp;TEXT($F364,"hhmmss")&amp;"
SUMMARY:"&amp;$B364&amp;"
LOCATION:"&amp;$G364&amp;"
DESCRIPTION:"&amp;$H364&amp;"
END:VEVENT")</f>
        <v/>
      </c>
      <c r="B364" s="68">
        <f>IF('Calendario I'!$B16="","",'Calendario I'!$B16&amp;" vs "&amp;'Calendario I'!$D16&amp;" "&amp;'Calendario I'!$AC16)</f>
        <v/>
      </c>
      <c r="C364" s="222">
        <f>IF($B364="","",DATE(YEAR('Calendario I'!$F16),MONTH('Calendario I'!$F16),DAY('Calendario I'!$F16)))</f>
        <v/>
      </c>
      <c r="D364" s="223">
        <f>IF($B364="","",TIME(HOUR('Calendario I'!$F16),MINUTE('Calendario I'!$F16),0))</f>
        <v/>
      </c>
      <c r="E364" s="222">
        <f>IF($B364="","",DATE(YEAR('Calendario I'!$F16),MONTH('Calendario I'!$F16),DAY('Calendario I'!$F16)))</f>
        <v/>
      </c>
      <c r="F364" s="223">
        <f>IF($B364="","",TIME(HOUR('Calendario I'!$F16)+2,MINUTE('Calendario I'!$F16),0))</f>
        <v/>
      </c>
      <c r="G364" s="68">
        <f>IF($B364="","",'Calendario I'!$B17)</f>
        <v/>
      </c>
      <c r="H364" s="68">
        <f>IF($B364="","",Campionato!$D$2&amp;" "&amp;Campionato!$D$6)</f>
        <v/>
      </c>
      <c r="I364" s="68" t="inlineStr"/>
    </row>
    <row r="365">
      <c r="A365" s="68">
        <f>IF($B365="","","BEGIN:VEVENT
DTSTAMP:"&amp;TEXT(NOW(),"yyyymmdd")&amp;"T000001Z
UID:evt364@ClaudeCoworkBaskin
DTSTART;TZID=Europe/Rome:"&amp;TEXT($C365,"yyyymmdd")&amp;"T"&amp;TEXT($D365,"hhmmss")&amp;"
DTEND;TZID=Europe/Rome:"&amp;TEXT($E365,"yyyymmdd")&amp;"T"&amp;TEXT($F365,"hhmmss")&amp;"
SUMMARY:"&amp;$B365&amp;"
LOCATION:"&amp;$G365&amp;"
DESCRIPTION:"&amp;$H365&amp;"
END:VEVENT")</f>
        <v/>
      </c>
      <c r="B365" s="68">
        <f>IF('Calendario I'!$B19="","",'Calendario I'!$B19&amp;" vs "&amp;'Calendario I'!$D19&amp;" "&amp;'Calendario I'!$AC19)</f>
        <v/>
      </c>
      <c r="C365" s="222">
        <f>IF($B365="","",DATE(YEAR('Calendario I'!$F19),MONTH('Calendario I'!$F19),DAY('Calendario I'!$F19)))</f>
        <v/>
      </c>
      <c r="D365" s="223">
        <f>IF($B365="","",TIME(HOUR('Calendario I'!$F19),MINUTE('Calendario I'!$F19),0))</f>
        <v/>
      </c>
      <c r="E365" s="222">
        <f>IF($B365="","",DATE(YEAR('Calendario I'!$F19),MONTH('Calendario I'!$F19),DAY('Calendario I'!$F19)))</f>
        <v/>
      </c>
      <c r="F365" s="223">
        <f>IF($B365="","",TIME(HOUR('Calendario I'!$F19)+2,MINUTE('Calendario I'!$F19),0))</f>
        <v/>
      </c>
      <c r="G365" s="68">
        <f>IF($B365="","",'Calendario I'!$B20)</f>
        <v/>
      </c>
      <c r="H365" s="68">
        <f>IF($B365="","",Campionato!$D$2&amp;" "&amp;Campionato!$D$6)</f>
        <v/>
      </c>
      <c r="I365" s="68" t="inlineStr"/>
    </row>
    <row r="366">
      <c r="A366" s="68">
        <f>IF($B366="","","BEGIN:VEVENT
DTSTAMP:"&amp;TEXT(NOW(),"yyyymmdd")&amp;"T000001Z
UID:evt365@ClaudeCoworkBaskin
DTSTART;TZID=Europe/Rome:"&amp;TEXT($C366,"yyyymmdd")&amp;"T"&amp;TEXT($D366,"hhmmss")&amp;"
DTEND;TZID=Europe/Rome:"&amp;TEXT($E366,"yyyymmdd")&amp;"T"&amp;TEXT($F366,"hhmmss")&amp;"
SUMMARY:"&amp;$B366&amp;"
LOCATION:"&amp;$G366&amp;"
DESCRIPTION:"&amp;$H366&amp;"
END:VEVENT")</f>
        <v/>
      </c>
      <c r="B366" s="68">
        <f>IF('Calendario I'!$B22="","",'Calendario I'!$B22&amp;" vs "&amp;'Calendario I'!$D22&amp;" "&amp;'Calendario I'!$AC22)</f>
        <v/>
      </c>
      <c r="C366" s="222">
        <f>IF($B366="","",DATE(YEAR('Calendario I'!$F22),MONTH('Calendario I'!$F22),DAY('Calendario I'!$F22)))</f>
        <v/>
      </c>
      <c r="D366" s="223">
        <f>IF($B366="","",TIME(HOUR('Calendario I'!$F22),MINUTE('Calendario I'!$F22),0))</f>
        <v/>
      </c>
      <c r="E366" s="222">
        <f>IF($B366="","",DATE(YEAR('Calendario I'!$F22),MONTH('Calendario I'!$F22),DAY('Calendario I'!$F22)))</f>
        <v/>
      </c>
      <c r="F366" s="223">
        <f>IF($B366="","",TIME(HOUR('Calendario I'!$F22)+2,MINUTE('Calendario I'!$F22),0))</f>
        <v/>
      </c>
      <c r="G366" s="68">
        <f>IF($B366="","",'Calendario I'!$B23)</f>
        <v/>
      </c>
      <c r="H366" s="68">
        <f>IF($B366="","",Campionato!$D$2&amp;" "&amp;Campionato!$D$6)</f>
        <v/>
      </c>
      <c r="I366" s="68" t="inlineStr"/>
    </row>
    <row r="367">
      <c r="A367" s="68">
        <f>IF($B367="","","BEGIN:VEVENT
DTSTAMP:"&amp;TEXT(NOW(),"yyyymmdd")&amp;"T000001Z
UID:evt366@ClaudeCoworkBaskin
DTSTART;TZID=Europe/Rome:"&amp;TEXT($C367,"yyyymmdd")&amp;"T"&amp;TEXT($D367,"hhmmss")&amp;"
DTEND;TZID=Europe/Rome:"&amp;TEXT($E367,"yyyymmdd")&amp;"T"&amp;TEXT($F367,"hhmmss")&amp;"
SUMMARY:"&amp;$B367&amp;"
LOCATION:"&amp;$G367&amp;"
DESCRIPTION:"&amp;$H367&amp;"
END:VEVENT")</f>
        <v/>
      </c>
      <c r="B367" s="68">
        <f>IF('Calendario I'!$B27="","",'Calendario I'!$B27&amp;" vs "&amp;'Calendario I'!$D27&amp;" "&amp;'Calendario I'!$AC27)</f>
        <v/>
      </c>
      <c r="C367" s="222">
        <f>IF($B367="","",DATE(YEAR('Calendario I'!$F27),MONTH('Calendario I'!$F27),DAY('Calendario I'!$F27)))</f>
        <v/>
      </c>
      <c r="D367" s="223">
        <f>IF($B367="","",TIME(HOUR('Calendario I'!$F27),MINUTE('Calendario I'!$F27),0))</f>
        <v/>
      </c>
      <c r="E367" s="222">
        <f>IF($B367="","",DATE(YEAR('Calendario I'!$F27),MONTH('Calendario I'!$F27),DAY('Calendario I'!$F27)))</f>
        <v/>
      </c>
      <c r="F367" s="223">
        <f>IF($B367="","",TIME(HOUR('Calendario I'!$F27)+2,MINUTE('Calendario I'!$F27),0))</f>
        <v/>
      </c>
      <c r="G367" s="68">
        <f>IF($B367="","",'Calendario I'!$B28)</f>
        <v/>
      </c>
      <c r="H367" s="68">
        <f>IF($B367="","",Campionato!$D$2&amp;" "&amp;Campionato!$D$6)</f>
        <v/>
      </c>
      <c r="I367" s="68" t="inlineStr"/>
    </row>
    <row r="368">
      <c r="A368" s="68">
        <f>IF($B368="","","BEGIN:VEVENT
DTSTAMP:"&amp;TEXT(NOW(),"yyyymmdd")&amp;"T000001Z
UID:evt367@ClaudeCoworkBaskin
DTSTART;TZID=Europe/Rome:"&amp;TEXT($C368,"yyyymmdd")&amp;"T"&amp;TEXT($D368,"hhmmss")&amp;"
DTEND;TZID=Europe/Rome:"&amp;TEXT($E368,"yyyymmdd")&amp;"T"&amp;TEXT($F368,"hhmmss")&amp;"
SUMMARY:"&amp;$B368&amp;"
LOCATION:"&amp;$G368&amp;"
DESCRIPTION:"&amp;$H368&amp;"
END:VEVENT")</f>
        <v/>
      </c>
      <c r="B368" s="68">
        <f>IF('Calendario I'!$B30="","",'Calendario I'!$B30&amp;" vs "&amp;'Calendario I'!$D30&amp;" "&amp;'Calendario I'!$AC30)</f>
        <v/>
      </c>
      <c r="C368" s="222">
        <f>IF($B368="","",DATE(YEAR('Calendario I'!$F30),MONTH('Calendario I'!$F30),DAY('Calendario I'!$F30)))</f>
        <v/>
      </c>
      <c r="D368" s="223">
        <f>IF($B368="","",TIME(HOUR('Calendario I'!$F30),MINUTE('Calendario I'!$F30),0))</f>
        <v/>
      </c>
      <c r="E368" s="222">
        <f>IF($B368="","",DATE(YEAR('Calendario I'!$F30),MONTH('Calendario I'!$F30),DAY('Calendario I'!$F30)))</f>
        <v/>
      </c>
      <c r="F368" s="223">
        <f>IF($B368="","",TIME(HOUR('Calendario I'!$F30)+2,MINUTE('Calendario I'!$F30),0))</f>
        <v/>
      </c>
      <c r="G368" s="68">
        <f>IF($B368="","",'Calendario I'!$B31)</f>
        <v/>
      </c>
      <c r="H368" s="68">
        <f>IF($B368="","",Campionato!$D$2&amp;" "&amp;Campionato!$D$6)</f>
        <v/>
      </c>
      <c r="I368" s="68" t="inlineStr"/>
    </row>
    <row r="369">
      <c r="A369" s="68">
        <f>IF($B369="","","BEGIN:VEVENT
DTSTAMP:"&amp;TEXT(NOW(),"yyyymmdd")&amp;"T000001Z
UID:evt368@ClaudeCoworkBaskin
DTSTART;TZID=Europe/Rome:"&amp;TEXT($C369,"yyyymmdd")&amp;"T"&amp;TEXT($D369,"hhmmss")&amp;"
DTEND;TZID=Europe/Rome:"&amp;TEXT($E369,"yyyymmdd")&amp;"T"&amp;TEXT($F369,"hhmmss")&amp;"
SUMMARY:"&amp;$B369&amp;"
LOCATION:"&amp;$G369&amp;"
DESCRIPTION:"&amp;$H369&amp;"
END:VEVENT")</f>
        <v/>
      </c>
      <c r="B369" s="68">
        <f>IF('Calendario I'!$B33="","",'Calendario I'!$B33&amp;" vs "&amp;'Calendario I'!$D33&amp;" "&amp;'Calendario I'!$AC33)</f>
        <v/>
      </c>
      <c r="C369" s="222">
        <f>IF($B369="","",DATE(YEAR('Calendario I'!$F33),MONTH('Calendario I'!$F33),DAY('Calendario I'!$F33)))</f>
        <v/>
      </c>
      <c r="D369" s="223">
        <f>IF($B369="","",TIME(HOUR('Calendario I'!$F33),MINUTE('Calendario I'!$F33),0))</f>
        <v/>
      </c>
      <c r="E369" s="222">
        <f>IF($B369="","",DATE(YEAR('Calendario I'!$F33),MONTH('Calendario I'!$F33),DAY('Calendario I'!$F33)))</f>
        <v/>
      </c>
      <c r="F369" s="223">
        <f>IF($B369="","",TIME(HOUR('Calendario I'!$F33)+2,MINUTE('Calendario I'!$F33),0))</f>
        <v/>
      </c>
      <c r="G369" s="68">
        <f>IF($B369="","",'Calendario I'!$B34)</f>
        <v/>
      </c>
      <c r="H369" s="68">
        <f>IF($B369="","",Campionato!$D$2&amp;" "&amp;Campionato!$D$6)</f>
        <v/>
      </c>
      <c r="I369" s="68" t="inlineStr"/>
    </row>
    <row r="370">
      <c r="A370" s="68">
        <f>IF($B370="","","BEGIN:VEVENT
DTSTAMP:"&amp;TEXT(NOW(),"yyyymmdd")&amp;"T000001Z
UID:evt369@ClaudeCoworkBaskin
DTSTART;TZID=Europe/Rome:"&amp;TEXT($C370,"yyyymmdd")&amp;"T"&amp;TEXT($D370,"hhmmss")&amp;"
DTEND;TZID=Europe/Rome:"&amp;TEXT($E370,"yyyymmdd")&amp;"T"&amp;TEXT($F370,"hhmmss")&amp;"
SUMMARY:"&amp;$B370&amp;"
LOCATION:"&amp;$G370&amp;"
DESCRIPTION:"&amp;$H370&amp;"
END:VEVENT")</f>
        <v/>
      </c>
      <c r="B370" s="68">
        <f>IF('Calendario I'!$B36="","",'Calendario I'!$B36&amp;" vs "&amp;'Calendario I'!$D36&amp;" "&amp;'Calendario I'!$AC36)</f>
        <v/>
      </c>
      <c r="C370" s="222">
        <f>IF($B370="","",DATE(YEAR('Calendario I'!$F36),MONTH('Calendario I'!$F36),DAY('Calendario I'!$F36)))</f>
        <v/>
      </c>
      <c r="D370" s="223">
        <f>IF($B370="","",TIME(HOUR('Calendario I'!$F36),MINUTE('Calendario I'!$F36),0))</f>
        <v/>
      </c>
      <c r="E370" s="222">
        <f>IF($B370="","",DATE(YEAR('Calendario I'!$F36),MONTH('Calendario I'!$F36),DAY('Calendario I'!$F36)))</f>
        <v/>
      </c>
      <c r="F370" s="223">
        <f>IF($B370="","",TIME(HOUR('Calendario I'!$F36)+2,MINUTE('Calendario I'!$F36),0))</f>
        <v/>
      </c>
      <c r="G370" s="68">
        <f>IF($B370="","",'Calendario I'!$B37)</f>
        <v/>
      </c>
      <c r="H370" s="68">
        <f>IF($B370="","",Campionato!$D$2&amp;" "&amp;Campionato!$D$6)</f>
        <v/>
      </c>
      <c r="I370" s="68" t="inlineStr"/>
    </row>
    <row r="371">
      <c r="A371" s="68">
        <f>IF($B371="","","BEGIN:VEVENT
DTSTAMP:"&amp;TEXT(NOW(),"yyyymmdd")&amp;"T000001Z
UID:evt370@ClaudeCoworkBaskin
DTSTART;TZID=Europe/Rome:"&amp;TEXT($C371,"yyyymmdd")&amp;"T"&amp;TEXT($D371,"hhmmss")&amp;"
DTEND;TZID=Europe/Rome:"&amp;TEXT($E371,"yyyymmdd")&amp;"T"&amp;TEXT($F371,"hhmmss")&amp;"
SUMMARY:"&amp;$B371&amp;"
LOCATION:"&amp;$G371&amp;"
DESCRIPTION:"&amp;$H371&amp;"
END:VEVENT")</f>
        <v/>
      </c>
      <c r="B371" s="68">
        <f>IF('Calendario I'!$B39="","",'Calendario I'!$B39&amp;" vs "&amp;'Calendario I'!$D39&amp;" "&amp;'Calendario I'!$AC39)</f>
        <v/>
      </c>
      <c r="C371" s="222">
        <f>IF($B371="","",DATE(YEAR('Calendario I'!$F39),MONTH('Calendario I'!$F39),DAY('Calendario I'!$F39)))</f>
        <v/>
      </c>
      <c r="D371" s="223">
        <f>IF($B371="","",TIME(HOUR('Calendario I'!$F39),MINUTE('Calendario I'!$F39),0))</f>
        <v/>
      </c>
      <c r="E371" s="222">
        <f>IF($B371="","",DATE(YEAR('Calendario I'!$F39),MONTH('Calendario I'!$F39),DAY('Calendario I'!$F39)))</f>
        <v/>
      </c>
      <c r="F371" s="223">
        <f>IF($B371="","",TIME(HOUR('Calendario I'!$F39)+2,MINUTE('Calendario I'!$F39),0))</f>
        <v/>
      </c>
      <c r="G371" s="68">
        <f>IF($B371="","",'Calendario I'!$B40)</f>
        <v/>
      </c>
      <c r="H371" s="68">
        <f>IF($B371="","",Campionato!$D$2&amp;" "&amp;Campionato!$D$6)</f>
        <v/>
      </c>
      <c r="I371" s="68" t="inlineStr"/>
    </row>
    <row r="372">
      <c r="A372" s="68">
        <f>IF($B372="","","BEGIN:VEVENT
DTSTAMP:"&amp;TEXT(NOW(),"yyyymmdd")&amp;"T000001Z
UID:evt371@ClaudeCoworkBaskin
DTSTART;TZID=Europe/Rome:"&amp;TEXT($C372,"yyyymmdd")&amp;"T"&amp;TEXT($D372,"hhmmss")&amp;"
DTEND;TZID=Europe/Rome:"&amp;TEXT($E372,"yyyymmdd")&amp;"T"&amp;TEXT($F372,"hhmmss")&amp;"
SUMMARY:"&amp;$B372&amp;"
LOCATION:"&amp;$G372&amp;"
DESCRIPTION:"&amp;$H372&amp;"
END:VEVENT")</f>
        <v/>
      </c>
      <c r="B372" s="68">
        <f>IF('Calendario I'!$B44="","",'Calendario I'!$B44&amp;" vs "&amp;'Calendario I'!$D44&amp;" "&amp;'Calendario I'!$AC44)</f>
        <v/>
      </c>
      <c r="C372" s="222">
        <f>IF($B372="","",DATE(YEAR('Calendario I'!$F44),MONTH('Calendario I'!$F44),DAY('Calendario I'!$F44)))</f>
        <v/>
      </c>
      <c r="D372" s="223">
        <f>IF($B372="","",TIME(HOUR('Calendario I'!$F44),MINUTE('Calendario I'!$F44),0))</f>
        <v/>
      </c>
      <c r="E372" s="222">
        <f>IF($B372="","",DATE(YEAR('Calendario I'!$F44),MONTH('Calendario I'!$F44),DAY('Calendario I'!$F44)))</f>
        <v/>
      </c>
      <c r="F372" s="223">
        <f>IF($B372="","",TIME(HOUR('Calendario I'!$F44)+2,MINUTE('Calendario I'!$F44),0))</f>
        <v/>
      </c>
      <c r="G372" s="68">
        <f>IF($B372="","",'Calendario I'!$B45)</f>
        <v/>
      </c>
      <c r="H372" s="68">
        <f>IF($B372="","",Campionato!$D$2&amp;" "&amp;Campionato!$D$6)</f>
        <v/>
      </c>
      <c r="I372" s="68" t="inlineStr"/>
    </row>
    <row r="373">
      <c r="A373" s="68">
        <f>IF($B373="","","BEGIN:VEVENT
DTSTAMP:"&amp;TEXT(NOW(),"yyyymmdd")&amp;"T000001Z
UID:evt372@ClaudeCoworkBaskin
DTSTART;TZID=Europe/Rome:"&amp;TEXT($C373,"yyyymmdd")&amp;"T"&amp;TEXT($D373,"hhmmss")&amp;"
DTEND;TZID=Europe/Rome:"&amp;TEXT($E373,"yyyymmdd")&amp;"T"&amp;TEXT($F373,"hhmmss")&amp;"
SUMMARY:"&amp;$B373&amp;"
LOCATION:"&amp;$G373&amp;"
DESCRIPTION:"&amp;$H373&amp;"
END:VEVENT")</f>
        <v/>
      </c>
      <c r="B373" s="68">
        <f>IF('Calendario I'!$B47="","",'Calendario I'!$B47&amp;" vs "&amp;'Calendario I'!$D47&amp;" "&amp;'Calendario I'!$AC47)</f>
        <v/>
      </c>
      <c r="C373" s="222">
        <f>IF($B373="","",DATE(YEAR('Calendario I'!$F47),MONTH('Calendario I'!$F47),DAY('Calendario I'!$F47)))</f>
        <v/>
      </c>
      <c r="D373" s="223">
        <f>IF($B373="","",TIME(HOUR('Calendario I'!$F47),MINUTE('Calendario I'!$F47),0))</f>
        <v/>
      </c>
      <c r="E373" s="222">
        <f>IF($B373="","",DATE(YEAR('Calendario I'!$F47),MONTH('Calendario I'!$F47),DAY('Calendario I'!$F47)))</f>
        <v/>
      </c>
      <c r="F373" s="223">
        <f>IF($B373="","",TIME(HOUR('Calendario I'!$F47)+2,MINUTE('Calendario I'!$F47),0))</f>
        <v/>
      </c>
      <c r="G373" s="68">
        <f>IF($B373="","",'Calendario I'!$B48)</f>
        <v/>
      </c>
      <c r="H373" s="68">
        <f>IF($B373="","",Campionato!$D$2&amp;" "&amp;Campionato!$D$6)</f>
        <v/>
      </c>
      <c r="I373" s="68" t="inlineStr"/>
    </row>
    <row r="374">
      <c r="A374" s="68">
        <f>IF($B374="","","BEGIN:VEVENT
DTSTAMP:"&amp;TEXT(NOW(),"yyyymmdd")&amp;"T000001Z
UID:evt373@ClaudeCoworkBaskin
DTSTART;TZID=Europe/Rome:"&amp;TEXT($C374,"yyyymmdd")&amp;"T"&amp;TEXT($D374,"hhmmss")&amp;"
DTEND;TZID=Europe/Rome:"&amp;TEXT($E374,"yyyymmdd")&amp;"T"&amp;TEXT($F374,"hhmmss")&amp;"
SUMMARY:"&amp;$B374&amp;"
LOCATION:"&amp;$G374&amp;"
DESCRIPTION:"&amp;$H374&amp;"
END:VEVENT")</f>
        <v/>
      </c>
      <c r="B374" s="68">
        <f>IF('Calendario I'!$B50="","",'Calendario I'!$B50&amp;" vs "&amp;'Calendario I'!$D50&amp;" "&amp;'Calendario I'!$AC50)</f>
        <v/>
      </c>
      <c r="C374" s="222">
        <f>IF($B374="","",DATE(YEAR('Calendario I'!$F50),MONTH('Calendario I'!$F50),DAY('Calendario I'!$F50)))</f>
        <v/>
      </c>
      <c r="D374" s="223">
        <f>IF($B374="","",TIME(HOUR('Calendario I'!$F50),MINUTE('Calendario I'!$F50),0))</f>
        <v/>
      </c>
      <c r="E374" s="222">
        <f>IF($B374="","",DATE(YEAR('Calendario I'!$F50),MONTH('Calendario I'!$F50),DAY('Calendario I'!$F50)))</f>
        <v/>
      </c>
      <c r="F374" s="223">
        <f>IF($B374="","",TIME(HOUR('Calendario I'!$F50)+2,MINUTE('Calendario I'!$F50),0))</f>
        <v/>
      </c>
      <c r="G374" s="68">
        <f>IF($B374="","",'Calendario I'!$B51)</f>
        <v/>
      </c>
      <c r="H374" s="68">
        <f>IF($B374="","",Campionato!$D$2&amp;" "&amp;Campionato!$D$6)</f>
        <v/>
      </c>
      <c r="I374" s="68" t="inlineStr"/>
    </row>
    <row r="375">
      <c r="A375" s="68">
        <f>IF($B375="","","BEGIN:VEVENT
DTSTAMP:"&amp;TEXT(NOW(),"yyyymmdd")&amp;"T000001Z
UID:evt374@ClaudeCoworkBaskin
DTSTART;TZID=Europe/Rome:"&amp;TEXT($C375,"yyyymmdd")&amp;"T"&amp;TEXT($D375,"hhmmss")&amp;"
DTEND;TZID=Europe/Rome:"&amp;TEXT($E375,"yyyymmdd")&amp;"T"&amp;TEXT($F375,"hhmmss")&amp;"
SUMMARY:"&amp;$B375&amp;"
LOCATION:"&amp;$G375&amp;"
DESCRIPTION:"&amp;$H375&amp;"
END:VEVENT")</f>
        <v/>
      </c>
      <c r="B375" s="68">
        <f>IF('Calendario I'!$B53="","",'Calendario I'!$B53&amp;" vs "&amp;'Calendario I'!$D53&amp;" "&amp;'Calendario I'!$AC53)</f>
        <v/>
      </c>
      <c r="C375" s="222">
        <f>IF($B375="","",DATE(YEAR('Calendario I'!$F53),MONTH('Calendario I'!$F53),DAY('Calendario I'!$F53)))</f>
        <v/>
      </c>
      <c r="D375" s="223">
        <f>IF($B375="","",TIME(HOUR('Calendario I'!$F53),MINUTE('Calendario I'!$F53),0))</f>
        <v/>
      </c>
      <c r="E375" s="222">
        <f>IF($B375="","",DATE(YEAR('Calendario I'!$F53),MONTH('Calendario I'!$F53),DAY('Calendario I'!$F53)))</f>
        <v/>
      </c>
      <c r="F375" s="223">
        <f>IF($B375="","",TIME(HOUR('Calendario I'!$F53)+2,MINUTE('Calendario I'!$F53),0))</f>
        <v/>
      </c>
      <c r="G375" s="68">
        <f>IF($B375="","",'Calendario I'!$B54)</f>
        <v/>
      </c>
      <c r="H375" s="68">
        <f>IF($B375="","",Campionato!$D$2&amp;" "&amp;Campionato!$D$6)</f>
        <v/>
      </c>
      <c r="I375" s="68" t="inlineStr"/>
    </row>
    <row r="376">
      <c r="A376" s="68">
        <f>IF($B376="","","BEGIN:VEVENT
DTSTAMP:"&amp;TEXT(NOW(),"yyyymmdd")&amp;"T000001Z
UID:evt375@ClaudeCoworkBaskin
DTSTART;TZID=Europe/Rome:"&amp;TEXT($C376,"yyyymmdd")&amp;"T"&amp;TEXT($D376,"hhmmss")&amp;"
DTEND;TZID=Europe/Rome:"&amp;TEXT($E376,"yyyymmdd")&amp;"T"&amp;TEXT($F376,"hhmmss")&amp;"
SUMMARY:"&amp;$B376&amp;"
LOCATION:"&amp;$G376&amp;"
DESCRIPTION:"&amp;$H376&amp;"
END:VEVENT")</f>
        <v/>
      </c>
      <c r="B376" s="68">
        <f>IF('Calendario I'!$B56="","",'Calendario I'!$B56&amp;" vs "&amp;'Calendario I'!$D56&amp;" "&amp;'Calendario I'!$AC56)</f>
        <v/>
      </c>
      <c r="C376" s="222">
        <f>IF($B376="","",DATE(YEAR('Calendario I'!$F56),MONTH('Calendario I'!$F56),DAY('Calendario I'!$F56)))</f>
        <v/>
      </c>
      <c r="D376" s="223">
        <f>IF($B376="","",TIME(HOUR('Calendario I'!$F56),MINUTE('Calendario I'!$F56),0))</f>
        <v/>
      </c>
      <c r="E376" s="222">
        <f>IF($B376="","",DATE(YEAR('Calendario I'!$F56),MONTH('Calendario I'!$F56),DAY('Calendario I'!$F56)))</f>
        <v/>
      </c>
      <c r="F376" s="223">
        <f>IF($B376="","",TIME(HOUR('Calendario I'!$F56)+2,MINUTE('Calendario I'!$F56),0))</f>
        <v/>
      </c>
      <c r="G376" s="68">
        <f>IF($B376="","",'Calendario I'!$B57)</f>
        <v/>
      </c>
      <c r="H376" s="68">
        <f>IF($B376="","",Campionato!$D$2&amp;" "&amp;Campionato!$D$6)</f>
        <v/>
      </c>
      <c r="I376" s="68" t="inlineStr"/>
    </row>
    <row r="377">
      <c r="A377" s="68">
        <f>IF($B377="","","BEGIN:VEVENT
DTSTAMP:"&amp;TEXT(NOW(),"yyyymmdd")&amp;"T000001Z
UID:evt376@ClaudeCoworkBaskin
DTSTART;TZID=Europe/Rome:"&amp;TEXT($C377,"yyyymmdd")&amp;"T"&amp;TEXT($D377,"hhmmss")&amp;"
DTEND;TZID=Europe/Rome:"&amp;TEXT($E377,"yyyymmdd")&amp;"T"&amp;TEXT($F377,"hhmmss")&amp;"
SUMMARY:"&amp;$B377&amp;"
LOCATION:"&amp;$G377&amp;"
DESCRIPTION:"&amp;$H377&amp;"
END:VEVENT")</f>
        <v/>
      </c>
      <c r="B377" s="68">
        <f>IF('Calendario I'!$B61="","",'Calendario I'!$B61&amp;" vs "&amp;'Calendario I'!$D61&amp;" "&amp;'Calendario I'!$AC61)</f>
        <v/>
      </c>
      <c r="C377" s="222">
        <f>IF($B377="","",DATE(YEAR('Calendario I'!$F61),MONTH('Calendario I'!$F61),DAY('Calendario I'!$F61)))</f>
        <v/>
      </c>
      <c r="D377" s="223">
        <f>IF($B377="","",TIME(HOUR('Calendario I'!$F61),MINUTE('Calendario I'!$F61),0))</f>
        <v/>
      </c>
      <c r="E377" s="222">
        <f>IF($B377="","",DATE(YEAR('Calendario I'!$F61),MONTH('Calendario I'!$F61),DAY('Calendario I'!$F61)))</f>
        <v/>
      </c>
      <c r="F377" s="223">
        <f>IF($B377="","",TIME(HOUR('Calendario I'!$F61)+2,MINUTE('Calendario I'!$F61),0))</f>
        <v/>
      </c>
      <c r="G377" s="68">
        <f>IF($B377="","",'Calendario I'!$B62)</f>
        <v/>
      </c>
      <c r="H377" s="68">
        <f>IF($B377="","",Campionato!$D$2&amp;" "&amp;Campionato!$D$6)</f>
        <v/>
      </c>
      <c r="I377" s="68" t="inlineStr"/>
    </row>
    <row r="378">
      <c r="A378" s="68">
        <f>IF($B378="","","BEGIN:VEVENT
DTSTAMP:"&amp;TEXT(NOW(),"yyyymmdd")&amp;"T000001Z
UID:evt377@ClaudeCoworkBaskin
DTSTART;TZID=Europe/Rome:"&amp;TEXT($C378,"yyyymmdd")&amp;"T"&amp;TEXT($D378,"hhmmss")&amp;"
DTEND;TZID=Europe/Rome:"&amp;TEXT($E378,"yyyymmdd")&amp;"T"&amp;TEXT($F378,"hhmmss")&amp;"
SUMMARY:"&amp;$B378&amp;"
LOCATION:"&amp;$G378&amp;"
DESCRIPTION:"&amp;$H378&amp;"
END:VEVENT")</f>
        <v/>
      </c>
      <c r="B378" s="68">
        <f>IF('Calendario I'!$B64="","",'Calendario I'!$B64&amp;" vs "&amp;'Calendario I'!$D64&amp;" "&amp;'Calendario I'!$AC64)</f>
        <v/>
      </c>
      <c r="C378" s="222">
        <f>IF($B378="","",DATE(YEAR('Calendario I'!$F64),MONTH('Calendario I'!$F64),DAY('Calendario I'!$F64)))</f>
        <v/>
      </c>
      <c r="D378" s="223">
        <f>IF($B378="","",TIME(HOUR('Calendario I'!$F64),MINUTE('Calendario I'!$F64),0))</f>
        <v/>
      </c>
      <c r="E378" s="222">
        <f>IF($B378="","",DATE(YEAR('Calendario I'!$F64),MONTH('Calendario I'!$F64),DAY('Calendario I'!$F64)))</f>
        <v/>
      </c>
      <c r="F378" s="223">
        <f>IF($B378="","",TIME(HOUR('Calendario I'!$F64)+2,MINUTE('Calendario I'!$F64),0))</f>
        <v/>
      </c>
      <c r="G378" s="68">
        <f>IF($B378="","",'Calendario I'!$B65)</f>
        <v/>
      </c>
      <c r="H378" s="68">
        <f>IF($B378="","",Campionato!$D$2&amp;" "&amp;Campionato!$D$6)</f>
        <v/>
      </c>
      <c r="I378" s="68" t="inlineStr"/>
    </row>
    <row r="379">
      <c r="A379" s="68">
        <f>IF($B379="","","BEGIN:VEVENT
DTSTAMP:"&amp;TEXT(NOW(),"yyyymmdd")&amp;"T000001Z
UID:evt378@ClaudeCoworkBaskin
DTSTART;TZID=Europe/Rome:"&amp;TEXT($C379,"yyyymmdd")&amp;"T"&amp;TEXT($D379,"hhmmss")&amp;"
DTEND;TZID=Europe/Rome:"&amp;TEXT($E379,"yyyymmdd")&amp;"T"&amp;TEXT($F379,"hhmmss")&amp;"
SUMMARY:"&amp;$B379&amp;"
LOCATION:"&amp;$G379&amp;"
DESCRIPTION:"&amp;$H379&amp;"
END:VEVENT")</f>
        <v/>
      </c>
      <c r="B379" s="68">
        <f>IF('Calendario I'!$B67="","",'Calendario I'!$B67&amp;" vs "&amp;'Calendario I'!$D67&amp;" "&amp;'Calendario I'!$AC67)</f>
        <v/>
      </c>
      <c r="C379" s="222">
        <f>IF($B379="","",DATE(YEAR('Calendario I'!$F67),MONTH('Calendario I'!$F67),DAY('Calendario I'!$F67)))</f>
        <v/>
      </c>
      <c r="D379" s="223">
        <f>IF($B379="","",TIME(HOUR('Calendario I'!$F67),MINUTE('Calendario I'!$F67),0))</f>
        <v/>
      </c>
      <c r="E379" s="222">
        <f>IF($B379="","",DATE(YEAR('Calendario I'!$F67),MONTH('Calendario I'!$F67),DAY('Calendario I'!$F67)))</f>
        <v/>
      </c>
      <c r="F379" s="223">
        <f>IF($B379="","",TIME(HOUR('Calendario I'!$F67)+2,MINUTE('Calendario I'!$F67),0))</f>
        <v/>
      </c>
      <c r="G379" s="68">
        <f>IF($B379="","",'Calendario I'!$B68)</f>
        <v/>
      </c>
      <c r="H379" s="68">
        <f>IF($B379="","",Campionato!$D$2&amp;" "&amp;Campionato!$D$6)</f>
        <v/>
      </c>
      <c r="I379" s="68" t="inlineStr"/>
    </row>
    <row r="380">
      <c r="A380" s="68">
        <f>IF($B380="","","BEGIN:VEVENT
DTSTAMP:"&amp;TEXT(NOW(),"yyyymmdd")&amp;"T000001Z
UID:evt379@ClaudeCoworkBaskin
DTSTART;TZID=Europe/Rome:"&amp;TEXT($C380,"yyyymmdd")&amp;"T"&amp;TEXT($D380,"hhmmss")&amp;"
DTEND;TZID=Europe/Rome:"&amp;TEXT($E380,"yyyymmdd")&amp;"T"&amp;TEXT($F380,"hhmmss")&amp;"
SUMMARY:"&amp;$B380&amp;"
LOCATION:"&amp;$G380&amp;"
DESCRIPTION:"&amp;$H380&amp;"
END:VEVENT")</f>
        <v/>
      </c>
      <c r="B380" s="68">
        <f>IF('Calendario I'!$B70="","",'Calendario I'!$B70&amp;" vs "&amp;'Calendario I'!$D70&amp;" "&amp;'Calendario I'!$AC70)</f>
        <v/>
      </c>
      <c r="C380" s="222">
        <f>IF($B380="","",DATE(YEAR('Calendario I'!$F70),MONTH('Calendario I'!$F70),DAY('Calendario I'!$F70)))</f>
        <v/>
      </c>
      <c r="D380" s="223">
        <f>IF($B380="","",TIME(HOUR('Calendario I'!$F70),MINUTE('Calendario I'!$F70),0))</f>
        <v/>
      </c>
      <c r="E380" s="222">
        <f>IF($B380="","",DATE(YEAR('Calendario I'!$F70),MONTH('Calendario I'!$F70),DAY('Calendario I'!$F70)))</f>
        <v/>
      </c>
      <c r="F380" s="223">
        <f>IF($B380="","",TIME(HOUR('Calendario I'!$F70)+2,MINUTE('Calendario I'!$F70),0))</f>
        <v/>
      </c>
      <c r="G380" s="68">
        <f>IF($B380="","",'Calendario I'!$B71)</f>
        <v/>
      </c>
      <c r="H380" s="68">
        <f>IF($B380="","",Campionato!$D$2&amp;" "&amp;Campionato!$D$6)</f>
        <v/>
      </c>
      <c r="I380" s="68" t="inlineStr"/>
    </row>
    <row r="381">
      <c r="A381" s="68">
        <f>IF($B381="","","BEGIN:VEVENT
DTSTAMP:"&amp;TEXT(NOW(),"yyyymmdd")&amp;"T000001Z
UID:evt380@ClaudeCoworkBaskin
DTSTART;TZID=Europe/Rome:"&amp;TEXT($C381,"yyyymmdd")&amp;"T"&amp;TEXT($D381,"hhmmss")&amp;"
DTEND;TZID=Europe/Rome:"&amp;TEXT($E381,"yyyymmdd")&amp;"T"&amp;TEXT($F381,"hhmmss")&amp;"
SUMMARY:"&amp;$B381&amp;"
LOCATION:"&amp;$G381&amp;"
DESCRIPTION:"&amp;$H381&amp;"
END:VEVENT")</f>
        <v/>
      </c>
      <c r="B381" s="68">
        <f>IF('Calendario I'!$B73="","",'Calendario I'!$B73&amp;" vs "&amp;'Calendario I'!$D73&amp;" "&amp;'Calendario I'!$AC73)</f>
        <v/>
      </c>
      <c r="C381" s="222">
        <f>IF($B381="","",DATE(YEAR('Calendario I'!$F73),MONTH('Calendario I'!$F73),DAY('Calendario I'!$F73)))</f>
        <v/>
      </c>
      <c r="D381" s="223">
        <f>IF($B381="","",TIME(HOUR('Calendario I'!$F73),MINUTE('Calendario I'!$F73),0))</f>
        <v/>
      </c>
      <c r="E381" s="222">
        <f>IF($B381="","",DATE(YEAR('Calendario I'!$F73),MONTH('Calendario I'!$F73),DAY('Calendario I'!$F73)))</f>
        <v/>
      </c>
      <c r="F381" s="223">
        <f>IF($B381="","",TIME(HOUR('Calendario I'!$F73)+2,MINUTE('Calendario I'!$F73),0))</f>
        <v/>
      </c>
      <c r="G381" s="68">
        <f>IF($B381="","",'Calendario I'!$B74)</f>
        <v/>
      </c>
      <c r="H381" s="68">
        <f>IF($B381="","",Campionato!$D$2&amp;" "&amp;Campionato!$D$6)</f>
        <v/>
      </c>
      <c r="I381" s="68" t="inlineStr"/>
    </row>
    <row r="382">
      <c r="A382" s="68">
        <f>IF($B382="","","BEGIN:VEVENT
DTSTAMP:"&amp;TEXT(NOW(),"yyyymmdd")&amp;"T000001Z
UID:evt381@ClaudeCoworkBaskin
DTSTART;TZID=Europe/Rome:"&amp;TEXT($C382,"yyyymmdd")&amp;"T"&amp;TEXT($D382,"hhmmss")&amp;"
DTEND;TZID=Europe/Rome:"&amp;TEXT($E382,"yyyymmdd")&amp;"T"&amp;TEXT($F382,"hhmmss")&amp;"
SUMMARY:"&amp;$B382&amp;"
LOCATION:"&amp;$G382&amp;"
DESCRIPTION:"&amp;$H382&amp;"
END:VEVENT")</f>
        <v/>
      </c>
      <c r="B382" s="68">
        <f>IF('Calendario I'!$B78="","",'Calendario I'!$B78&amp;" vs "&amp;'Calendario I'!$D78&amp;" "&amp;'Calendario I'!$AC78)</f>
        <v/>
      </c>
      <c r="C382" s="222">
        <f>IF($B382="","",DATE(YEAR('Calendario I'!$F78),MONTH('Calendario I'!$F78),DAY('Calendario I'!$F78)))</f>
        <v/>
      </c>
      <c r="D382" s="223">
        <f>IF($B382="","",TIME(HOUR('Calendario I'!$F78),MINUTE('Calendario I'!$F78),0))</f>
        <v/>
      </c>
      <c r="E382" s="222">
        <f>IF($B382="","",DATE(YEAR('Calendario I'!$F78),MONTH('Calendario I'!$F78),DAY('Calendario I'!$F78)))</f>
        <v/>
      </c>
      <c r="F382" s="223">
        <f>IF($B382="","",TIME(HOUR('Calendario I'!$F78)+2,MINUTE('Calendario I'!$F78),0))</f>
        <v/>
      </c>
      <c r="G382" s="68">
        <f>IF($B382="","",'Calendario I'!$B79)</f>
        <v/>
      </c>
      <c r="H382" s="68">
        <f>IF($B382="","",Campionato!$D$2&amp;" "&amp;Campionato!$D$6)</f>
        <v/>
      </c>
      <c r="I382" s="68" t="inlineStr"/>
    </row>
    <row r="383">
      <c r="A383" s="68">
        <f>IF($B383="","","BEGIN:VEVENT
DTSTAMP:"&amp;TEXT(NOW(),"yyyymmdd")&amp;"T000001Z
UID:evt382@ClaudeCoworkBaskin
DTSTART;TZID=Europe/Rome:"&amp;TEXT($C383,"yyyymmdd")&amp;"T"&amp;TEXT($D383,"hhmmss")&amp;"
DTEND;TZID=Europe/Rome:"&amp;TEXT($E383,"yyyymmdd")&amp;"T"&amp;TEXT($F383,"hhmmss")&amp;"
SUMMARY:"&amp;$B383&amp;"
LOCATION:"&amp;$G383&amp;"
DESCRIPTION:"&amp;$H383&amp;"
END:VEVENT")</f>
        <v/>
      </c>
      <c r="B383" s="68">
        <f>IF('Calendario I'!$B81="","",'Calendario I'!$B81&amp;" vs "&amp;'Calendario I'!$D81&amp;" "&amp;'Calendario I'!$AC81)</f>
        <v/>
      </c>
      <c r="C383" s="222">
        <f>IF($B383="","",DATE(YEAR('Calendario I'!$F81),MONTH('Calendario I'!$F81),DAY('Calendario I'!$F81)))</f>
        <v/>
      </c>
      <c r="D383" s="223">
        <f>IF($B383="","",TIME(HOUR('Calendario I'!$F81),MINUTE('Calendario I'!$F81),0))</f>
        <v/>
      </c>
      <c r="E383" s="222">
        <f>IF($B383="","",DATE(YEAR('Calendario I'!$F81),MONTH('Calendario I'!$F81),DAY('Calendario I'!$F81)))</f>
        <v/>
      </c>
      <c r="F383" s="223">
        <f>IF($B383="","",TIME(HOUR('Calendario I'!$F81)+2,MINUTE('Calendario I'!$F81),0))</f>
        <v/>
      </c>
      <c r="G383" s="68">
        <f>IF($B383="","",'Calendario I'!$B82)</f>
        <v/>
      </c>
      <c r="H383" s="68">
        <f>IF($B383="","",Campionato!$D$2&amp;" "&amp;Campionato!$D$6)</f>
        <v/>
      </c>
      <c r="I383" s="68" t="inlineStr"/>
    </row>
    <row r="384">
      <c r="A384" s="68">
        <f>IF($B384="","","BEGIN:VEVENT
DTSTAMP:"&amp;TEXT(NOW(),"yyyymmdd")&amp;"T000001Z
UID:evt383@ClaudeCoworkBaskin
DTSTART;TZID=Europe/Rome:"&amp;TEXT($C384,"yyyymmdd")&amp;"T"&amp;TEXT($D384,"hhmmss")&amp;"
DTEND;TZID=Europe/Rome:"&amp;TEXT($E384,"yyyymmdd")&amp;"T"&amp;TEXT($F384,"hhmmss")&amp;"
SUMMARY:"&amp;$B384&amp;"
LOCATION:"&amp;$G384&amp;"
DESCRIPTION:"&amp;$H384&amp;"
END:VEVENT")</f>
        <v/>
      </c>
      <c r="B384" s="68">
        <f>IF('Calendario I'!$B84="","",'Calendario I'!$B84&amp;" vs "&amp;'Calendario I'!$D84&amp;" "&amp;'Calendario I'!$AC84)</f>
        <v/>
      </c>
      <c r="C384" s="222">
        <f>IF($B384="","",DATE(YEAR('Calendario I'!$F84),MONTH('Calendario I'!$F84),DAY('Calendario I'!$F84)))</f>
        <v/>
      </c>
      <c r="D384" s="223">
        <f>IF($B384="","",TIME(HOUR('Calendario I'!$F84),MINUTE('Calendario I'!$F84),0))</f>
        <v/>
      </c>
      <c r="E384" s="222">
        <f>IF($B384="","",DATE(YEAR('Calendario I'!$F84),MONTH('Calendario I'!$F84),DAY('Calendario I'!$F84)))</f>
        <v/>
      </c>
      <c r="F384" s="223">
        <f>IF($B384="","",TIME(HOUR('Calendario I'!$F84)+2,MINUTE('Calendario I'!$F84),0))</f>
        <v/>
      </c>
      <c r="G384" s="68">
        <f>IF($B384="","",'Calendario I'!$B85)</f>
        <v/>
      </c>
      <c r="H384" s="68">
        <f>IF($B384="","",Campionato!$D$2&amp;" "&amp;Campionato!$D$6)</f>
        <v/>
      </c>
      <c r="I384" s="68" t="inlineStr"/>
    </row>
    <row r="385">
      <c r="A385" s="68">
        <f>IF($B385="","","BEGIN:VEVENT
DTSTAMP:"&amp;TEXT(NOW(),"yyyymmdd")&amp;"T000001Z
UID:evt384@ClaudeCoworkBaskin
DTSTART;TZID=Europe/Rome:"&amp;TEXT($C385,"yyyymmdd")&amp;"T"&amp;TEXT($D385,"hhmmss")&amp;"
DTEND;TZID=Europe/Rome:"&amp;TEXT($E385,"yyyymmdd")&amp;"T"&amp;TEXT($F385,"hhmmss")&amp;"
SUMMARY:"&amp;$B385&amp;"
LOCATION:"&amp;$G385&amp;"
DESCRIPTION:"&amp;$H385&amp;"
END:VEVENT")</f>
        <v/>
      </c>
      <c r="B385" s="68">
        <f>IF('Calendario I'!$B87="","",'Calendario I'!$B87&amp;" vs "&amp;'Calendario I'!$D87&amp;" "&amp;'Calendario I'!$AC87)</f>
        <v/>
      </c>
      <c r="C385" s="222">
        <f>IF($B385="","",DATE(YEAR('Calendario I'!$F87),MONTH('Calendario I'!$F87),DAY('Calendario I'!$F87)))</f>
        <v/>
      </c>
      <c r="D385" s="223">
        <f>IF($B385="","",TIME(HOUR('Calendario I'!$F87),MINUTE('Calendario I'!$F87),0))</f>
        <v/>
      </c>
      <c r="E385" s="222">
        <f>IF($B385="","",DATE(YEAR('Calendario I'!$F87),MONTH('Calendario I'!$F87),DAY('Calendario I'!$F87)))</f>
        <v/>
      </c>
      <c r="F385" s="223">
        <f>IF($B385="","",TIME(HOUR('Calendario I'!$F87)+2,MINUTE('Calendario I'!$F87),0))</f>
        <v/>
      </c>
      <c r="G385" s="68">
        <f>IF($B385="","",'Calendario I'!$B88)</f>
        <v/>
      </c>
      <c r="H385" s="68">
        <f>IF($B385="","",Campionato!$D$2&amp;" "&amp;Campionato!$D$6)</f>
        <v/>
      </c>
      <c r="I385" s="68" t="inlineStr"/>
    </row>
    <row r="386">
      <c r="A386" s="68">
        <f>IF($B386="","","BEGIN:VEVENT
DTSTAMP:"&amp;TEXT(NOW(),"yyyymmdd")&amp;"T000001Z
UID:evt385@ClaudeCoworkBaskin
DTSTART;TZID=Europe/Rome:"&amp;TEXT($C386,"yyyymmdd")&amp;"T"&amp;TEXT($D386,"hhmmss")&amp;"
DTEND;TZID=Europe/Rome:"&amp;TEXT($E386,"yyyymmdd")&amp;"T"&amp;TEXT($F386,"hhmmss")&amp;"
SUMMARY:"&amp;$B386&amp;"
LOCATION:"&amp;$G386&amp;"
DESCRIPTION:"&amp;$H386&amp;"
END:VEVENT")</f>
        <v/>
      </c>
      <c r="B386" s="68">
        <f>IF('Calendario I'!$B90="","",'Calendario I'!$B90&amp;" vs "&amp;'Calendario I'!$D90&amp;" "&amp;'Calendario I'!$AC90)</f>
        <v/>
      </c>
      <c r="C386" s="222">
        <f>IF($B386="","",DATE(YEAR('Calendario I'!$F90),MONTH('Calendario I'!$F90),DAY('Calendario I'!$F90)))</f>
        <v/>
      </c>
      <c r="D386" s="223">
        <f>IF($B386="","",TIME(HOUR('Calendario I'!$F90),MINUTE('Calendario I'!$F90),0))</f>
        <v/>
      </c>
      <c r="E386" s="222">
        <f>IF($B386="","",DATE(YEAR('Calendario I'!$F90),MONTH('Calendario I'!$F90),DAY('Calendario I'!$F90)))</f>
        <v/>
      </c>
      <c r="F386" s="223">
        <f>IF($B386="","",TIME(HOUR('Calendario I'!$F90)+2,MINUTE('Calendario I'!$F90),0))</f>
        <v/>
      </c>
      <c r="G386" s="68">
        <f>IF($B386="","",'Calendario I'!$B91)</f>
        <v/>
      </c>
      <c r="H386" s="68">
        <f>IF($B386="","",Campionato!$D$2&amp;" "&amp;Campionato!$D$6)</f>
        <v/>
      </c>
      <c r="I386" s="68" t="inlineStr"/>
    </row>
    <row r="387">
      <c r="A387" s="68">
        <f>IF($B387="","","BEGIN:VEVENT
DTSTAMP:"&amp;TEXT(NOW(),"yyyymmdd")&amp;"T000001Z
UID:evt386@ClaudeCoworkBaskin
DTSTART;TZID=Europe/Rome:"&amp;TEXT($C387,"yyyymmdd")&amp;"T"&amp;TEXT($D387,"hhmmss")&amp;"
DTEND;TZID=Europe/Rome:"&amp;TEXT($E387,"yyyymmdd")&amp;"T"&amp;TEXT($F387,"hhmmss")&amp;"
SUMMARY:"&amp;$B387&amp;"
LOCATION:"&amp;$G387&amp;"
DESCRIPTION:"&amp;$H387&amp;"
END:VEVENT")</f>
        <v/>
      </c>
      <c r="B387" s="68">
        <f>IF('Calendario I'!$B95="","",'Calendario I'!$B95&amp;" vs "&amp;'Calendario I'!$D95&amp;" "&amp;'Calendario I'!$AC95)</f>
        <v/>
      </c>
      <c r="C387" s="222">
        <f>IF($B387="","",DATE(YEAR('Calendario I'!$F95),MONTH('Calendario I'!$F95),DAY('Calendario I'!$F95)))</f>
        <v/>
      </c>
      <c r="D387" s="223">
        <f>IF($B387="","",TIME(HOUR('Calendario I'!$F95),MINUTE('Calendario I'!$F95),0))</f>
        <v/>
      </c>
      <c r="E387" s="222">
        <f>IF($B387="","",DATE(YEAR('Calendario I'!$F95),MONTH('Calendario I'!$F95),DAY('Calendario I'!$F95)))</f>
        <v/>
      </c>
      <c r="F387" s="223">
        <f>IF($B387="","",TIME(HOUR('Calendario I'!$F95)+2,MINUTE('Calendario I'!$F95),0))</f>
        <v/>
      </c>
      <c r="G387" s="68">
        <f>IF($B387="","",'Calendario I'!$B96)</f>
        <v/>
      </c>
      <c r="H387" s="68">
        <f>IF($B387="","",Campionato!$D$2&amp;" "&amp;Campionato!$D$6)</f>
        <v/>
      </c>
      <c r="I387" s="68" t="inlineStr"/>
    </row>
    <row r="388">
      <c r="A388" s="68">
        <f>IF($B388="","","BEGIN:VEVENT
DTSTAMP:"&amp;TEXT(NOW(),"yyyymmdd")&amp;"T000001Z
UID:evt387@ClaudeCoworkBaskin
DTSTART;TZID=Europe/Rome:"&amp;TEXT($C388,"yyyymmdd")&amp;"T"&amp;TEXT($D388,"hhmmss")&amp;"
DTEND;TZID=Europe/Rome:"&amp;TEXT($E388,"yyyymmdd")&amp;"T"&amp;TEXT($F388,"hhmmss")&amp;"
SUMMARY:"&amp;$B388&amp;"
LOCATION:"&amp;$G388&amp;"
DESCRIPTION:"&amp;$H388&amp;"
END:VEVENT")</f>
        <v/>
      </c>
      <c r="B388" s="68">
        <f>IF('Calendario I'!$B98="","",'Calendario I'!$B98&amp;" vs "&amp;'Calendario I'!$D98&amp;" "&amp;'Calendario I'!$AC98)</f>
        <v/>
      </c>
      <c r="C388" s="222">
        <f>IF($B388="","",DATE(YEAR('Calendario I'!$F98),MONTH('Calendario I'!$F98),DAY('Calendario I'!$F98)))</f>
        <v/>
      </c>
      <c r="D388" s="223">
        <f>IF($B388="","",TIME(HOUR('Calendario I'!$F98),MINUTE('Calendario I'!$F98),0))</f>
        <v/>
      </c>
      <c r="E388" s="222">
        <f>IF($B388="","",DATE(YEAR('Calendario I'!$F98),MONTH('Calendario I'!$F98),DAY('Calendario I'!$F98)))</f>
        <v/>
      </c>
      <c r="F388" s="223">
        <f>IF($B388="","",TIME(HOUR('Calendario I'!$F98)+2,MINUTE('Calendario I'!$F98),0))</f>
        <v/>
      </c>
      <c r="G388" s="68">
        <f>IF($B388="","",'Calendario I'!$B99)</f>
        <v/>
      </c>
      <c r="H388" s="68">
        <f>IF($B388="","",Campionato!$D$2&amp;" "&amp;Campionato!$D$6)</f>
        <v/>
      </c>
      <c r="I388" s="68" t="inlineStr"/>
    </row>
    <row r="389">
      <c r="A389" s="68">
        <f>IF($B389="","","BEGIN:VEVENT
DTSTAMP:"&amp;TEXT(NOW(),"yyyymmdd")&amp;"T000001Z
UID:evt388@ClaudeCoworkBaskin
DTSTART;TZID=Europe/Rome:"&amp;TEXT($C389,"yyyymmdd")&amp;"T"&amp;TEXT($D389,"hhmmss")&amp;"
DTEND;TZID=Europe/Rome:"&amp;TEXT($E389,"yyyymmdd")&amp;"T"&amp;TEXT($F389,"hhmmss")&amp;"
SUMMARY:"&amp;$B389&amp;"
LOCATION:"&amp;$G389&amp;"
DESCRIPTION:"&amp;$H389&amp;"
END:VEVENT")</f>
        <v/>
      </c>
      <c r="B389" s="68">
        <f>IF('Calendario I'!$B101="","",'Calendario I'!$B101&amp;" vs "&amp;'Calendario I'!$D101&amp;" "&amp;'Calendario I'!$AC101)</f>
        <v/>
      </c>
      <c r="C389" s="222">
        <f>IF($B389="","",DATE(YEAR('Calendario I'!$F101),MONTH('Calendario I'!$F101),DAY('Calendario I'!$F101)))</f>
        <v/>
      </c>
      <c r="D389" s="223">
        <f>IF($B389="","",TIME(HOUR('Calendario I'!$F101),MINUTE('Calendario I'!$F101),0))</f>
        <v/>
      </c>
      <c r="E389" s="222">
        <f>IF($B389="","",DATE(YEAR('Calendario I'!$F101),MONTH('Calendario I'!$F101),DAY('Calendario I'!$F101)))</f>
        <v/>
      </c>
      <c r="F389" s="223">
        <f>IF($B389="","",TIME(HOUR('Calendario I'!$F101)+2,MINUTE('Calendario I'!$F101),0))</f>
        <v/>
      </c>
      <c r="G389" s="68">
        <f>IF($B389="","",'Calendario I'!$B102)</f>
        <v/>
      </c>
      <c r="H389" s="68">
        <f>IF($B389="","",Campionato!$D$2&amp;" "&amp;Campionato!$D$6)</f>
        <v/>
      </c>
      <c r="I389" s="68" t="inlineStr"/>
    </row>
    <row r="390">
      <c r="A390" s="68">
        <f>IF($B390="","","BEGIN:VEVENT
DTSTAMP:"&amp;TEXT(NOW(),"yyyymmdd")&amp;"T000001Z
UID:evt389@ClaudeCoworkBaskin
DTSTART;TZID=Europe/Rome:"&amp;TEXT($C390,"yyyymmdd")&amp;"T"&amp;TEXT($D390,"hhmmss")&amp;"
DTEND;TZID=Europe/Rome:"&amp;TEXT($E390,"yyyymmdd")&amp;"T"&amp;TEXT($F390,"hhmmss")&amp;"
SUMMARY:"&amp;$B390&amp;"
LOCATION:"&amp;$G390&amp;"
DESCRIPTION:"&amp;$H390&amp;"
END:VEVENT")</f>
        <v/>
      </c>
      <c r="B390" s="68">
        <f>IF('Calendario I'!$B104="","",'Calendario I'!$B104&amp;" vs "&amp;'Calendario I'!$D104&amp;" "&amp;'Calendario I'!$AC104)</f>
        <v/>
      </c>
      <c r="C390" s="222">
        <f>IF($B390="","",DATE(YEAR('Calendario I'!$F104),MONTH('Calendario I'!$F104),DAY('Calendario I'!$F104)))</f>
        <v/>
      </c>
      <c r="D390" s="223">
        <f>IF($B390="","",TIME(HOUR('Calendario I'!$F104),MINUTE('Calendario I'!$F104),0))</f>
        <v/>
      </c>
      <c r="E390" s="222">
        <f>IF($B390="","",DATE(YEAR('Calendario I'!$F104),MONTH('Calendario I'!$F104),DAY('Calendario I'!$F104)))</f>
        <v/>
      </c>
      <c r="F390" s="223">
        <f>IF($B390="","",TIME(HOUR('Calendario I'!$F104)+2,MINUTE('Calendario I'!$F104),0))</f>
        <v/>
      </c>
      <c r="G390" s="68">
        <f>IF($B390="","",'Calendario I'!$B105)</f>
        <v/>
      </c>
      <c r="H390" s="68">
        <f>IF($B390="","",Campionato!$D$2&amp;" "&amp;Campionato!$D$6)</f>
        <v/>
      </c>
      <c r="I390" s="68" t="inlineStr"/>
    </row>
    <row r="391">
      <c r="A391" s="68">
        <f>IF($B391="","","BEGIN:VEVENT
DTSTAMP:"&amp;TEXT(NOW(),"yyyymmdd")&amp;"T000001Z
UID:evt390@ClaudeCoworkBaskin
DTSTART;TZID=Europe/Rome:"&amp;TEXT($C391,"yyyymmdd")&amp;"T"&amp;TEXT($D391,"hhmmss")&amp;"
DTEND;TZID=Europe/Rome:"&amp;TEXT($E391,"yyyymmdd")&amp;"T"&amp;TEXT($F391,"hhmmss")&amp;"
SUMMARY:"&amp;$B391&amp;"
LOCATION:"&amp;$G391&amp;"
DESCRIPTION:"&amp;$H391&amp;"
END:VEVENT")</f>
        <v/>
      </c>
      <c r="B391" s="68">
        <f>IF('Calendario I'!$B107="","",'Calendario I'!$B107&amp;" vs "&amp;'Calendario I'!$D107&amp;" "&amp;'Calendario I'!$AC107)</f>
        <v/>
      </c>
      <c r="C391" s="222">
        <f>IF($B391="","",DATE(YEAR('Calendario I'!$F107),MONTH('Calendario I'!$F107),DAY('Calendario I'!$F107)))</f>
        <v/>
      </c>
      <c r="D391" s="223">
        <f>IF($B391="","",TIME(HOUR('Calendario I'!$F107),MINUTE('Calendario I'!$F107),0))</f>
        <v/>
      </c>
      <c r="E391" s="222">
        <f>IF($B391="","",DATE(YEAR('Calendario I'!$F107),MONTH('Calendario I'!$F107),DAY('Calendario I'!$F107)))</f>
        <v/>
      </c>
      <c r="F391" s="223">
        <f>IF($B391="","",TIME(HOUR('Calendario I'!$F107)+2,MINUTE('Calendario I'!$F107),0))</f>
        <v/>
      </c>
      <c r="G391" s="68">
        <f>IF($B391="","",'Calendario I'!$B108)</f>
        <v/>
      </c>
      <c r="H391" s="68">
        <f>IF($B391="","",Campionato!$D$2&amp;" "&amp;Campionato!$D$6)</f>
        <v/>
      </c>
      <c r="I391" s="68" t="inlineStr"/>
    </row>
    <row r="392">
      <c r="A392" s="68">
        <f>IF($B392="","","BEGIN:VEVENT
DTSTAMP:"&amp;TEXT(NOW(),"yyyymmdd")&amp;"T000001Z
UID:evt391@ClaudeCoworkBaskin
DTSTART;TZID=Europe/Rome:"&amp;TEXT($C392,"yyyymmdd")&amp;"T"&amp;TEXT($D392,"hhmmss")&amp;"
DTEND;TZID=Europe/Rome:"&amp;TEXT($E392,"yyyymmdd")&amp;"T"&amp;TEXT($F392,"hhmmss")&amp;"
SUMMARY:"&amp;$B392&amp;"
LOCATION:"&amp;$G392&amp;"
DESCRIPTION:"&amp;$H392&amp;"
END:VEVENT")</f>
        <v/>
      </c>
      <c r="B392" s="68">
        <f>IF('Calendario I'!$B112="","",'Calendario I'!$B112&amp;" vs "&amp;'Calendario I'!$D112&amp;" "&amp;'Calendario I'!$AC112)</f>
        <v/>
      </c>
      <c r="C392" s="222">
        <f>IF($B392="","",DATE(YEAR('Calendario I'!$F112),MONTH('Calendario I'!$F112),DAY('Calendario I'!$F112)))</f>
        <v/>
      </c>
      <c r="D392" s="223">
        <f>IF($B392="","",TIME(HOUR('Calendario I'!$F112),MINUTE('Calendario I'!$F112),0))</f>
        <v/>
      </c>
      <c r="E392" s="222">
        <f>IF($B392="","",DATE(YEAR('Calendario I'!$F112),MONTH('Calendario I'!$F112),DAY('Calendario I'!$F112)))</f>
        <v/>
      </c>
      <c r="F392" s="223">
        <f>IF($B392="","",TIME(HOUR('Calendario I'!$F112)+2,MINUTE('Calendario I'!$F112),0))</f>
        <v/>
      </c>
      <c r="G392" s="68">
        <f>IF($B392="","",'Calendario I'!$B113)</f>
        <v/>
      </c>
      <c r="H392" s="68">
        <f>IF($B392="","",Campionato!$D$2&amp;" "&amp;Campionato!$D$6)</f>
        <v/>
      </c>
      <c r="I392" s="68" t="inlineStr"/>
    </row>
    <row r="393">
      <c r="A393" s="68">
        <f>IF($B393="","","BEGIN:VEVENT
DTSTAMP:"&amp;TEXT(NOW(),"yyyymmdd")&amp;"T000001Z
UID:evt392@ClaudeCoworkBaskin
DTSTART;TZID=Europe/Rome:"&amp;TEXT($C393,"yyyymmdd")&amp;"T"&amp;TEXT($D393,"hhmmss")&amp;"
DTEND;TZID=Europe/Rome:"&amp;TEXT($E393,"yyyymmdd")&amp;"T"&amp;TEXT($F393,"hhmmss")&amp;"
SUMMARY:"&amp;$B393&amp;"
LOCATION:"&amp;$G393&amp;"
DESCRIPTION:"&amp;$H393&amp;"
END:VEVENT")</f>
        <v/>
      </c>
      <c r="B393" s="68">
        <f>IF('Calendario I'!$B115="","",'Calendario I'!$B115&amp;" vs "&amp;'Calendario I'!$D115&amp;" "&amp;'Calendario I'!$AC115)</f>
        <v/>
      </c>
      <c r="C393" s="222">
        <f>IF($B393="","",DATE(YEAR('Calendario I'!$F115),MONTH('Calendario I'!$F115),DAY('Calendario I'!$F115)))</f>
        <v/>
      </c>
      <c r="D393" s="223">
        <f>IF($B393="","",TIME(HOUR('Calendario I'!$F115),MINUTE('Calendario I'!$F115),0))</f>
        <v/>
      </c>
      <c r="E393" s="222">
        <f>IF($B393="","",DATE(YEAR('Calendario I'!$F115),MONTH('Calendario I'!$F115),DAY('Calendario I'!$F115)))</f>
        <v/>
      </c>
      <c r="F393" s="223">
        <f>IF($B393="","",TIME(HOUR('Calendario I'!$F115)+2,MINUTE('Calendario I'!$F115),0))</f>
        <v/>
      </c>
      <c r="G393" s="68">
        <f>IF($B393="","",'Calendario I'!$B116)</f>
        <v/>
      </c>
      <c r="H393" s="68">
        <f>IF($B393="","",Campionato!$D$2&amp;" "&amp;Campionato!$D$6)</f>
        <v/>
      </c>
      <c r="I393" s="68" t="inlineStr"/>
    </row>
    <row r="394">
      <c r="A394" s="68">
        <f>IF($B394="","","BEGIN:VEVENT
DTSTAMP:"&amp;TEXT(NOW(),"yyyymmdd")&amp;"T000001Z
UID:evt393@ClaudeCoworkBaskin
DTSTART;TZID=Europe/Rome:"&amp;TEXT($C394,"yyyymmdd")&amp;"T"&amp;TEXT($D394,"hhmmss")&amp;"
DTEND;TZID=Europe/Rome:"&amp;TEXT($E394,"yyyymmdd")&amp;"T"&amp;TEXT($F394,"hhmmss")&amp;"
SUMMARY:"&amp;$B394&amp;"
LOCATION:"&amp;$G394&amp;"
DESCRIPTION:"&amp;$H394&amp;"
END:VEVENT")</f>
        <v/>
      </c>
      <c r="B394" s="68">
        <f>IF('Calendario I'!$B118="","",'Calendario I'!$B118&amp;" vs "&amp;'Calendario I'!$D118&amp;" "&amp;'Calendario I'!$AC118)</f>
        <v/>
      </c>
      <c r="C394" s="222">
        <f>IF($B394="","",DATE(YEAR('Calendario I'!$F118),MONTH('Calendario I'!$F118),DAY('Calendario I'!$F118)))</f>
        <v/>
      </c>
      <c r="D394" s="223">
        <f>IF($B394="","",TIME(HOUR('Calendario I'!$F118),MINUTE('Calendario I'!$F118),0))</f>
        <v/>
      </c>
      <c r="E394" s="222">
        <f>IF($B394="","",DATE(YEAR('Calendario I'!$F118),MONTH('Calendario I'!$F118),DAY('Calendario I'!$F118)))</f>
        <v/>
      </c>
      <c r="F394" s="223">
        <f>IF($B394="","",TIME(HOUR('Calendario I'!$F118)+2,MINUTE('Calendario I'!$F118),0))</f>
        <v/>
      </c>
      <c r="G394" s="68">
        <f>IF($B394="","",'Calendario I'!$B119)</f>
        <v/>
      </c>
      <c r="H394" s="68">
        <f>IF($B394="","",Campionato!$D$2&amp;" "&amp;Campionato!$D$6)</f>
        <v/>
      </c>
      <c r="I394" s="68" t="inlineStr"/>
    </row>
    <row r="395">
      <c r="A395" s="68">
        <f>IF($B395="","","BEGIN:VEVENT
DTSTAMP:"&amp;TEXT(NOW(),"yyyymmdd")&amp;"T000001Z
UID:evt394@ClaudeCoworkBaskin
DTSTART;TZID=Europe/Rome:"&amp;TEXT($C395,"yyyymmdd")&amp;"T"&amp;TEXT($D395,"hhmmss")&amp;"
DTEND;TZID=Europe/Rome:"&amp;TEXT($E395,"yyyymmdd")&amp;"T"&amp;TEXT($F395,"hhmmss")&amp;"
SUMMARY:"&amp;$B395&amp;"
LOCATION:"&amp;$G395&amp;"
DESCRIPTION:"&amp;$H395&amp;"
END:VEVENT")</f>
        <v/>
      </c>
      <c r="B395" s="68">
        <f>IF('Calendario I'!$B121="","",'Calendario I'!$B121&amp;" vs "&amp;'Calendario I'!$D121&amp;" "&amp;'Calendario I'!$AC121)</f>
        <v/>
      </c>
      <c r="C395" s="222">
        <f>IF($B395="","",DATE(YEAR('Calendario I'!$F121),MONTH('Calendario I'!$F121),DAY('Calendario I'!$F121)))</f>
        <v/>
      </c>
      <c r="D395" s="223">
        <f>IF($B395="","",TIME(HOUR('Calendario I'!$F121),MINUTE('Calendario I'!$F121),0))</f>
        <v/>
      </c>
      <c r="E395" s="222">
        <f>IF($B395="","",DATE(YEAR('Calendario I'!$F121),MONTH('Calendario I'!$F121),DAY('Calendario I'!$F121)))</f>
        <v/>
      </c>
      <c r="F395" s="223">
        <f>IF($B395="","",TIME(HOUR('Calendario I'!$F121)+2,MINUTE('Calendario I'!$F121),0))</f>
        <v/>
      </c>
      <c r="G395" s="68">
        <f>IF($B395="","",'Calendario I'!$B122)</f>
        <v/>
      </c>
      <c r="H395" s="68">
        <f>IF($B395="","",Campionato!$D$2&amp;" "&amp;Campionato!$D$6)</f>
        <v/>
      </c>
      <c r="I395" s="68" t="inlineStr"/>
    </row>
    <row r="396">
      <c r="A396" s="68">
        <f>IF($B396="","","BEGIN:VEVENT
DTSTAMP:"&amp;TEXT(NOW(),"yyyymmdd")&amp;"T000001Z
UID:evt395@ClaudeCoworkBaskin
DTSTART;TZID=Europe/Rome:"&amp;TEXT($C396,"yyyymmdd")&amp;"T"&amp;TEXT($D396,"hhmmss")&amp;"
DTEND;TZID=Europe/Rome:"&amp;TEXT($E396,"yyyymmdd")&amp;"T"&amp;TEXT($F396,"hhmmss")&amp;"
SUMMARY:"&amp;$B396&amp;"
LOCATION:"&amp;$G396&amp;"
DESCRIPTION:"&amp;$H396&amp;"
END:VEVENT")</f>
        <v/>
      </c>
      <c r="B396" s="68">
        <f>IF('Calendario I'!$B124="","",'Calendario I'!$B124&amp;" vs "&amp;'Calendario I'!$D124&amp;" "&amp;'Calendario I'!$AC124)</f>
        <v/>
      </c>
      <c r="C396" s="222">
        <f>IF($B396="","",DATE(YEAR('Calendario I'!$F124),MONTH('Calendario I'!$F124),DAY('Calendario I'!$F124)))</f>
        <v/>
      </c>
      <c r="D396" s="223">
        <f>IF($B396="","",TIME(HOUR('Calendario I'!$F124),MINUTE('Calendario I'!$F124),0))</f>
        <v/>
      </c>
      <c r="E396" s="222">
        <f>IF($B396="","",DATE(YEAR('Calendario I'!$F124),MONTH('Calendario I'!$F124),DAY('Calendario I'!$F124)))</f>
        <v/>
      </c>
      <c r="F396" s="223">
        <f>IF($B396="","",TIME(HOUR('Calendario I'!$F124)+2,MINUTE('Calendario I'!$F124),0))</f>
        <v/>
      </c>
      <c r="G396" s="68">
        <f>IF($B396="","",'Calendario I'!$B125)</f>
        <v/>
      </c>
      <c r="H396" s="68">
        <f>IF($B396="","",Campionato!$D$2&amp;" "&amp;Campionato!$D$6)</f>
        <v/>
      </c>
      <c r="I396" s="68" t="inlineStr"/>
    </row>
    <row r="397">
      <c r="A397" s="68">
        <f>IF($B397="","","BEGIN:VEVENT
DTSTAMP:"&amp;TEXT(NOW(),"yyyymmdd")&amp;"T000001Z
UID:evt396@ClaudeCoworkBaskin
DTSTART;TZID=Europe/Rome:"&amp;TEXT($C397,"yyyymmdd")&amp;"T"&amp;TEXT($D397,"hhmmss")&amp;"
DTEND;TZID=Europe/Rome:"&amp;TEXT($E397,"yyyymmdd")&amp;"T"&amp;TEXT($F397,"hhmmss")&amp;"
SUMMARY:"&amp;$B397&amp;"
LOCATION:"&amp;$G397&amp;"
DESCRIPTION:"&amp;$H397&amp;"
END:VEVENT")</f>
        <v/>
      </c>
      <c r="B397" s="68">
        <f>IF('Calendario I'!$B129="","",'Calendario I'!$B129&amp;" vs "&amp;'Calendario I'!$D129&amp;" "&amp;'Calendario I'!$AC129)</f>
        <v/>
      </c>
      <c r="C397" s="222">
        <f>IF($B397="","",DATE(YEAR('Calendario I'!$F129),MONTH('Calendario I'!$F129),DAY('Calendario I'!$F129)))</f>
        <v/>
      </c>
      <c r="D397" s="223">
        <f>IF($B397="","",TIME(HOUR('Calendario I'!$F129),MINUTE('Calendario I'!$F129),0))</f>
        <v/>
      </c>
      <c r="E397" s="222">
        <f>IF($B397="","",DATE(YEAR('Calendario I'!$F129),MONTH('Calendario I'!$F129),DAY('Calendario I'!$F129)))</f>
        <v/>
      </c>
      <c r="F397" s="223">
        <f>IF($B397="","",TIME(HOUR('Calendario I'!$F129)+2,MINUTE('Calendario I'!$F129),0))</f>
        <v/>
      </c>
      <c r="G397" s="68">
        <f>IF($B397="","",'Calendario I'!$B130)</f>
        <v/>
      </c>
      <c r="H397" s="68">
        <f>IF($B397="","",Campionato!$D$2&amp;" "&amp;Campionato!$D$6)</f>
        <v/>
      </c>
      <c r="I397" s="68" t="inlineStr"/>
    </row>
    <row r="398">
      <c r="A398" s="68">
        <f>IF($B398="","","BEGIN:VEVENT
DTSTAMP:"&amp;TEXT(NOW(),"yyyymmdd")&amp;"T000001Z
UID:evt397@ClaudeCoworkBaskin
DTSTART;TZID=Europe/Rome:"&amp;TEXT($C398,"yyyymmdd")&amp;"T"&amp;TEXT($D398,"hhmmss")&amp;"
DTEND;TZID=Europe/Rome:"&amp;TEXT($E398,"yyyymmdd")&amp;"T"&amp;TEXT($F398,"hhmmss")&amp;"
SUMMARY:"&amp;$B398&amp;"
LOCATION:"&amp;$G398&amp;"
DESCRIPTION:"&amp;$H398&amp;"
END:VEVENT")</f>
        <v/>
      </c>
      <c r="B398" s="68">
        <f>IF('Calendario I'!$B132="","",'Calendario I'!$B132&amp;" vs "&amp;'Calendario I'!$D132&amp;" "&amp;'Calendario I'!$AC132)</f>
        <v/>
      </c>
      <c r="C398" s="222">
        <f>IF($B398="","",DATE(YEAR('Calendario I'!$F132),MONTH('Calendario I'!$F132),DAY('Calendario I'!$F132)))</f>
        <v/>
      </c>
      <c r="D398" s="223">
        <f>IF($B398="","",TIME(HOUR('Calendario I'!$F132),MINUTE('Calendario I'!$F132),0))</f>
        <v/>
      </c>
      <c r="E398" s="222">
        <f>IF($B398="","",DATE(YEAR('Calendario I'!$F132),MONTH('Calendario I'!$F132),DAY('Calendario I'!$F132)))</f>
        <v/>
      </c>
      <c r="F398" s="223">
        <f>IF($B398="","",TIME(HOUR('Calendario I'!$F132)+2,MINUTE('Calendario I'!$F132),0))</f>
        <v/>
      </c>
      <c r="G398" s="68">
        <f>IF($B398="","",'Calendario I'!$B133)</f>
        <v/>
      </c>
      <c r="H398" s="68">
        <f>IF($B398="","",Campionato!$D$2&amp;" "&amp;Campionato!$D$6)</f>
        <v/>
      </c>
      <c r="I398" s="68" t="inlineStr"/>
    </row>
    <row r="399">
      <c r="A399" s="68">
        <f>IF($B399="","","BEGIN:VEVENT
DTSTAMP:"&amp;TEXT(NOW(),"yyyymmdd")&amp;"T000001Z
UID:evt398@ClaudeCoworkBaskin
DTSTART;TZID=Europe/Rome:"&amp;TEXT($C399,"yyyymmdd")&amp;"T"&amp;TEXT($D399,"hhmmss")&amp;"
DTEND;TZID=Europe/Rome:"&amp;TEXT($E399,"yyyymmdd")&amp;"T"&amp;TEXT($F399,"hhmmss")&amp;"
SUMMARY:"&amp;$B399&amp;"
LOCATION:"&amp;$G399&amp;"
DESCRIPTION:"&amp;$H399&amp;"
END:VEVENT")</f>
        <v/>
      </c>
      <c r="B399" s="68">
        <f>IF('Calendario I'!$B135="","",'Calendario I'!$B135&amp;" vs "&amp;'Calendario I'!$D135&amp;" "&amp;'Calendario I'!$AC135)</f>
        <v/>
      </c>
      <c r="C399" s="222">
        <f>IF($B399="","",DATE(YEAR('Calendario I'!$F135),MONTH('Calendario I'!$F135),DAY('Calendario I'!$F135)))</f>
        <v/>
      </c>
      <c r="D399" s="223">
        <f>IF($B399="","",TIME(HOUR('Calendario I'!$F135),MINUTE('Calendario I'!$F135),0))</f>
        <v/>
      </c>
      <c r="E399" s="222">
        <f>IF($B399="","",DATE(YEAR('Calendario I'!$F135),MONTH('Calendario I'!$F135),DAY('Calendario I'!$F135)))</f>
        <v/>
      </c>
      <c r="F399" s="223">
        <f>IF($B399="","",TIME(HOUR('Calendario I'!$F135)+2,MINUTE('Calendario I'!$F135),0))</f>
        <v/>
      </c>
      <c r="G399" s="68">
        <f>IF($B399="","",'Calendario I'!$B136)</f>
        <v/>
      </c>
      <c r="H399" s="68">
        <f>IF($B399="","",Campionato!$D$2&amp;" "&amp;Campionato!$D$6)</f>
        <v/>
      </c>
      <c r="I399" s="68" t="inlineStr"/>
    </row>
    <row r="400">
      <c r="A400" s="68">
        <f>IF($B400="","","BEGIN:VEVENT
DTSTAMP:"&amp;TEXT(NOW(),"yyyymmdd")&amp;"T000001Z
UID:evt399@ClaudeCoworkBaskin
DTSTART;TZID=Europe/Rome:"&amp;TEXT($C400,"yyyymmdd")&amp;"T"&amp;TEXT($D400,"hhmmss")&amp;"
DTEND;TZID=Europe/Rome:"&amp;TEXT($E400,"yyyymmdd")&amp;"T"&amp;TEXT($F400,"hhmmss")&amp;"
SUMMARY:"&amp;$B400&amp;"
LOCATION:"&amp;$G400&amp;"
DESCRIPTION:"&amp;$H400&amp;"
END:VEVENT")</f>
        <v/>
      </c>
      <c r="B400" s="68">
        <f>IF('Calendario I'!$B138="","",'Calendario I'!$B138&amp;" vs "&amp;'Calendario I'!$D138&amp;" "&amp;'Calendario I'!$AC138)</f>
        <v/>
      </c>
      <c r="C400" s="222">
        <f>IF($B400="","",DATE(YEAR('Calendario I'!$F138),MONTH('Calendario I'!$F138),DAY('Calendario I'!$F138)))</f>
        <v/>
      </c>
      <c r="D400" s="223">
        <f>IF($B400="","",TIME(HOUR('Calendario I'!$F138),MINUTE('Calendario I'!$F138),0))</f>
        <v/>
      </c>
      <c r="E400" s="222">
        <f>IF($B400="","",DATE(YEAR('Calendario I'!$F138),MONTH('Calendario I'!$F138),DAY('Calendario I'!$F138)))</f>
        <v/>
      </c>
      <c r="F400" s="223">
        <f>IF($B400="","",TIME(HOUR('Calendario I'!$F138)+2,MINUTE('Calendario I'!$F138),0))</f>
        <v/>
      </c>
      <c r="G400" s="68">
        <f>IF($B400="","",'Calendario I'!$B139)</f>
        <v/>
      </c>
      <c r="H400" s="68">
        <f>IF($B400="","",Campionato!$D$2&amp;" "&amp;Campionato!$D$6)</f>
        <v/>
      </c>
      <c r="I400" s="68" t="inlineStr"/>
    </row>
    <row r="401">
      <c r="A401" s="68">
        <f>IF($B401="","","BEGIN:VEVENT
DTSTAMP:"&amp;TEXT(NOW(),"yyyymmdd")&amp;"T000001Z
UID:evt400@ClaudeCoworkBaskin
DTSTART;TZID=Europe/Rome:"&amp;TEXT($C401,"yyyymmdd")&amp;"T"&amp;TEXT($D401,"hhmmss")&amp;"
DTEND;TZID=Europe/Rome:"&amp;TEXT($E401,"yyyymmdd")&amp;"T"&amp;TEXT($F401,"hhmmss")&amp;"
SUMMARY:"&amp;$B401&amp;"
LOCATION:"&amp;$G401&amp;"
DESCRIPTION:"&amp;$H401&amp;"
END:VEVENT")</f>
        <v/>
      </c>
      <c r="B401" s="68">
        <f>IF('Calendario I'!$B141="","",'Calendario I'!$B141&amp;" vs "&amp;'Calendario I'!$D141&amp;" "&amp;'Calendario I'!$AC141)</f>
        <v/>
      </c>
      <c r="C401" s="222">
        <f>IF($B401="","",DATE(YEAR('Calendario I'!$F141),MONTH('Calendario I'!$F141),DAY('Calendario I'!$F141)))</f>
        <v/>
      </c>
      <c r="D401" s="223">
        <f>IF($B401="","",TIME(HOUR('Calendario I'!$F141),MINUTE('Calendario I'!$F141),0))</f>
        <v/>
      </c>
      <c r="E401" s="222">
        <f>IF($B401="","",DATE(YEAR('Calendario I'!$F141),MONTH('Calendario I'!$F141),DAY('Calendario I'!$F141)))</f>
        <v/>
      </c>
      <c r="F401" s="223">
        <f>IF($B401="","",TIME(HOUR('Calendario I'!$F141)+2,MINUTE('Calendario I'!$F141),0))</f>
        <v/>
      </c>
      <c r="G401" s="68">
        <f>IF($B401="","",'Calendario I'!$B142)</f>
        <v/>
      </c>
      <c r="H401" s="68">
        <f>IF($B401="","",Campionato!$D$2&amp;" "&amp;Campionato!$D$6)</f>
        <v/>
      </c>
      <c r="I401" s="68" t="inlineStr"/>
    </row>
    <row r="402">
      <c r="A402" s="68">
        <f>IF($B402="","","BEGIN:VEVENT
DTSTAMP:"&amp;TEXT(NOW(),"yyyymmdd")&amp;"T000001Z
UID:evt401@ClaudeCoworkBaskin
DTSTART;TZID=Europe/Rome:"&amp;TEXT($C402,"yyyymmdd")&amp;"T"&amp;TEXT($D402,"hhmmss")&amp;"
DTEND;TZID=Europe/Rome:"&amp;TEXT($E402,"yyyymmdd")&amp;"T"&amp;TEXT($F402,"hhmmss")&amp;"
SUMMARY:"&amp;$B402&amp;"
LOCATION:"&amp;$G402&amp;"
DESCRIPTION:"&amp;$H402&amp;"
END:VEVENT")</f>
        <v/>
      </c>
      <c r="B402" s="68">
        <f>IF('Calendario I'!$B146="","",'Calendario I'!$B146&amp;" vs "&amp;'Calendario I'!$D146&amp;" "&amp;'Calendario I'!$AC146)</f>
        <v/>
      </c>
      <c r="C402" s="222">
        <f>IF($B402="","",DATE(YEAR('Calendario I'!$F146),MONTH('Calendario I'!$F146),DAY('Calendario I'!$F146)))</f>
        <v/>
      </c>
      <c r="D402" s="223">
        <f>IF($B402="","",TIME(HOUR('Calendario I'!$F146),MINUTE('Calendario I'!$F146),0))</f>
        <v/>
      </c>
      <c r="E402" s="222">
        <f>IF($B402="","",DATE(YEAR('Calendario I'!$F146),MONTH('Calendario I'!$F146),DAY('Calendario I'!$F146)))</f>
        <v/>
      </c>
      <c r="F402" s="223">
        <f>IF($B402="","",TIME(HOUR('Calendario I'!$F146)+2,MINUTE('Calendario I'!$F146),0))</f>
        <v/>
      </c>
      <c r="G402" s="68">
        <f>IF($B402="","",'Calendario I'!$B147)</f>
        <v/>
      </c>
      <c r="H402" s="68">
        <f>IF($B402="","",Campionato!$D$2&amp;" "&amp;Campionato!$D$6)</f>
        <v/>
      </c>
      <c r="I402" s="68" t="inlineStr"/>
    </row>
    <row r="403">
      <c r="A403" s="68">
        <f>IF($B403="","","BEGIN:VEVENT
DTSTAMP:"&amp;TEXT(NOW(),"yyyymmdd")&amp;"T000001Z
UID:evt402@ClaudeCoworkBaskin
DTSTART;TZID=Europe/Rome:"&amp;TEXT($C403,"yyyymmdd")&amp;"T"&amp;TEXT($D403,"hhmmss")&amp;"
DTEND;TZID=Europe/Rome:"&amp;TEXT($E403,"yyyymmdd")&amp;"T"&amp;TEXT($F403,"hhmmss")&amp;"
SUMMARY:"&amp;$B403&amp;"
LOCATION:"&amp;$G403&amp;"
DESCRIPTION:"&amp;$H403&amp;"
END:VEVENT")</f>
        <v/>
      </c>
      <c r="B403" s="68">
        <f>IF('Calendario I'!$B149="","",'Calendario I'!$B149&amp;" vs "&amp;'Calendario I'!$D149&amp;" "&amp;'Calendario I'!$AC149)</f>
        <v/>
      </c>
      <c r="C403" s="222">
        <f>IF($B403="","",DATE(YEAR('Calendario I'!$F149),MONTH('Calendario I'!$F149),DAY('Calendario I'!$F149)))</f>
        <v/>
      </c>
      <c r="D403" s="223">
        <f>IF($B403="","",TIME(HOUR('Calendario I'!$F149),MINUTE('Calendario I'!$F149),0))</f>
        <v/>
      </c>
      <c r="E403" s="222">
        <f>IF($B403="","",DATE(YEAR('Calendario I'!$F149),MONTH('Calendario I'!$F149),DAY('Calendario I'!$F149)))</f>
        <v/>
      </c>
      <c r="F403" s="223">
        <f>IF($B403="","",TIME(HOUR('Calendario I'!$F149)+2,MINUTE('Calendario I'!$F149),0))</f>
        <v/>
      </c>
      <c r="G403" s="68">
        <f>IF($B403="","",'Calendario I'!$B150)</f>
        <v/>
      </c>
      <c r="H403" s="68">
        <f>IF($B403="","",Campionato!$D$2&amp;" "&amp;Campionato!$D$6)</f>
        <v/>
      </c>
      <c r="I403" s="68" t="inlineStr"/>
    </row>
    <row r="404">
      <c r="A404" s="68">
        <f>IF($B404="","","BEGIN:VEVENT
DTSTAMP:"&amp;TEXT(NOW(),"yyyymmdd")&amp;"T000001Z
UID:evt403@ClaudeCoworkBaskin
DTSTART;TZID=Europe/Rome:"&amp;TEXT($C404,"yyyymmdd")&amp;"T"&amp;TEXT($D404,"hhmmss")&amp;"
DTEND;TZID=Europe/Rome:"&amp;TEXT($E404,"yyyymmdd")&amp;"T"&amp;TEXT($F404,"hhmmss")&amp;"
SUMMARY:"&amp;$B404&amp;"
LOCATION:"&amp;$G404&amp;"
DESCRIPTION:"&amp;$H404&amp;"
END:VEVENT")</f>
        <v/>
      </c>
      <c r="B404" s="68">
        <f>IF('Calendario I'!$B152="","",'Calendario I'!$B152&amp;" vs "&amp;'Calendario I'!$D152&amp;" "&amp;'Calendario I'!$AC152)</f>
        <v/>
      </c>
      <c r="C404" s="222">
        <f>IF($B404="","",DATE(YEAR('Calendario I'!$F152),MONTH('Calendario I'!$F152),DAY('Calendario I'!$F152)))</f>
        <v/>
      </c>
      <c r="D404" s="223">
        <f>IF($B404="","",TIME(HOUR('Calendario I'!$F152),MINUTE('Calendario I'!$F152),0))</f>
        <v/>
      </c>
      <c r="E404" s="222">
        <f>IF($B404="","",DATE(YEAR('Calendario I'!$F152),MONTH('Calendario I'!$F152),DAY('Calendario I'!$F152)))</f>
        <v/>
      </c>
      <c r="F404" s="223">
        <f>IF($B404="","",TIME(HOUR('Calendario I'!$F152)+2,MINUTE('Calendario I'!$F152),0))</f>
        <v/>
      </c>
      <c r="G404" s="68">
        <f>IF($B404="","",'Calendario I'!$B153)</f>
        <v/>
      </c>
      <c r="H404" s="68">
        <f>IF($B404="","",Campionato!$D$2&amp;" "&amp;Campionato!$D$6)</f>
        <v/>
      </c>
      <c r="I404" s="68" t="inlineStr"/>
    </row>
    <row r="405">
      <c r="A405" s="68">
        <f>IF($B405="","","BEGIN:VEVENT
DTSTAMP:"&amp;TEXT(NOW(),"yyyymmdd")&amp;"T000001Z
UID:evt404@ClaudeCoworkBaskin
DTSTART;TZID=Europe/Rome:"&amp;TEXT($C405,"yyyymmdd")&amp;"T"&amp;TEXT($D405,"hhmmss")&amp;"
DTEND;TZID=Europe/Rome:"&amp;TEXT($E405,"yyyymmdd")&amp;"T"&amp;TEXT($F405,"hhmmss")&amp;"
SUMMARY:"&amp;$B405&amp;"
LOCATION:"&amp;$G405&amp;"
DESCRIPTION:"&amp;$H405&amp;"
END:VEVENT")</f>
        <v/>
      </c>
      <c r="B405" s="68">
        <f>IF('Calendario I'!$B155="","",'Calendario I'!$B155&amp;" vs "&amp;'Calendario I'!$D155&amp;" "&amp;'Calendario I'!$AC155)</f>
        <v/>
      </c>
      <c r="C405" s="222">
        <f>IF($B405="","",DATE(YEAR('Calendario I'!$F155),MONTH('Calendario I'!$F155),DAY('Calendario I'!$F155)))</f>
        <v/>
      </c>
      <c r="D405" s="223">
        <f>IF($B405="","",TIME(HOUR('Calendario I'!$F155),MINUTE('Calendario I'!$F155),0))</f>
        <v/>
      </c>
      <c r="E405" s="222">
        <f>IF($B405="","",DATE(YEAR('Calendario I'!$F155),MONTH('Calendario I'!$F155),DAY('Calendario I'!$F155)))</f>
        <v/>
      </c>
      <c r="F405" s="223">
        <f>IF($B405="","",TIME(HOUR('Calendario I'!$F155)+2,MINUTE('Calendario I'!$F155),0))</f>
        <v/>
      </c>
      <c r="G405" s="68">
        <f>IF($B405="","",'Calendario I'!$B156)</f>
        <v/>
      </c>
      <c r="H405" s="68">
        <f>IF($B405="","",Campionato!$D$2&amp;" "&amp;Campionato!$D$6)</f>
        <v/>
      </c>
      <c r="I405" s="68" t="inlineStr"/>
    </row>
    <row r="406">
      <c r="A406" s="68">
        <f>IF($B406="","","BEGIN:VEVENT
DTSTAMP:"&amp;TEXT(NOW(),"yyyymmdd")&amp;"T000001Z
UID:evt405@ClaudeCoworkBaskin
DTSTART;TZID=Europe/Rome:"&amp;TEXT($C406,"yyyymmdd")&amp;"T"&amp;TEXT($D406,"hhmmss")&amp;"
DTEND;TZID=Europe/Rome:"&amp;TEXT($E406,"yyyymmdd")&amp;"T"&amp;TEXT($F406,"hhmmss")&amp;"
SUMMARY:"&amp;$B406&amp;"
LOCATION:"&amp;$G406&amp;"
DESCRIPTION:"&amp;$H406&amp;"
END:VEVENT")</f>
        <v/>
      </c>
      <c r="B406" s="68">
        <f>IF('Calendario I'!$B158="","",'Calendario I'!$B158&amp;" vs "&amp;'Calendario I'!$D158&amp;" "&amp;'Calendario I'!$AC158)</f>
        <v/>
      </c>
      <c r="C406" s="222">
        <f>IF($B406="","",DATE(YEAR('Calendario I'!$F158),MONTH('Calendario I'!$F158),DAY('Calendario I'!$F158)))</f>
        <v/>
      </c>
      <c r="D406" s="223">
        <f>IF($B406="","",TIME(HOUR('Calendario I'!$F158),MINUTE('Calendario I'!$F158),0))</f>
        <v/>
      </c>
      <c r="E406" s="222">
        <f>IF($B406="","",DATE(YEAR('Calendario I'!$F158),MONTH('Calendario I'!$F158),DAY('Calendario I'!$F158)))</f>
        <v/>
      </c>
      <c r="F406" s="223">
        <f>IF($B406="","",TIME(HOUR('Calendario I'!$F158)+2,MINUTE('Calendario I'!$F158),0))</f>
        <v/>
      </c>
      <c r="G406" s="68">
        <f>IF($B406="","",'Calendario I'!$B159)</f>
        <v/>
      </c>
      <c r="H406" s="68">
        <f>IF($B406="","",Campionato!$D$2&amp;" "&amp;Campionato!$D$6)</f>
        <v/>
      </c>
      <c r="I406" s="68" t="inlineStr"/>
    </row>
    <row r="407">
      <c r="A407" s="68">
        <f>IF($B407="","","BEGIN:VEVENT
DTSTAMP:"&amp;TEXT(NOW(),"yyyymmdd")&amp;"T000001Z
UID:evt406@ClaudeCoworkBaskin
DTSTART;TZID=Europe/Rome:"&amp;TEXT($C407,"yyyymmdd")&amp;"T"&amp;TEXT($D407,"hhmmss")&amp;"
DTEND;TZID=Europe/Rome:"&amp;TEXT($E407,"yyyymmdd")&amp;"T"&amp;TEXT($F407,"hhmmss")&amp;"
SUMMARY:"&amp;$B407&amp;"
LOCATION:"&amp;$G407&amp;"
DESCRIPTION:"&amp;$H407&amp;"
END:VEVENT")</f>
        <v/>
      </c>
      <c r="B407" s="68">
        <f>IF('Calendario J'!$B10="","",'Calendario J'!$B10&amp;" vs "&amp;'Calendario J'!$D10&amp;" "&amp;'Calendario J'!$AC10)</f>
        <v/>
      </c>
      <c r="C407" s="222">
        <f>IF($B407="","",DATE(YEAR('Calendario J'!$F10),MONTH('Calendario J'!$F10),DAY('Calendario J'!$F10)))</f>
        <v/>
      </c>
      <c r="D407" s="223">
        <f>IF($B407="","",TIME(HOUR('Calendario J'!$F10),MINUTE('Calendario J'!$F10),0))</f>
        <v/>
      </c>
      <c r="E407" s="222">
        <f>IF($B407="","",DATE(YEAR('Calendario J'!$F10),MONTH('Calendario J'!$F10),DAY('Calendario J'!$F10)))</f>
        <v/>
      </c>
      <c r="F407" s="223">
        <f>IF($B407="","",TIME(HOUR('Calendario J'!$F10)+2,MINUTE('Calendario J'!$F10),0))</f>
        <v/>
      </c>
      <c r="G407" s="68">
        <f>IF($B407="","",'Calendario J'!$B11)</f>
        <v/>
      </c>
      <c r="H407" s="68">
        <f>IF($B407="","",Campionato!$D$2&amp;" "&amp;Campionato!$D$6)</f>
        <v/>
      </c>
      <c r="I407" s="68" t="inlineStr"/>
    </row>
    <row r="408">
      <c r="A408" s="68">
        <f>IF($B408="","","BEGIN:VEVENT
DTSTAMP:"&amp;TEXT(NOW(),"yyyymmdd")&amp;"T000001Z
UID:evt407@ClaudeCoworkBaskin
DTSTART;TZID=Europe/Rome:"&amp;TEXT($C408,"yyyymmdd")&amp;"T"&amp;TEXT($D408,"hhmmss")&amp;"
DTEND;TZID=Europe/Rome:"&amp;TEXT($E408,"yyyymmdd")&amp;"T"&amp;TEXT($F408,"hhmmss")&amp;"
SUMMARY:"&amp;$B408&amp;"
LOCATION:"&amp;$G408&amp;"
DESCRIPTION:"&amp;$H408&amp;"
END:VEVENT")</f>
        <v/>
      </c>
      <c r="B408" s="68">
        <f>IF('Calendario J'!$B13="","",'Calendario J'!$B13&amp;" vs "&amp;'Calendario J'!$D13&amp;" "&amp;'Calendario J'!$AC13)</f>
        <v/>
      </c>
      <c r="C408" s="222">
        <f>IF($B408="","",DATE(YEAR('Calendario J'!$F13),MONTH('Calendario J'!$F13),DAY('Calendario J'!$F13)))</f>
        <v/>
      </c>
      <c r="D408" s="223">
        <f>IF($B408="","",TIME(HOUR('Calendario J'!$F13),MINUTE('Calendario J'!$F13),0))</f>
        <v/>
      </c>
      <c r="E408" s="222">
        <f>IF($B408="","",DATE(YEAR('Calendario J'!$F13),MONTH('Calendario J'!$F13),DAY('Calendario J'!$F13)))</f>
        <v/>
      </c>
      <c r="F408" s="223">
        <f>IF($B408="","",TIME(HOUR('Calendario J'!$F13)+2,MINUTE('Calendario J'!$F13),0))</f>
        <v/>
      </c>
      <c r="G408" s="68">
        <f>IF($B408="","",'Calendario J'!$B14)</f>
        <v/>
      </c>
      <c r="H408" s="68">
        <f>IF($B408="","",Campionato!$D$2&amp;" "&amp;Campionato!$D$6)</f>
        <v/>
      </c>
      <c r="I408" s="68" t="inlineStr"/>
    </row>
    <row r="409">
      <c r="A409" s="68">
        <f>IF($B409="","","BEGIN:VEVENT
DTSTAMP:"&amp;TEXT(NOW(),"yyyymmdd")&amp;"T000001Z
UID:evt408@ClaudeCoworkBaskin
DTSTART;TZID=Europe/Rome:"&amp;TEXT($C409,"yyyymmdd")&amp;"T"&amp;TEXT($D409,"hhmmss")&amp;"
DTEND;TZID=Europe/Rome:"&amp;TEXT($E409,"yyyymmdd")&amp;"T"&amp;TEXT($F409,"hhmmss")&amp;"
SUMMARY:"&amp;$B409&amp;"
LOCATION:"&amp;$G409&amp;"
DESCRIPTION:"&amp;$H409&amp;"
END:VEVENT")</f>
        <v/>
      </c>
      <c r="B409" s="68">
        <f>IF('Calendario J'!$B16="","",'Calendario J'!$B16&amp;" vs "&amp;'Calendario J'!$D16&amp;" "&amp;'Calendario J'!$AC16)</f>
        <v/>
      </c>
      <c r="C409" s="222">
        <f>IF($B409="","",DATE(YEAR('Calendario J'!$F16),MONTH('Calendario J'!$F16),DAY('Calendario J'!$F16)))</f>
        <v/>
      </c>
      <c r="D409" s="223">
        <f>IF($B409="","",TIME(HOUR('Calendario J'!$F16),MINUTE('Calendario J'!$F16),0))</f>
        <v/>
      </c>
      <c r="E409" s="222">
        <f>IF($B409="","",DATE(YEAR('Calendario J'!$F16),MONTH('Calendario J'!$F16),DAY('Calendario J'!$F16)))</f>
        <v/>
      </c>
      <c r="F409" s="223">
        <f>IF($B409="","",TIME(HOUR('Calendario J'!$F16)+2,MINUTE('Calendario J'!$F16),0))</f>
        <v/>
      </c>
      <c r="G409" s="68">
        <f>IF($B409="","",'Calendario J'!$B17)</f>
        <v/>
      </c>
      <c r="H409" s="68">
        <f>IF($B409="","",Campionato!$D$2&amp;" "&amp;Campionato!$D$6)</f>
        <v/>
      </c>
      <c r="I409" s="68" t="inlineStr"/>
    </row>
    <row r="410">
      <c r="A410" s="68">
        <f>IF($B410="","","BEGIN:VEVENT
DTSTAMP:"&amp;TEXT(NOW(),"yyyymmdd")&amp;"T000001Z
UID:evt409@ClaudeCoworkBaskin
DTSTART;TZID=Europe/Rome:"&amp;TEXT($C410,"yyyymmdd")&amp;"T"&amp;TEXT($D410,"hhmmss")&amp;"
DTEND;TZID=Europe/Rome:"&amp;TEXT($E410,"yyyymmdd")&amp;"T"&amp;TEXT($F410,"hhmmss")&amp;"
SUMMARY:"&amp;$B410&amp;"
LOCATION:"&amp;$G410&amp;"
DESCRIPTION:"&amp;$H410&amp;"
END:VEVENT")</f>
        <v/>
      </c>
      <c r="B410" s="68">
        <f>IF('Calendario J'!$B19="","",'Calendario J'!$B19&amp;" vs "&amp;'Calendario J'!$D19&amp;" "&amp;'Calendario J'!$AC19)</f>
        <v/>
      </c>
      <c r="C410" s="222">
        <f>IF($B410="","",DATE(YEAR('Calendario J'!$F19),MONTH('Calendario J'!$F19),DAY('Calendario J'!$F19)))</f>
        <v/>
      </c>
      <c r="D410" s="223">
        <f>IF($B410="","",TIME(HOUR('Calendario J'!$F19),MINUTE('Calendario J'!$F19),0))</f>
        <v/>
      </c>
      <c r="E410" s="222">
        <f>IF($B410="","",DATE(YEAR('Calendario J'!$F19),MONTH('Calendario J'!$F19),DAY('Calendario J'!$F19)))</f>
        <v/>
      </c>
      <c r="F410" s="223">
        <f>IF($B410="","",TIME(HOUR('Calendario J'!$F19)+2,MINUTE('Calendario J'!$F19),0))</f>
        <v/>
      </c>
      <c r="G410" s="68">
        <f>IF($B410="","",'Calendario J'!$B20)</f>
        <v/>
      </c>
      <c r="H410" s="68">
        <f>IF($B410="","",Campionato!$D$2&amp;" "&amp;Campionato!$D$6)</f>
        <v/>
      </c>
      <c r="I410" s="68" t="inlineStr"/>
    </row>
    <row r="411">
      <c r="A411" s="68">
        <f>IF($B411="","","BEGIN:VEVENT
DTSTAMP:"&amp;TEXT(NOW(),"yyyymmdd")&amp;"T000001Z
UID:evt410@ClaudeCoworkBaskin
DTSTART;TZID=Europe/Rome:"&amp;TEXT($C411,"yyyymmdd")&amp;"T"&amp;TEXT($D411,"hhmmss")&amp;"
DTEND;TZID=Europe/Rome:"&amp;TEXT($E411,"yyyymmdd")&amp;"T"&amp;TEXT($F411,"hhmmss")&amp;"
SUMMARY:"&amp;$B411&amp;"
LOCATION:"&amp;$G411&amp;"
DESCRIPTION:"&amp;$H411&amp;"
END:VEVENT")</f>
        <v/>
      </c>
      <c r="B411" s="68">
        <f>IF('Calendario J'!$B22="","",'Calendario J'!$B22&amp;" vs "&amp;'Calendario J'!$D22&amp;" "&amp;'Calendario J'!$AC22)</f>
        <v/>
      </c>
      <c r="C411" s="222">
        <f>IF($B411="","",DATE(YEAR('Calendario J'!$F22),MONTH('Calendario J'!$F22),DAY('Calendario J'!$F22)))</f>
        <v/>
      </c>
      <c r="D411" s="223">
        <f>IF($B411="","",TIME(HOUR('Calendario J'!$F22),MINUTE('Calendario J'!$F22),0))</f>
        <v/>
      </c>
      <c r="E411" s="222">
        <f>IF($B411="","",DATE(YEAR('Calendario J'!$F22),MONTH('Calendario J'!$F22),DAY('Calendario J'!$F22)))</f>
        <v/>
      </c>
      <c r="F411" s="223">
        <f>IF($B411="","",TIME(HOUR('Calendario J'!$F22)+2,MINUTE('Calendario J'!$F22),0))</f>
        <v/>
      </c>
      <c r="G411" s="68">
        <f>IF($B411="","",'Calendario J'!$B23)</f>
        <v/>
      </c>
      <c r="H411" s="68">
        <f>IF($B411="","",Campionato!$D$2&amp;" "&amp;Campionato!$D$6)</f>
        <v/>
      </c>
      <c r="I411" s="68" t="inlineStr"/>
    </row>
    <row r="412">
      <c r="A412" s="68">
        <f>IF($B412="","","BEGIN:VEVENT
DTSTAMP:"&amp;TEXT(NOW(),"yyyymmdd")&amp;"T000001Z
UID:evt411@ClaudeCoworkBaskin
DTSTART;TZID=Europe/Rome:"&amp;TEXT($C412,"yyyymmdd")&amp;"T"&amp;TEXT($D412,"hhmmss")&amp;"
DTEND;TZID=Europe/Rome:"&amp;TEXT($E412,"yyyymmdd")&amp;"T"&amp;TEXT($F412,"hhmmss")&amp;"
SUMMARY:"&amp;$B412&amp;"
LOCATION:"&amp;$G412&amp;"
DESCRIPTION:"&amp;$H412&amp;"
END:VEVENT")</f>
        <v/>
      </c>
      <c r="B412" s="68">
        <f>IF('Calendario J'!$B27="","",'Calendario J'!$B27&amp;" vs "&amp;'Calendario J'!$D27&amp;" "&amp;'Calendario J'!$AC27)</f>
        <v/>
      </c>
      <c r="C412" s="222">
        <f>IF($B412="","",DATE(YEAR('Calendario J'!$F27),MONTH('Calendario J'!$F27),DAY('Calendario J'!$F27)))</f>
        <v/>
      </c>
      <c r="D412" s="223">
        <f>IF($B412="","",TIME(HOUR('Calendario J'!$F27),MINUTE('Calendario J'!$F27),0))</f>
        <v/>
      </c>
      <c r="E412" s="222">
        <f>IF($B412="","",DATE(YEAR('Calendario J'!$F27),MONTH('Calendario J'!$F27),DAY('Calendario J'!$F27)))</f>
        <v/>
      </c>
      <c r="F412" s="223">
        <f>IF($B412="","",TIME(HOUR('Calendario J'!$F27)+2,MINUTE('Calendario J'!$F27),0))</f>
        <v/>
      </c>
      <c r="G412" s="68">
        <f>IF($B412="","",'Calendario J'!$B28)</f>
        <v/>
      </c>
      <c r="H412" s="68">
        <f>IF($B412="","",Campionato!$D$2&amp;" "&amp;Campionato!$D$6)</f>
        <v/>
      </c>
      <c r="I412" s="68" t="inlineStr"/>
    </row>
    <row r="413">
      <c r="A413" s="68">
        <f>IF($B413="","","BEGIN:VEVENT
DTSTAMP:"&amp;TEXT(NOW(),"yyyymmdd")&amp;"T000001Z
UID:evt412@ClaudeCoworkBaskin
DTSTART;TZID=Europe/Rome:"&amp;TEXT($C413,"yyyymmdd")&amp;"T"&amp;TEXT($D413,"hhmmss")&amp;"
DTEND;TZID=Europe/Rome:"&amp;TEXT($E413,"yyyymmdd")&amp;"T"&amp;TEXT($F413,"hhmmss")&amp;"
SUMMARY:"&amp;$B413&amp;"
LOCATION:"&amp;$G413&amp;"
DESCRIPTION:"&amp;$H413&amp;"
END:VEVENT")</f>
        <v/>
      </c>
      <c r="B413" s="68">
        <f>IF('Calendario J'!$B30="","",'Calendario J'!$B30&amp;" vs "&amp;'Calendario J'!$D30&amp;" "&amp;'Calendario J'!$AC30)</f>
        <v/>
      </c>
      <c r="C413" s="222">
        <f>IF($B413="","",DATE(YEAR('Calendario J'!$F30),MONTH('Calendario J'!$F30),DAY('Calendario J'!$F30)))</f>
        <v/>
      </c>
      <c r="D413" s="223">
        <f>IF($B413="","",TIME(HOUR('Calendario J'!$F30),MINUTE('Calendario J'!$F30),0))</f>
        <v/>
      </c>
      <c r="E413" s="222">
        <f>IF($B413="","",DATE(YEAR('Calendario J'!$F30),MONTH('Calendario J'!$F30),DAY('Calendario J'!$F30)))</f>
        <v/>
      </c>
      <c r="F413" s="223">
        <f>IF($B413="","",TIME(HOUR('Calendario J'!$F30)+2,MINUTE('Calendario J'!$F30),0))</f>
        <v/>
      </c>
      <c r="G413" s="68">
        <f>IF($B413="","",'Calendario J'!$B31)</f>
        <v/>
      </c>
      <c r="H413" s="68">
        <f>IF($B413="","",Campionato!$D$2&amp;" "&amp;Campionato!$D$6)</f>
        <v/>
      </c>
      <c r="I413" s="68" t="inlineStr"/>
    </row>
    <row r="414">
      <c r="A414" s="68">
        <f>IF($B414="","","BEGIN:VEVENT
DTSTAMP:"&amp;TEXT(NOW(),"yyyymmdd")&amp;"T000001Z
UID:evt413@ClaudeCoworkBaskin
DTSTART;TZID=Europe/Rome:"&amp;TEXT($C414,"yyyymmdd")&amp;"T"&amp;TEXT($D414,"hhmmss")&amp;"
DTEND;TZID=Europe/Rome:"&amp;TEXT($E414,"yyyymmdd")&amp;"T"&amp;TEXT($F414,"hhmmss")&amp;"
SUMMARY:"&amp;$B414&amp;"
LOCATION:"&amp;$G414&amp;"
DESCRIPTION:"&amp;$H414&amp;"
END:VEVENT")</f>
        <v/>
      </c>
      <c r="B414" s="68">
        <f>IF('Calendario J'!$B33="","",'Calendario J'!$B33&amp;" vs "&amp;'Calendario J'!$D33&amp;" "&amp;'Calendario J'!$AC33)</f>
        <v/>
      </c>
      <c r="C414" s="222">
        <f>IF($B414="","",DATE(YEAR('Calendario J'!$F33),MONTH('Calendario J'!$F33),DAY('Calendario J'!$F33)))</f>
        <v/>
      </c>
      <c r="D414" s="223">
        <f>IF($B414="","",TIME(HOUR('Calendario J'!$F33),MINUTE('Calendario J'!$F33),0))</f>
        <v/>
      </c>
      <c r="E414" s="222">
        <f>IF($B414="","",DATE(YEAR('Calendario J'!$F33),MONTH('Calendario J'!$F33),DAY('Calendario J'!$F33)))</f>
        <v/>
      </c>
      <c r="F414" s="223">
        <f>IF($B414="","",TIME(HOUR('Calendario J'!$F33)+2,MINUTE('Calendario J'!$F33),0))</f>
        <v/>
      </c>
      <c r="G414" s="68">
        <f>IF($B414="","",'Calendario J'!$B34)</f>
        <v/>
      </c>
      <c r="H414" s="68">
        <f>IF($B414="","",Campionato!$D$2&amp;" "&amp;Campionato!$D$6)</f>
        <v/>
      </c>
      <c r="I414" s="68" t="inlineStr"/>
    </row>
    <row r="415">
      <c r="A415" s="68">
        <f>IF($B415="","","BEGIN:VEVENT
DTSTAMP:"&amp;TEXT(NOW(),"yyyymmdd")&amp;"T000001Z
UID:evt414@ClaudeCoworkBaskin
DTSTART;TZID=Europe/Rome:"&amp;TEXT($C415,"yyyymmdd")&amp;"T"&amp;TEXT($D415,"hhmmss")&amp;"
DTEND;TZID=Europe/Rome:"&amp;TEXT($E415,"yyyymmdd")&amp;"T"&amp;TEXT($F415,"hhmmss")&amp;"
SUMMARY:"&amp;$B415&amp;"
LOCATION:"&amp;$G415&amp;"
DESCRIPTION:"&amp;$H415&amp;"
END:VEVENT")</f>
        <v/>
      </c>
      <c r="B415" s="68">
        <f>IF('Calendario J'!$B36="","",'Calendario J'!$B36&amp;" vs "&amp;'Calendario J'!$D36&amp;" "&amp;'Calendario J'!$AC36)</f>
        <v/>
      </c>
      <c r="C415" s="222">
        <f>IF($B415="","",DATE(YEAR('Calendario J'!$F36),MONTH('Calendario J'!$F36),DAY('Calendario J'!$F36)))</f>
        <v/>
      </c>
      <c r="D415" s="223">
        <f>IF($B415="","",TIME(HOUR('Calendario J'!$F36),MINUTE('Calendario J'!$F36),0))</f>
        <v/>
      </c>
      <c r="E415" s="222">
        <f>IF($B415="","",DATE(YEAR('Calendario J'!$F36),MONTH('Calendario J'!$F36),DAY('Calendario J'!$F36)))</f>
        <v/>
      </c>
      <c r="F415" s="223">
        <f>IF($B415="","",TIME(HOUR('Calendario J'!$F36)+2,MINUTE('Calendario J'!$F36),0))</f>
        <v/>
      </c>
      <c r="G415" s="68">
        <f>IF($B415="","",'Calendario J'!$B37)</f>
        <v/>
      </c>
      <c r="H415" s="68">
        <f>IF($B415="","",Campionato!$D$2&amp;" "&amp;Campionato!$D$6)</f>
        <v/>
      </c>
      <c r="I415" s="68" t="inlineStr"/>
    </row>
    <row r="416">
      <c r="A416" s="68">
        <f>IF($B416="","","BEGIN:VEVENT
DTSTAMP:"&amp;TEXT(NOW(),"yyyymmdd")&amp;"T000001Z
UID:evt415@ClaudeCoworkBaskin
DTSTART;TZID=Europe/Rome:"&amp;TEXT($C416,"yyyymmdd")&amp;"T"&amp;TEXT($D416,"hhmmss")&amp;"
DTEND;TZID=Europe/Rome:"&amp;TEXT($E416,"yyyymmdd")&amp;"T"&amp;TEXT($F416,"hhmmss")&amp;"
SUMMARY:"&amp;$B416&amp;"
LOCATION:"&amp;$G416&amp;"
DESCRIPTION:"&amp;$H416&amp;"
END:VEVENT")</f>
        <v/>
      </c>
      <c r="B416" s="68">
        <f>IF('Calendario J'!$B39="","",'Calendario J'!$B39&amp;" vs "&amp;'Calendario J'!$D39&amp;" "&amp;'Calendario J'!$AC39)</f>
        <v/>
      </c>
      <c r="C416" s="222">
        <f>IF($B416="","",DATE(YEAR('Calendario J'!$F39),MONTH('Calendario J'!$F39),DAY('Calendario J'!$F39)))</f>
        <v/>
      </c>
      <c r="D416" s="223">
        <f>IF($B416="","",TIME(HOUR('Calendario J'!$F39),MINUTE('Calendario J'!$F39),0))</f>
        <v/>
      </c>
      <c r="E416" s="222">
        <f>IF($B416="","",DATE(YEAR('Calendario J'!$F39),MONTH('Calendario J'!$F39),DAY('Calendario J'!$F39)))</f>
        <v/>
      </c>
      <c r="F416" s="223">
        <f>IF($B416="","",TIME(HOUR('Calendario J'!$F39)+2,MINUTE('Calendario J'!$F39),0))</f>
        <v/>
      </c>
      <c r="G416" s="68">
        <f>IF($B416="","",'Calendario J'!$B40)</f>
        <v/>
      </c>
      <c r="H416" s="68">
        <f>IF($B416="","",Campionato!$D$2&amp;" "&amp;Campionato!$D$6)</f>
        <v/>
      </c>
      <c r="I416" s="68" t="inlineStr"/>
    </row>
    <row r="417">
      <c r="A417" s="68">
        <f>IF($B417="","","BEGIN:VEVENT
DTSTAMP:"&amp;TEXT(NOW(),"yyyymmdd")&amp;"T000001Z
UID:evt416@ClaudeCoworkBaskin
DTSTART;TZID=Europe/Rome:"&amp;TEXT($C417,"yyyymmdd")&amp;"T"&amp;TEXT($D417,"hhmmss")&amp;"
DTEND;TZID=Europe/Rome:"&amp;TEXT($E417,"yyyymmdd")&amp;"T"&amp;TEXT($F417,"hhmmss")&amp;"
SUMMARY:"&amp;$B417&amp;"
LOCATION:"&amp;$G417&amp;"
DESCRIPTION:"&amp;$H417&amp;"
END:VEVENT")</f>
        <v/>
      </c>
      <c r="B417" s="68">
        <f>IF('Calendario J'!$B44="","",'Calendario J'!$B44&amp;" vs "&amp;'Calendario J'!$D44&amp;" "&amp;'Calendario J'!$AC44)</f>
        <v/>
      </c>
      <c r="C417" s="222">
        <f>IF($B417="","",DATE(YEAR('Calendario J'!$F44),MONTH('Calendario J'!$F44),DAY('Calendario J'!$F44)))</f>
        <v/>
      </c>
      <c r="D417" s="223">
        <f>IF($B417="","",TIME(HOUR('Calendario J'!$F44),MINUTE('Calendario J'!$F44),0))</f>
        <v/>
      </c>
      <c r="E417" s="222">
        <f>IF($B417="","",DATE(YEAR('Calendario J'!$F44),MONTH('Calendario J'!$F44),DAY('Calendario J'!$F44)))</f>
        <v/>
      </c>
      <c r="F417" s="223">
        <f>IF($B417="","",TIME(HOUR('Calendario J'!$F44)+2,MINUTE('Calendario J'!$F44),0))</f>
        <v/>
      </c>
      <c r="G417" s="68">
        <f>IF($B417="","",'Calendario J'!$B45)</f>
        <v/>
      </c>
      <c r="H417" s="68">
        <f>IF($B417="","",Campionato!$D$2&amp;" "&amp;Campionato!$D$6)</f>
        <v/>
      </c>
      <c r="I417" s="68" t="inlineStr"/>
    </row>
    <row r="418">
      <c r="A418" s="68">
        <f>IF($B418="","","BEGIN:VEVENT
DTSTAMP:"&amp;TEXT(NOW(),"yyyymmdd")&amp;"T000001Z
UID:evt417@ClaudeCoworkBaskin
DTSTART;TZID=Europe/Rome:"&amp;TEXT($C418,"yyyymmdd")&amp;"T"&amp;TEXT($D418,"hhmmss")&amp;"
DTEND;TZID=Europe/Rome:"&amp;TEXT($E418,"yyyymmdd")&amp;"T"&amp;TEXT($F418,"hhmmss")&amp;"
SUMMARY:"&amp;$B418&amp;"
LOCATION:"&amp;$G418&amp;"
DESCRIPTION:"&amp;$H418&amp;"
END:VEVENT")</f>
        <v/>
      </c>
      <c r="B418" s="68">
        <f>IF('Calendario J'!$B47="","",'Calendario J'!$B47&amp;" vs "&amp;'Calendario J'!$D47&amp;" "&amp;'Calendario J'!$AC47)</f>
        <v/>
      </c>
      <c r="C418" s="222">
        <f>IF($B418="","",DATE(YEAR('Calendario J'!$F47),MONTH('Calendario J'!$F47),DAY('Calendario J'!$F47)))</f>
        <v/>
      </c>
      <c r="D418" s="223">
        <f>IF($B418="","",TIME(HOUR('Calendario J'!$F47),MINUTE('Calendario J'!$F47),0))</f>
        <v/>
      </c>
      <c r="E418" s="222">
        <f>IF($B418="","",DATE(YEAR('Calendario J'!$F47),MONTH('Calendario J'!$F47),DAY('Calendario J'!$F47)))</f>
        <v/>
      </c>
      <c r="F418" s="223">
        <f>IF($B418="","",TIME(HOUR('Calendario J'!$F47)+2,MINUTE('Calendario J'!$F47),0))</f>
        <v/>
      </c>
      <c r="G418" s="68">
        <f>IF($B418="","",'Calendario J'!$B48)</f>
        <v/>
      </c>
      <c r="H418" s="68">
        <f>IF($B418="","",Campionato!$D$2&amp;" "&amp;Campionato!$D$6)</f>
        <v/>
      </c>
      <c r="I418" s="68" t="inlineStr"/>
    </row>
    <row r="419">
      <c r="A419" s="68">
        <f>IF($B419="","","BEGIN:VEVENT
DTSTAMP:"&amp;TEXT(NOW(),"yyyymmdd")&amp;"T000001Z
UID:evt418@ClaudeCoworkBaskin
DTSTART;TZID=Europe/Rome:"&amp;TEXT($C419,"yyyymmdd")&amp;"T"&amp;TEXT($D419,"hhmmss")&amp;"
DTEND;TZID=Europe/Rome:"&amp;TEXT($E419,"yyyymmdd")&amp;"T"&amp;TEXT($F419,"hhmmss")&amp;"
SUMMARY:"&amp;$B419&amp;"
LOCATION:"&amp;$G419&amp;"
DESCRIPTION:"&amp;$H419&amp;"
END:VEVENT")</f>
        <v/>
      </c>
      <c r="B419" s="68">
        <f>IF('Calendario J'!$B50="","",'Calendario J'!$B50&amp;" vs "&amp;'Calendario J'!$D50&amp;" "&amp;'Calendario J'!$AC50)</f>
        <v/>
      </c>
      <c r="C419" s="222">
        <f>IF($B419="","",DATE(YEAR('Calendario J'!$F50),MONTH('Calendario J'!$F50),DAY('Calendario J'!$F50)))</f>
        <v/>
      </c>
      <c r="D419" s="223">
        <f>IF($B419="","",TIME(HOUR('Calendario J'!$F50),MINUTE('Calendario J'!$F50),0))</f>
        <v/>
      </c>
      <c r="E419" s="222">
        <f>IF($B419="","",DATE(YEAR('Calendario J'!$F50),MONTH('Calendario J'!$F50),DAY('Calendario J'!$F50)))</f>
        <v/>
      </c>
      <c r="F419" s="223">
        <f>IF($B419="","",TIME(HOUR('Calendario J'!$F50)+2,MINUTE('Calendario J'!$F50),0))</f>
        <v/>
      </c>
      <c r="G419" s="68">
        <f>IF($B419="","",'Calendario J'!$B51)</f>
        <v/>
      </c>
      <c r="H419" s="68">
        <f>IF($B419="","",Campionato!$D$2&amp;" "&amp;Campionato!$D$6)</f>
        <v/>
      </c>
      <c r="I419" s="68" t="inlineStr"/>
    </row>
    <row r="420">
      <c r="A420" s="68">
        <f>IF($B420="","","BEGIN:VEVENT
DTSTAMP:"&amp;TEXT(NOW(),"yyyymmdd")&amp;"T000001Z
UID:evt419@ClaudeCoworkBaskin
DTSTART;TZID=Europe/Rome:"&amp;TEXT($C420,"yyyymmdd")&amp;"T"&amp;TEXT($D420,"hhmmss")&amp;"
DTEND;TZID=Europe/Rome:"&amp;TEXT($E420,"yyyymmdd")&amp;"T"&amp;TEXT($F420,"hhmmss")&amp;"
SUMMARY:"&amp;$B420&amp;"
LOCATION:"&amp;$G420&amp;"
DESCRIPTION:"&amp;$H420&amp;"
END:VEVENT")</f>
        <v/>
      </c>
      <c r="B420" s="68">
        <f>IF('Calendario J'!$B53="","",'Calendario J'!$B53&amp;" vs "&amp;'Calendario J'!$D53&amp;" "&amp;'Calendario J'!$AC53)</f>
        <v/>
      </c>
      <c r="C420" s="222">
        <f>IF($B420="","",DATE(YEAR('Calendario J'!$F53),MONTH('Calendario J'!$F53),DAY('Calendario J'!$F53)))</f>
        <v/>
      </c>
      <c r="D420" s="223">
        <f>IF($B420="","",TIME(HOUR('Calendario J'!$F53),MINUTE('Calendario J'!$F53),0))</f>
        <v/>
      </c>
      <c r="E420" s="222">
        <f>IF($B420="","",DATE(YEAR('Calendario J'!$F53),MONTH('Calendario J'!$F53),DAY('Calendario J'!$F53)))</f>
        <v/>
      </c>
      <c r="F420" s="223">
        <f>IF($B420="","",TIME(HOUR('Calendario J'!$F53)+2,MINUTE('Calendario J'!$F53),0))</f>
        <v/>
      </c>
      <c r="G420" s="68">
        <f>IF($B420="","",'Calendario J'!$B54)</f>
        <v/>
      </c>
      <c r="H420" s="68">
        <f>IF($B420="","",Campionato!$D$2&amp;" "&amp;Campionato!$D$6)</f>
        <v/>
      </c>
      <c r="I420" s="68" t="inlineStr"/>
    </row>
    <row r="421">
      <c r="A421" s="68">
        <f>IF($B421="","","BEGIN:VEVENT
DTSTAMP:"&amp;TEXT(NOW(),"yyyymmdd")&amp;"T000001Z
UID:evt420@ClaudeCoworkBaskin
DTSTART;TZID=Europe/Rome:"&amp;TEXT($C421,"yyyymmdd")&amp;"T"&amp;TEXT($D421,"hhmmss")&amp;"
DTEND;TZID=Europe/Rome:"&amp;TEXT($E421,"yyyymmdd")&amp;"T"&amp;TEXT($F421,"hhmmss")&amp;"
SUMMARY:"&amp;$B421&amp;"
LOCATION:"&amp;$G421&amp;"
DESCRIPTION:"&amp;$H421&amp;"
END:VEVENT")</f>
        <v/>
      </c>
      <c r="B421" s="68">
        <f>IF('Calendario J'!$B56="","",'Calendario J'!$B56&amp;" vs "&amp;'Calendario J'!$D56&amp;" "&amp;'Calendario J'!$AC56)</f>
        <v/>
      </c>
      <c r="C421" s="222">
        <f>IF($B421="","",DATE(YEAR('Calendario J'!$F56),MONTH('Calendario J'!$F56),DAY('Calendario J'!$F56)))</f>
        <v/>
      </c>
      <c r="D421" s="223">
        <f>IF($B421="","",TIME(HOUR('Calendario J'!$F56),MINUTE('Calendario J'!$F56),0))</f>
        <v/>
      </c>
      <c r="E421" s="222">
        <f>IF($B421="","",DATE(YEAR('Calendario J'!$F56),MONTH('Calendario J'!$F56),DAY('Calendario J'!$F56)))</f>
        <v/>
      </c>
      <c r="F421" s="223">
        <f>IF($B421="","",TIME(HOUR('Calendario J'!$F56)+2,MINUTE('Calendario J'!$F56),0))</f>
        <v/>
      </c>
      <c r="G421" s="68">
        <f>IF($B421="","",'Calendario J'!$B57)</f>
        <v/>
      </c>
      <c r="H421" s="68">
        <f>IF($B421="","",Campionato!$D$2&amp;" "&amp;Campionato!$D$6)</f>
        <v/>
      </c>
      <c r="I421" s="68" t="inlineStr"/>
    </row>
    <row r="422">
      <c r="A422" s="68">
        <f>IF($B422="","","BEGIN:VEVENT
DTSTAMP:"&amp;TEXT(NOW(),"yyyymmdd")&amp;"T000001Z
UID:evt421@ClaudeCoworkBaskin
DTSTART;TZID=Europe/Rome:"&amp;TEXT($C422,"yyyymmdd")&amp;"T"&amp;TEXT($D422,"hhmmss")&amp;"
DTEND;TZID=Europe/Rome:"&amp;TEXT($E422,"yyyymmdd")&amp;"T"&amp;TEXT($F422,"hhmmss")&amp;"
SUMMARY:"&amp;$B422&amp;"
LOCATION:"&amp;$G422&amp;"
DESCRIPTION:"&amp;$H422&amp;"
END:VEVENT")</f>
        <v/>
      </c>
      <c r="B422" s="68">
        <f>IF('Calendario J'!$B61="","",'Calendario J'!$B61&amp;" vs "&amp;'Calendario J'!$D61&amp;" "&amp;'Calendario J'!$AC61)</f>
        <v/>
      </c>
      <c r="C422" s="222">
        <f>IF($B422="","",DATE(YEAR('Calendario J'!$F61),MONTH('Calendario J'!$F61),DAY('Calendario J'!$F61)))</f>
        <v/>
      </c>
      <c r="D422" s="223">
        <f>IF($B422="","",TIME(HOUR('Calendario J'!$F61),MINUTE('Calendario J'!$F61),0))</f>
        <v/>
      </c>
      <c r="E422" s="222">
        <f>IF($B422="","",DATE(YEAR('Calendario J'!$F61),MONTH('Calendario J'!$F61),DAY('Calendario J'!$F61)))</f>
        <v/>
      </c>
      <c r="F422" s="223">
        <f>IF($B422="","",TIME(HOUR('Calendario J'!$F61)+2,MINUTE('Calendario J'!$F61),0))</f>
        <v/>
      </c>
      <c r="G422" s="68">
        <f>IF($B422="","",'Calendario J'!$B62)</f>
        <v/>
      </c>
      <c r="H422" s="68">
        <f>IF($B422="","",Campionato!$D$2&amp;" "&amp;Campionato!$D$6)</f>
        <v/>
      </c>
      <c r="I422" s="68" t="inlineStr"/>
    </row>
    <row r="423">
      <c r="A423" s="68">
        <f>IF($B423="","","BEGIN:VEVENT
DTSTAMP:"&amp;TEXT(NOW(),"yyyymmdd")&amp;"T000001Z
UID:evt422@ClaudeCoworkBaskin
DTSTART;TZID=Europe/Rome:"&amp;TEXT($C423,"yyyymmdd")&amp;"T"&amp;TEXT($D423,"hhmmss")&amp;"
DTEND;TZID=Europe/Rome:"&amp;TEXT($E423,"yyyymmdd")&amp;"T"&amp;TEXT($F423,"hhmmss")&amp;"
SUMMARY:"&amp;$B423&amp;"
LOCATION:"&amp;$G423&amp;"
DESCRIPTION:"&amp;$H423&amp;"
END:VEVENT")</f>
        <v/>
      </c>
      <c r="B423" s="68">
        <f>IF('Calendario J'!$B64="","",'Calendario J'!$B64&amp;" vs "&amp;'Calendario J'!$D64&amp;" "&amp;'Calendario J'!$AC64)</f>
        <v/>
      </c>
      <c r="C423" s="222">
        <f>IF($B423="","",DATE(YEAR('Calendario J'!$F64),MONTH('Calendario J'!$F64),DAY('Calendario J'!$F64)))</f>
        <v/>
      </c>
      <c r="D423" s="223">
        <f>IF($B423="","",TIME(HOUR('Calendario J'!$F64),MINUTE('Calendario J'!$F64),0))</f>
        <v/>
      </c>
      <c r="E423" s="222">
        <f>IF($B423="","",DATE(YEAR('Calendario J'!$F64),MONTH('Calendario J'!$F64),DAY('Calendario J'!$F64)))</f>
        <v/>
      </c>
      <c r="F423" s="223">
        <f>IF($B423="","",TIME(HOUR('Calendario J'!$F64)+2,MINUTE('Calendario J'!$F64),0))</f>
        <v/>
      </c>
      <c r="G423" s="68">
        <f>IF($B423="","",'Calendario J'!$B65)</f>
        <v/>
      </c>
      <c r="H423" s="68">
        <f>IF($B423="","",Campionato!$D$2&amp;" "&amp;Campionato!$D$6)</f>
        <v/>
      </c>
      <c r="I423" s="68" t="inlineStr"/>
    </row>
    <row r="424">
      <c r="A424" s="68">
        <f>IF($B424="","","BEGIN:VEVENT
DTSTAMP:"&amp;TEXT(NOW(),"yyyymmdd")&amp;"T000001Z
UID:evt423@ClaudeCoworkBaskin
DTSTART;TZID=Europe/Rome:"&amp;TEXT($C424,"yyyymmdd")&amp;"T"&amp;TEXT($D424,"hhmmss")&amp;"
DTEND;TZID=Europe/Rome:"&amp;TEXT($E424,"yyyymmdd")&amp;"T"&amp;TEXT($F424,"hhmmss")&amp;"
SUMMARY:"&amp;$B424&amp;"
LOCATION:"&amp;$G424&amp;"
DESCRIPTION:"&amp;$H424&amp;"
END:VEVENT")</f>
        <v/>
      </c>
      <c r="B424" s="68">
        <f>IF('Calendario J'!$B67="","",'Calendario J'!$B67&amp;" vs "&amp;'Calendario J'!$D67&amp;" "&amp;'Calendario J'!$AC67)</f>
        <v/>
      </c>
      <c r="C424" s="222">
        <f>IF($B424="","",DATE(YEAR('Calendario J'!$F67),MONTH('Calendario J'!$F67),DAY('Calendario J'!$F67)))</f>
        <v/>
      </c>
      <c r="D424" s="223">
        <f>IF($B424="","",TIME(HOUR('Calendario J'!$F67),MINUTE('Calendario J'!$F67),0))</f>
        <v/>
      </c>
      <c r="E424" s="222">
        <f>IF($B424="","",DATE(YEAR('Calendario J'!$F67),MONTH('Calendario J'!$F67),DAY('Calendario J'!$F67)))</f>
        <v/>
      </c>
      <c r="F424" s="223">
        <f>IF($B424="","",TIME(HOUR('Calendario J'!$F67)+2,MINUTE('Calendario J'!$F67),0))</f>
        <v/>
      </c>
      <c r="G424" s="68">
        <f>IF($B424="","",'Calendario J'!$B68)</f>
        <v/>
      </c>
      <c r="H424" s="68">
        <f>IF($B424="","",Campionato!$D$2&amp;" "&amp;Campionato!$D$6)</f>
        <v/>
      </c>
      <c r="I424" s="68" t="inlineStr"/>
    </row>
    <row r="425">
      <c r="A425" s="68">
        <f>IF($B425="","","BEGIN:VEVENT
DTSTAMP:"&amp;TEXT(NOW(),"yyyymmdd")&amp;"T000001Z
UID:evt424@ClaudeCoworkBaskin
DTSTART;TZID=Europe/Rome:"&amp;TEXT($C425,"yyyymmdd")&amp;"T"&amp;TEXT($D425,"hhmmss")&amp;"
DTEND;TZID=Europe/Rome:"&amp;TEXT($E425,"yyyymmdd")&amp;"T"&amp;TEXT($F425,"hhmmss")&amp;"
SUMMARY:"&amp;$B425&amp;"
LOCATION:"&amp;$G425&amp;"
DESCRIPTION:"&amp;$H425&amp;"
END:VEVENT")</f>
        <v/>
      </c>
      <c r="B425" s="68">
        <f>IF('Calendario J'!$B70="","",'Calendario J'!$B70&amp;" vs "&amp;'Calendario J'!$D70&amp;" "&amp;'Calendario J'!$AC70)</f>
        <v/>
      </c>
      <c r="C425" s="222">
        <f>IF($B425="","",DATE(YEAR('Calendario J'!$F70),MONTH('Calendario J'!$F70),DAY('Calendario J'!$F70)))</f>
        <v/>
      </c>
      <c r="D425" s="223">
        <f>IF($B425="","",TIME(HOUR('Calendario J'!$F70),MINUTE('Calendario J'!$F70),0))</f>
        <v/>
      </c>
      <c r="E425" s="222">
        <f>IF($B425="","",DATE(YEAR('Calendario J'!$F70),MONTH('Calendario J'!$F70),DAY('Calendario J'!$F70)))</f>
        <v/>
      </c>
      <c r="F425" s="223">
        <f>IF($B425="","",TIME(HOUR('Calendario J'!$F70)+2,MINUTE('Calendario J'!$F70),0))</f>
        <v/>
      </c>
      <c r="G425" s="68">
        <f>IF($B425="","",'Calendario J'!$B71)</f>
        <v/>
      </c>
      <c r="H425" s="68">
        <f>IF($B425="","",Campionato!$D$2&amp;" "&amp;Campionato!$D$6)</f>
        <v/>
      </c>
      <c r="I425" s="68" t="inlineStr"/>
    </row>
    <row r="426">
      <c r="A426" s="68">
        <f>IF($B426="","","BEGIN:VEVENT
DTSTAMP:"&amp;TEXT(NOW(),"yyyymmdd")&amp;"T000001Z
UID:evt425@ClaudeCoworkBaskin
DTSTART;TZID=Europe/Rome:"&amp;TEXT($C426,"yyyymmdd")&amp;"T"&amp;TEXT($D426,"hhmmss")&amp;"
DTEND;TZID=Europe/Rome:"&amp;TEXT($E426,"yyyymmdd")&amp;"T"&amp;TEXT($F426,"hhmmss")&amp;"
SUMMARY:"&amp;$B426&amp;"
LOCATION:"&amp;$G426&amp;"
DESCRIPTION:"&amp;$H426&amp;"
END:VEVENT")</f>
        <v/>
      </c>
      <c r="B426" s="68">
        <f>IF('Calendario J'!$B73="","",'Calendario J'!$B73&amp;" vs "&amp;'Calendario J'!$D73&amp;" "&amp;'Calendario J'!$AC73)</f>
        <v/>
      </c>
      <c r="C426" s="222">
        <f>IF($B426="","",DATE(YEAR('Calendario J'!$F73),MONTH('Calendario J'!$F73),DAY('Calendario J'!$F73)))</f>
        <v/>
      </c>
      <c r="D426" s="223">
        <f>IF($B426="","",TIME(HOUR('Calendario J'!$F73),MINUTE('Calendario J'!$F73),0))</f>
        <v/>
      </c>
      <c r="E426" s="222">
        <f>IF($B426="","",DATE(YEAR('Calendario J'!$F73),MONTH('Calendario J'!$F73),DAY('Calendario J'!$F73)))</f>
        <v/>
      </c>
      <c r="F426" s="223">
        <f>IF($B426="","",TIME(HOUR('Calendario J'!$F73)+2,MINUTE('Calendario J'!$F73),0))</f>
        <v/>
      </c>
      <c r="G426" s="68">
        <f>IF($B426="","",'Calendario J'!$B74)</f>
        <v/>
      </c>
      <c r="H426" s="68">
        <f>IF($B426="","",Campionato!$D$2&amp;" "&amp;Campionato!$D$6)</f>
        <v/>
      </c>
      <c r="I426" s="68" t="inlineStr"/>
    </row>
    <row r="427">
      <c r="A427" s="68">
        <f>IF($B427="","","BEGIN:VEVENT
DTSTAMP:"&amp;TEXT(NOW(),"yyyymmdd")&amp;"T000001Z
UID:evt426@ClaudeCoworkBaskin
DTSTART;TZID=Europe/Rome:"&amp;TEXT($C427,"yyyymmdd")&amp;"T"&amp;TEXT($D427,"hhmmss")&amp;"
DTEND;TZID=Europe/Rome:"&amp;TEXT($E427,"yyyymmdd")&amp;"T"&amp;TEXT($F427,"hhmmss")&amp;"
SUMMARY:"&amp;$B427&amp;"
LOCATION:"&amp;$G427&amp;"
DESCRIPTION:"&amp;$H427&amp;"
END:VEVENT")</f>
        <v/>
      </c>
      <c r="B427" s="68">
        <f>IF('Calendario J'!$B78="","",'Calendario J'!$B78&amp;" vs "&amp;'Calendario J'!$D78&amp;" "&amp;'Calendario J'!$AC78)</f>
        <v/>
      </c>
      <c r="C427" s="222">
        <f>IF($B427="","",DATE(YEAR('Calendario J'!$F78),MONTH('Calendario J'!$F78),DAY('Calendario J'!$F78)))</f>
        <v/>
      </c>
      <c r="D427" s="223">
        <f>IF($B427="","",TIME(HOUR('Calendario J'!$F78),MINUTE('Calendario J'!$F78),0))</f>
        <v/>
      </c>
      <c r="E427" s="222">
        <f>IF($B427="","",DATE(YEAR('Calendario J'!$F78),MONTH('Calendario J'!$F78),DAY('Calendario J'!$F78)))</f>
        <v/>
      </c>
      <c r="F427" s="223">
        <f>IF($B427="","",TIME(HOUR('Calendario J'!$F78)+2,MINUTE('Calendario J'!$F78),0))</f>
        <v/>
      </c>
      <c r="G427" s="68">
        <f>IF($B427="","",'Calendario J'!$B79)</f>
        <v/>
      </c>
      <c r="H427" s="68">
        <f>IF($B427="","",Campionato!$D$2&amp;" "&amp;Campionato!$D$6)</f>
        <v/>
      </c>
      <c r="I427" s="68" t="inlineStr"/>
    </row>
    <row r="428">
      <c r="A428" s="68">
        <f>IF($B428="","","BEGIN:VEVENT
DTSTAMP:"&amp;TEXT(NOW(),"yyyymmdd")&amp;"T000001Z
UID:evt427@ClaudeCoworkBaskin
DTSTART;TZID=Europe/Rome:"&amp;TEXT($C428,"yyyymmdd")&amp;"T"&amp;TEXT($D428,"hhmmss")&amp;"
DTEND;TZID=Europe/Rome:"&amp;TEXT($E428,"yyyymmdd")&amp;"T"&amp;TEXT($F428,"hhmmss")&amp;"
SUMMARY:"&amp;$B428&amp;"
LOCATION:"&amp;$G428&amp;"
DESCRIPTION:"&amp;$H428&amp;"
END:VEVENT")</f>
        <v/>
      </c>
      <c r="B428" s="68">
        <f>IF('Calendario J'!$B81="","",'Calendario J'!$B81&amp;" vs "&amp;'Calendario J'!$D81&amp;" "&amp;'Calendario J'!$AC81)</f>
        <v/>
      </c>
      <c r="C428" s="222">
        <f>IF($B428="","",DATE(YEAR('Calendario J'!$F81),MONTH('Calendario J'!$F81),DAY('Calendario J'!$F81)))</f>
        <v/>
      </c>
      <c r="D428" s="223">
        <f>IF($B428="","",TIME(HOUR('Calendario J'!$F81),MINUTE('Calendario J'!$F81),0))</f>
        <v/>
      </c>
      <c r="E428" s="222">
        <f>IF($B428="","",DATE(YEAR('Calendario J'!$F81),MONTH('Calendario J'!$F81),DAY('Calendario J'!$F81)))</f>
        <v/>
      </c>
      <c r="F428" s="223">
        <f>IF($B428="","",TIME(HOUR('Calendario J'!$F81)+2,MINUTE('Calendario J'!$F81),0))</f>
        <v/>
      </c>
      <c r="G428" s="68">
        <f>IF($B428="","",'Calendario J'!$B82)</f>
        <v/>
      </c>
      <c r="H428" s="68">
        <f>IF($B428="","",Campionato!$D$2&amp;" "&amp;Campionato!$D$6)</f>
        <v/>
      </c>
      <c r="I428" s="68" t="inlineStr"/>
    </row>
    <row r="429">
      <c r="A429" s="68">
        <f>IF($B429="","","BEGIN:VEVENT
DTSTAMP:"&amp;TEXT(NOW(),"yyyymmdd")&amp;"T000001Z
UID:evt428@ClaudeCoworkBaskin
DTSTART;TZID=Europe/Rome:"&amp;TEXT($C429,"yyyymmdd")&amp;"T"&amp;TEXT($D429,"hhmmss")&amp;"
DTEND;TZID=Europe/Rome:"&amp;TEXT($E429,"yyyymmdd")&amp;"T"&amp;TEXT($F429,"hhmmss")&amp;"
SUMMARY:"&amp;$B429&amp;"
LOCATION:"&amp;$G429&amp;"
DESCRIPTION:"&amp;$H429&amp;"
END:VEVENT")</f>
        <v/>
      </c>
      <c r="B429" s="68">
        <f>IF('Calendario J'!$B84="","",'Calendario J'!$B84&amp;" vs "&amp;'Calendario J'!$D84&amp;" "&amp;'Calendario J'!$AC84)</f>
        <v/>
      </c>
      <c r="C429" s="222">
        <f>IF($B429="","",DATE(YEAR('Calendario J'!$F84),MONTH('Calendario J'!$F84),DAY('Calendario J'!$F84)))</f>
        <v/>
      </c>
      <c r="D429" s="223">
        <f>IF($B429="","",TIME(HOUR('Calendario J'!$F84),MINUTE('Calendario J'!$F84),0))</f>
        <v/>
      </c>
      <c r="E429" s="222">
        <f>IF($B429="","",DATE(YEAR('Calendario J'!$F84),MONTH('Calendario J'!$F84),DAY('Calendario J'!$F84)))</f>
        <v/>
      </c>
      <c r="F429" s="223">
        <f>IF($B429="","",TIME(HOUR('Calendario J'!$F84)+2,MINUTE('Calendario J'!$F84),0))</f>
        <v/>
      </c>
      <c r="G429" s="68">
        <f>IF($B429="","",'Calendario J'!$B85)</f>
        <v/>
      </c>
      <c r="H429" s="68">
        <f>IF($B429="","",Campionato!$D$2&amp;" "&amp;Campionato!$D$6)</f>
        <v/>
      </c>
      <c r="I429" s="68" t="inlineStr"/>
    </row>
    <row r="430">
      <c r="A430" s="68">
        <f>IF($B430="","","BEGIN:VEVENT
DTSTAMP:"&amp;TEXT(NOW(),"yyyymmdd")&amp;"T000001Z
UID:evt429@ClaudeCoworkBaskin
DTSTART;TZID=Europe/Rome:"&amp;TEXT($C430,"yyyymmdd")&amp;"T"&amp;TEXT($D430,"hhmmss")&amp;"
DTEND;TZID=Europe/Rome:"&amp;TEXT($E430,"yyyymmdd")&amp;"T"&amp;TEXT($F430,"hhmmss")&amp;"
SUMMARY:"&amp;$B430&amp;"
LOCATION:"&amp;$G430&amp;"
DESCRIPTION:"&amp;$H430&amp;"
END:VEVENT")</f>
        <v/>
      </c>
      <c r="B430" s="68">
        <f>IF('Calendario J'!$B87="","",'Calendario J'!$B87&amp;" vs "&amp;'Calendario J'!$D87&amp;" "&amp;'Calendario J'!$AC87)</f>
        <v/>
      </c>
      <c r="C430" s="222">
        <f>IF($B430="","",DATE(YEAR('Calendario J'!$F87),MONTH('Calendario J'!$F87),DAY('Calendario J'!$F87)))</f>
        <v/>
      </c>
      <c r="D430" s="223">
        <f>IF($B430="","",TIME(HOUR('Calendario J'!$F87),MINUTE('Calendario J'!$F87),0))</f>
        <v/>
      </c>
      <c r="E430" s="222">
        <f>IF($B430="","",DATE(YEAR('Calendario J'!$F87),MONTH('Calendario J'!$F87),DAY('Calendario J'!$F87)))</f>
        <v/>
      </c>
      <c r="F430" s="223">
        <f>IF($B430="","",TIME(HOUR('Calendario J'!$F87)+2,MINUTE('Calendario J'!$F87),0))</f>
        <v/>
      </c>
      <c r="G430" s="68">
        <f>IF($B430="","",'Calendario J'!$B88)</f>
        <v/>
      </c>
      <c r="H430" s="68">
        <f>IF($B430="","",Campionato!$D$2&amp;" "&amp;Campionato!$D$6)</f>
        <v/>
      </c>
      <c r="I430" s="68" t="inlineStr"/>
    </row>
    <row r="431">
      <c r="A431" s="68">
        <f>IF($B431="","","BEGIN:VEVENT
DTSTAMP:"&amp;TEXT(NOW(),"yyyymmdd")&amp;"T000001Z
UID:evt430@ClaudeCoworkBaskin
DTSTART;TZID=Europe/Rome:"&amp;TEXT($C431,"yyyymmdd")&amp;"T"&amp;TEXT($D431,"hhmmss")&amp;"
DTEND;TZID=Europe/Rome:"&amp;TEXT($E431,"yyyymmdd")&amp;"T"&amp;TEXT($F431,"hhmmss")&amp;"
SUMMARY:"&amp;$B431&amp;"
LOCATION:"&amp;$G431&amp;"
DESCRIPTION:"&amp;$H431&amp;"
END:VEVENT")</f>
        <v/>
      </c>
      <c r="B431" s="68">
        <f>IF('Calendario J'!$B90="","",'Calendario J'!$B90&amp;" vs "&amp;'Calendario J'!$D90&amp;" "&amp;'Calendario J'!$AC90)</f>
        <v/>
      </c>
      <c r="C431" s="222">
        <f>IF($B431="","",DATE(YEAR('Calendario J'!$F90),MONTH('Calendario J'!$F90),DAY('Calendario J'!$F90)))</f>
        <v/>
      </c>
      <c r="D431" s="223">
        <f>IF($B431="","",TIME(HOUR('Calendario J'!$F90),MINUTE('Calendario J'!$F90),0))</f>
        <v/>
      </c>
      <c r="E431" s="222">
        <f>IF($B431="","",DATE(YEAR('Calendario J'!$F90),MONTH('Calendario J'!$F90),DAY('Calendario J'!$F90)))</f>
        <v/>
      </c>
      <c r="F431" s="223">
        <f>IF($B431="","",TIME(HOUR('Calendario J'!$F90)+2,MINUTE('Calendario J'!$F90),0))</f>
        <v/>
      </c>
      <c r="G431" s="68">
        <f>IF($B431="","",'Calendario J'!$B91)</f>
        <v/>
      </c>
      <c r="H431" s="68">
        <f>IF($B431="","",Campionato!$D$2&amp;" "&amp;Campionato!$D$6)</f>
        <v/>
      </c>
      <c r="I431" s="68" t="inlineStr"/>
    </row>
    <row r="432">
      <c r="A432" s="68">
        <f>IF($B432="","","BEGIN:VEVENT
DTSTAMP:"&amp;TEXT(NOW(),"yyyymmdd")&amp;"T000001Z
UID:evt431@ClaudeCoworkBaskin
DTSTART;TZID=Europe/Rome:"&amp;TEXT($C432,"yyyymmdd")&amp;"T"&amp;TEXT($D432,"hhmmss")&amp;"
DTEND;TZID=Europe/Rome:"&amp;TEXT($E432,"yyyymmdd")&amp;"T"&amp;TEXT($F432,"hhmmss")&amp;"
SUMMARY:"&amp;$B432&amp;"
LOCATION:"&amp;$G432&amp;"
DESCRIPTION:"&amp;$H432&amp;"
END:VEVENT")</f>
        <v/>
      </c>
      <c r="B432" s="68">
        <f>IF('Calendario J'!$B95="","",'Calendario J'!$B95&amp;" vs "&amp;'Calendario J'!$D95&amp;" "&amp;'Calendario J'!$AC95)</f>
        <v/>
      </c>
      <c r="C432" s="222">
        <f>IF($B432="","",DATE(YEAR('Calendario J'!$F95),MONTH('Calendario J'!$F95),DAY('Calendario J'!$F95)))</f>
        <v/>
      </c>
      <c r="D432" s="223">
        <f>IF($B432="","",TIME(HOUR('Calendario J'!$F95),MINUTE('Calendario J'!$F95),0))</f>
        <v/>
      </c>
      <c r="E432" s="222">
        <f>IF($B432="","",DATE(YEAR('Calendario J'!$F95),MONTH('Calendario J'!$F95),DAY('Calendario J'!$F95)))</f>
        <v/>
      </c>
      <c r="F432" s="223">
        <f>IF($B432="","",TIME(HOUR('Calendario J'!$F95)+2,MINUTE('Calendario J'!$F95),0))</f>
        <v/>
      </c>
      <c r="G432" s="68">
        <f>IF($B432="","",'Calendario J'!$B96)</f>
        <v/>
      </c>
      <c r="H432" s="68">
        <f>IF($B432="","",Campionato!$D$2&amp;" "&amp;Campionato!$D$6)</f>
        <v/>
      </c>
      <c r="I432" s="68" t="inlineStr"/>
    </row>
    <row r="433">
      <c r="A433" s="68">
        <f>IF($B433="","","BEGIN:VEVENT
DTSTAMP:"&amp;TEXT(NOW(),"yyyymmdd")&amp;"T000001Z
UID:evt432@ClaudeCoworkBaskin
DTSTART;TZID=Europe/Rome:"&amp;TEXT($C433,"yyyymmdd")&amp;"T"&amp;TEXT($D433,"hhmmss")&amp;"
DTEND;TZID=Europe/Rome:"&amp;TEXT($E433,"yyyymmdd")&amp;"T"&amp;TEXT($F433,"hhmmss")&amp;"
SUMMARY:"&amp;$B433&amp;"
LOCATION:"&amp;$G433&amp;"
DESCRIPTION:"&amp;$H433&amp;"
END:VEVENT")</f>
        <v/>
      </c>
      <c r="B433" s="68">
        <f>IF('Calendario J'!$B98="","",'Calendario J'!$B98&amp;" vs "&amp;'Calendario J'!$D98&amp;" "&amp;'Calendario J'!$AC98)</f>
        <v/>
      </c>
      <c r="C433" s="222">
        <f>IF($B433="","",DATE(YEAR('Calendario J'!$F98),MONTH('Calendario J'!$F98),DAY('Calendario J'!$F98)))</f>
        <v/>
      </c>
      <c r="D433" s="223">
        <f>IF($B433="","",TIME(HOUR('Calendario J'!$F98),MINUTE('Calendario J'!$F98),0))</f>
        <v/>
      </c>
      <c r="E433" s="222">
        <f>IF($B433="","",DATE(YEAR('Calendario J'!$F98),MONTH('Calendario J'!$F98),DAY('Calendario J'!$F98)))</f>
        <v/>
      </c>
      <c r="F433" s="223">
        <f>IF($B433="","",TIME(HOUR('Calendario J'!$F98)+2,MINUTE('Calendario J'!$F98),0))</f>
        <v/>
      </c>
      <c r="G433" s="68">
        <f>IF($B433="","",'Calendario J'!$B99)</f>
        <v/>
      </c>
      <c r="H433" s="68">
        <f>IF($B433="","",Campionato!$D$2&amp;" "&amp;Campionato!$D$6)</f>
        <v/>
      </c>
      <c r="I433" s="68" t="inlineStr"/>
    </row>
    <row r="434">
      <c r="A434" s="68">
        <f>IF($B434="","","BEGIN:VEVENT
DTSTAMP:"&amp;TEXT(NOW(),"yyyymmdd")&amp;"T000001Z
UID:evt433@ClaudeCoworkBaskin
DTSTART;TZID=Europe/Rome:"&amp;TEXT($C434,"yyyymmdd")&amp;"T"&amp;TEXT($D434,"hhmmss")&amp;"
DTEND;TZID=Europe/Rome:"&amp;TEXT($E434,"yyyymmdd")&amp;"T"&amp;TEXT($F434,"hhmmss")&amp;"
SUMMARY:"&amp;$B434&amp;"
LOCATION:"&amp;$G434&amp;"
DESCRIPTION:"&amp;$H434&amp;"
END:VEVENT")</f>
        <v/>
      </c>
      <c r="B434" s="68">
        <f>IF('Calendario J'!$B101="","",'Calendario J'!$B101&amp;" vs "&amp;'Calendario J'!$D101&amp;" "&amp;'Calendario J'!$AC101)</f>
        <v/>
      </c>
      <c r="C434" s="222">
        <f>IF($B434="","",DATE(YEAR('Calendario J'!$F101),MONTH('Calendario J'!$F101),DAY('Calendario J'!$F101)))</f>
        <v/>
      </c>
      <c r="D434" s="223">
        <f>IF($B434="","",TIME(HOUR('Calendario J'!$F101),MINUTE('Calendario J'!$F101),0))</f>
        <v/>
      </c>
      <c r="E434" s="222">
        <f>IF($B434="","",DATE(YEAR('Calendario J'!$F101),MONTH('Calendario J'!$F101),DAY('Calendario J'!$F101)))</f>
        <v/>
      </c>
      <c r="F434" s="223">
        <f>IF($B434="","",TIME(HOUR('Calendario J'!$F101)+2,MINUTE('Calendario J'!$F101),0))</f>
        <v/>
      </c>
      <c r="G434" s="68">
        <f>IF($B434="","",'Calendario J'!$B102)</f>
        <v/>
      </c>
      <c r="H434" s="68">
        <f>IF($B434="","",Campionato!$D$2&amp;" "&amp;Campionato!$D$6)</f>
        <v/>
      </c>
      <c r="I434" s="68" t="inlineStr"/>
    </row>
    <row r="435">
      <c r="A435" s="68">
        <f>IF($B435="","","BEGIN:VEVENT
DTSTAMP:"&amp;TEXT(NOW(),"yyyymmdd")&amp;"T000001Z
UID:evt434@ClaudeCoworkBaskin
DTSTART;TZID=Europe/Rome:"&amp;TEXT($C435,"yyyymmdd")&amp;"T"&amp;TEXT($D435,"hhmmss")&amp;"
DTEND;TZID=Europe/Rome:"&amp;TEXT($E435,"yyyymmdd")&amp;"T"&amp;TEXT($F435,"hhmmss")&amp;"
SUMMARY:"&amp;$B435&amp;"
LOCATION:"&amp;$G435&amp;"
DESCRIPTION:"&amp;$H435&amp;"
END:VEVENT")</f>
        <v/>
      </c>
      <c r="B435" s="68">
        <f>IF('Calendario J'!$B104="","",'Calendario J'!$B104&amp;" vs "&amp;'Calendario J'!$D104&amp;" "&amp;'Calendario J'!$AC104)</f>
        <v/>
      </c>
      <c r="C435" s="222">
        <f>IF($B435="","",DATE(YEAR('Calendario J'!$F104),MONTH('Calendario J'!$F104),DAY('Calendario J'!$F104)))</f>
        <v/>
      </c>
      <c r="D435" s="223">
        <f>IF($B435="","",TIME(HOUR('Calendario J'!$F104),MINUTE('Calendario J'!$F104),0))</f>
        <v/>
      </c>
      <c r="E435" s="222">
        <f>IF($B435="","",DATE(YEAR('Calendario J'!$F104),MONTH('Calendario J'!$F104),DAY('Calendario J'!$F104)))</f>
        <v/>
      </c>
      <c r="F435" s="223">
        <f>IF($B435="","",TIME(HOUR('Calendario J'!$F104)+2,MINUTE('Calendario J'!$F104),0))</f>
        <v/>
      </c>
      <c r="G435" s="68">
        <f>IF($B435="","",'Calendario J'!$B105)</f>
        <v/>
      </c>
      <c r="H435" s="68">
        <f>IF($B435="","",Campionato!$D$2&amp;" "&amp;Campionato!$D$6)</f>
        <v/>
      </c>
      <c r="I435" s="68" t="inlineStr"/>
    </row>
    <row r="436">
      <c r="A436" s="68">
        <f>IF($B436="","","BEGIN:VEVENT
DTSTAMP:"&amp;TEXT(NOW(),"yyyymmdd")&amp;"T000001Z
UID:evt435@ClaudeCoworkBaskin
DTSTART;TZID=Europe/Rome:"&amp;TEXT($C436,"yyyymmdd")&amp;"T"&amp;TEXT($D436,"hhmmss")&amp;"
DTEND;TZID=Europe/Rome:"&amp;TEXT($E436,"yyyymmdd")&amp;"T"&amp;TEXT($F436,"hhmmss")&amp;"
SUMMARY:"&amp;$B436&amp;"
LOCATION:"&amp;$G436&amp;"
DESCRIPTION:"&amp;$H436&amp;"
END:VEVENT")</f>
        <v/>
      </c>
      <c r="B436" s="68">
        <f>IF('Calendario J'!$B107="","",'Calendario J'!$B107&amp;" vs "&amp;'Calendario J'!$D107&amp;" "&amp;'Calendario J'!$AC107)</f>
        <v/>
      </c>
      <c r="C436" s="222">
        <f>IF($B436="","",DATE(YEAR('Calendario J'!$F107),MONTH('Calendario J'!$F107),DAY('Calendario J'!$F107)))</f>
        <v/>
      </c>
      <c r="D436" s="223">
        <f>IF($B436="","",TIME(HOUR('Calendario J'!$F107),MINUTE('Calendario J'!$F107),0))</f>
        <v/>
      </c>
      <c r="E436" s="222">
        <f>IF($B436="","",DATE(YEAR('Calendario J'!$F107),MONTH('Calendario J'!$F107),DAY('Calendario J'!$F107)))</f>
        <v/>
      </c>
      <c r="F436" s="223">
        <f>IF($B436="","",TIME(HOUR('Calendario J'!$F107)+2,MINUTE('Calendario J'!$F107),0))</f>
        <v/>
      </c>
      <c r="G436" s="68">
        <f>IF($B436="","",'Calendario J'!$B108)</f>
        <v/>
      </c>
      <c r="H436" s="68">
        <f>IF($B436="","",Campionato!$D$2&amp;" "&amp;Campionato!$D$6)</f>
        <v/>
      </c>
      <c r="I436" s="68" t="inlineStr"/>
    </row>
    <row r="437">
      <c r="A437" s="68">
        <f>IF($B437="","","BEGIN:VEVENT
DTSTAMP:"&amp;TEXT(NOW(),"yyyymmdd")&amp;"T000001Z
UID:evt436@ClaudeCoworkBaskin
DTSTART;TZID=Europe/Rome:"&amp;TEXT($C437,"yyyymmdd")&amp;"T"&amp;TEXT($D437,"hhmmss")&amp;"
DTEND;TZID=Europe/Rome:"&amp;TEXT($E437,"yyyymmdd")&amp;"T"&amp;TEXT($F437,"hhmmss")&amp;"
SUMMARY:"&amp;$B437&amp;"
LOCATION:"&amp;$G437&amp;"
DESCRIPTION:"&amp;$H437&amp;"
END:VEVENT")</f>
        <v/>
      </c>
      <c r="B437" s="68">
        <f>IF('Calendario J'!$B112="","",'Calendario J'!$B112&amp;" vs "&amp;'Calendario J'!$D112&amp;" "&amp;'Calendario J'!$AC112)</f>
        <v/>
      </c>
      <c r="C437" s="222">
        <f>IF($B437="","",DATE(YEAR('Calendario J'!$F112),MONTH('Calendario J'!$F112),DAY('Calendario J'!$F112)))</f>
        <v/>
      </c>
      <c r="D437" s="223">
        <f>IF($B437="","",TIME(HOUR('Calendario J'!$F112),MINUTE('Calendario J'!$F112),0))</f>
        <v/>
      </c>
      <c r="E437" s="222">
        <f>IF($B437="","",DATE(YEAR('Calendario J'!$F112),MONTH('Calendario J'!$F112),DAY('Calendario J'!$F112)))</f>
        <v/>
      </c>
      <c r="F437" s="223">
        <f>IF($B437="","",TIME(HOUR('Calendario J'!$F112)+2,MINUTE('Calendario J'!$F112),0))</f>
        <v/>
      </c>
      <c r="G437" s="68">
        <f>IF($B437="","",'Calendario J'!$B113)</f>
        <v/>
      </c>
      <c r="H437" s="68">
        <f>IF($B437="","",Campionato!$D$2&amp;" "&amp;Campionato!$D$6)</f>
        <v/>
      </c>
      <c r="I437" s="68" t="inlineStr"/>
    </row>
    <row r="438">
      <c r="A438" s="68">
        <f>IF($B438="","","BEGIN:VEVENT
DTSTAMP:"&amp;TEXT(NOW(),"yyyymmdd")&amp;"T000001Z
UID:evt437@ClaudeCoworkBaskin
DTSTART;TZID=Europe/Rome:"&amp;TEXT($C438,"yyyymmdd")&amp;"T"&amp;TEXT($D438,"hhmmss")&amp;"
DTEND;TZID=Europe/Rome:"&amp;TEXT($E438,"yyyymmdd")&amp;"T"&amp;TEXT($F438,"hhmmss")&amp;"
SUMMARY:"&amp;$B438&amp;"
LOCATION:"&amp;$G438&amp;"
DESCRIPTION:"&amp;$H438&amp;"
END:VEVENT")</f>
        <v/>
      </c>
      <c r="B438" s="68">
        <f>IF('Calendario J'!$B115="","",'Calendario J'!$B115&amp;" vs "&amp;'Calendario J'!$D115&amp;" "&amp;'Calendario J'!$AC115)</f>
        <v/>
      </c>
      <c r="C438" s="222">
        <f>IF($B438="","",DATE(YEAR('Calendario J'!$F115),MONTH('Calendario J'!$F115),DAY('Calendario J'!$F115)))</f>
        <v/>
      </c>
      <c r="D438" s="223">
        <f>IF($B438="","",TIME(HOUR('Calendario J'!$F115),MINUTE('Calendario J'!$F115),0))</f>
        <v/>
      </c>
      <c r="E438" s="222">
        <f>IF($B438="","",DATE(YEAR('Calendario J'!$F115),MONTH('Calendario J'!$F115),DAY('Calendario J'!$F115)))</f>
        <v/>
      </c>
      <c r="F438" s="223">
        <f>IF($B438="","",TIME(HOUR('Calendario J'!$F115)+2,MINUTE('Calendario J'!$F115),0))</f>
        <v/>
      </c>
      <c r="G438" s="68">
        <f>IF($B438="","",'Calendario J'!$B116)</f>
        <v/>
      </c>
      <c r="H438" s="68">
        <f>IF($B438="","",Campionato!$D$2&amp;" "&amp;Campionato!$D$6)</f>
        <v/>
      </c>
      <c r="I438" s="68" t="inlineStr"/>
    </row>
    <row r="439">
      <c r="A439" s="68">
        <f>IF($B439="","","BEGIN:VEVENT
DTSTAMP:"&amp;TEXT(NOW(),"yyyymmdd")&amp;"T000001Z
UID:evt438@ClaudeCoworkBaskin
DTSTART;TZID=Europe/Rome:"&amp;TEXT($C439,"yyyymmdd")&amp;"T"&amp;TEXT($D439,"hhmmss")&amp;"
DTEND;TZID=Europe/Rome:"&amp;TEXT($E439,"yyyymmdd")&amp;"T"&amp;TEXT($F439,"hhmmss")&amp;"
SUMMARY:"&amp;$B439&amp;"
LOCATION:"&amp;$G439&amp;"
DESCRIPTION:"&amp;$H439&amp;"
END:VEVENT")</f>
        <v/>
      </c>
      <c r="B439" s="68">
        <f>IF('Calendario J'!$B118="","",'Calendario J'!$B118&amp;" vs "&amp;'Calendario J'!$D118&amp;" "&amp;'Calendario J'!$AC118)</f>
        <v/>
      </c>
      <c r="C439" s="222">
        <f>IF($B439="","",DATE(YEAR('Calendario J'!$F118),MONTH('Calendario J'!$F118),DAY('Calendario J'!$F118)))</f>
        <v/>
      </c>
      <c r="D439" s="223">
        <f>IF($B439="","",TIME(HOUR('Calendario J'!$F118),MINUTE('Calendario J'!$F118),0))</f>
        <v/>
      </c>
      <c r="E439" s="222">
        <f>IF($B439="","",DATE(YEAR('Calendario J'!$F118),MONTH('Calendario J'!$F118),DAY('Calendario J'!$F118)))</f>
        <v/>
      </c>
      <c r="F439" s="223">
        <f>IF($B439="","",TIME(HOUR('Calendario J'!$F118)+2,MINUTE('Calendario J'!$F118),0))</f>
        <v/>
      </c>
      <c r="G439" s="68">
        <f>IF($B439="","",'Calendario J'!$B119)</f>
        <v/>
      </c>
      <c r="H439" s="68">
        <f>IF($B439="","",Campionato!$D$2&amp;" "&amp;Campionato!$D$6)</f>
        <v/>
      </c>
      <c r="I439" s="68" t="inlineStr"/>
    </row>
    <row r="440">
      <c r="A440" s="68">
        <f>IF($B440="","","BEGIN:VEVENT
DTSTAMP:"&amp;TEXT(NOW(),"yyyymmdd")&amp;"T000001Z
UID:evt439@ClaudeCoworkBaskin
DTSTART;TZID=Europe/Rome:"&amp;TEXT($C440,"yyyymmdd")&amp;"T"&amp;TEXT($D440,"hhmmss")&amp;"
DTEND;TZID=Europe/Rome:"&amp;TEXT($E440,"yyyymmdd")&amp;"T"&amp;TEXT($F440,"hhmmss")&amp;"
SUMMARY:"&amp;$B440&amp;"
LOCATION:"&amp;$G440&amp;"
DESCRIPTION:"&amp;$H440&amp;"
END:VEVENT")</f>
        <v/>
      </c>
      <c r="B440" s="68">
        <f>IF('Calendario J'!$B121="","",'Calendario J'!$B121&amp;" vs "&amp;'Calendario J'!$D121&amp;" "&amp;'Calendario J'!$AC121)</f>
        <v/>
      </c>
      <c r="C440" s="222">
        <f>IF($B440="","",DATE(YEAR('Calendario J'!$F121),MONTH('Calendario J'!$F121),DAY('Calendario J'!$F121)))</f>
        <v/>
      </c>
      <c r="D440" s="223">
        <f>IF($B440="","",TIME(HOUR('Calendario J'!$F121),MINUTE('Calendario J'!$F121),0))</f>
        <v/>
      </c>
      <c r="E440" s="222">
        <f>IF($B440="","",DATE(YEAR('Calendario J'!$F121),MONTH('Calendario J'!$F121),DAY('Calendario J'!$F121)))</f>
        <v/>
      </c>
      <c r="F440" s="223">
        <f>IF($B440="","",TIME(HOUR('Calendario J'!$F121)+2,MINUTE('Calendario J'!$F121),0))</f>
        <v/>
      </c>
      <c r="G440" s="68">
        <f>IF($B440="","",'Calendario J'!$B122)</f>
        <v/>
      </c>
      <c r="H440" s="68">
        <f>IF($B440="","",Campionato!$D$2&amp;" "&amp;Campionato!$D$6)</f>
        <v/>
      </c>
      <c r="I440" s="68" t="inlineStr"/>
    </row>
    <row r="441">
      <c r="A441" s="68">
        <f>IF($B441="","","BEGIN:VEVENT
DTSTAMP:"&amp;TEXT(NOW(),"yyyymmdd")&amp;"T000001Z
UID:evt440@ClaudeCoworkBaskin
DTSTART;TZID=Europe/Rome:"&amp;TEXT($C441,"yyyymmdd")&amp;"T"&amp;TEXT($D441,"hhmmss")&amp;"
DTEND;TZID=Europe/Rome:"&amp;TEXT($E441,"yyyymmdd")&amp;"T"&amp;TEXT($F441,"hhmmss")&amp;"
SUMMARY:"&amp;$B441&amp;"
LOCATION:"&amp;$G441&amp;"
DESCRIPTION:"&amp;$H441&amp;"
END:VEVENT")</f>
        <v/>
      </c>
      <c r="B441" s="68">
        <f>IF('Calendario J'!$B124="","",'Calendario J'!$B124&amp;" vs "&amp;'Calendario J'!$D124&amp;" "&amp;'Calendario J'!$AC124)</f>
        <v/>
      </c>
      <c r="C441" s="222">
        <f>IF($B441="","",DATE(YEAR('Calendario J'!$F124),MONTH('Calendario J'!$F124),DAY('Calendario J'!$F124)))</f>
        <v/>
      </c>
      <c r="D441" s="223">
        <f>IF($B441="","",TIME(HOUR('Calendario J'!$F124),MINUTE('Calendario J'!$F124),0))</f>
        <v/>
      </c>
      <c r="E441" s="222">
        <f>IF($B441="","",DATE(YEAR('Calendario J'!$F124),MONTH('Calendario J'!$F124),DAY('Calendario J'!$F124)))</f>
        <v/>
      </c>
      <c r="F441" s="223">
        <f>IF($B441="","",TIME(HOUR('Calendario J'!$F124)+2,MINUTE('Calendario J'!$F124),0))</f>
        <v/>
      </c>
      <c r="G441" s="68">
        <f>IF($B441="","",'Calendario J'!$B125)</f>
        <v/>
      </c>
      <c r="H441" s="68">
        <f>IF($B441="","",Campionato!$D$2&amp;" "&amp;Campionato!$D$6)</f>
        <v/>
      </c>
      <c r="I441" s="68" t="inlineStr"/>
    </row>
    <row r="442">
      <c r="A442" s="68">
        <f>IF($B442="","","BEGIN:VEVENT
DTSTAMP:"&amp;TEXT(NOW(),"yyyymmdd")&amp;"T000001Z
UID:evt441@ClaudeCoworkBaskin
DTSTART;TZID=Europe/Rome:"&amp;TEXT($C442,"yyyymmdd")&amp;"T"&amp;TEXT($D442,"hhmmss")&amp;"
DTEND;TZID=Europe/Rome:"&amp;TEXT($E442,"yyyymmdd")&amp;"T"&amp;TEXT($F442,"hhmmss")&amp;"
SUMMARY:"&amp;$B442&amp;"
LOCATION:"&amp;$G442&amp;"
DESCRIPTION:"&amp;$H442&amp;"
END:VEVENT")</f>
        <v/>
      </c>
      <c r="B442" s="68">
        <f>IF('Calendario J'!$B129="","",'Calendario J'!$B129&amp;" vs "&amp;'Calendario J'!$D129&amp;" "&amp;'Calendario J'!$AC129)</f>
        <v/>
      </c>
      <c r="C442" s="222">
        <f>IF($B442="","",DATE(YEAR('Calendario J'!$F129),MONTH('Calendario J'!$F129),DAY('Calendario J'!$F129)))</f>
        <v/>
      </c>
      <c r="D442" s="223">
        <f>IF($B442="","",TIME(HOUR('Calendario J'!$F129),MINUTE('Calendario J'!$F129),0))</f>
        <v/>
      </c>
      <c r="E442" s="222">
        <f>IF($B442="","",DATE(YEAR('Calendario J'!$F129),MONTH('Calendario J'!$F129),DAY('Calendario J'!$F129)))</f>
        <v/>
      </c>
      <c r="F442" s="223">
        <f>IF($B442="","",TIME(HOUR('Calendario J'!$F129)+2,MINUTE('Calendario J'!$F129),0))</f>
        <v/>
      </c>
      <c r="G442" s="68">
        <f>IF($B442="","",'Calendario J'!$B130)</f>
        <v/>
      </c>
      <c r="H442" s="68">
        <f>IF($B442="","",Campionato!$D$2&amp;" "&amp;Campionato!$D$6)</f>
        <v/>
      </c>
      <c r="I442" s="68" t="inlineStr"/>
    </row>
    <row r="443">
      <c r="A443" s="68">
        <f>IF($B443="","","BEGIN:VEVENT
DTSTAMP:"&amp;TEXT(NOW(),"yyyymmdd")&amp;"T000001Z
UID:evt442@ClaudeCoworkBaskin
DTSTART;TZID=Europe/Rome:"&amp;TEXT($C443,"yyyymmdd")&amp;"T"&amp;TEXT($D443,"hhmmss")&amp;"
DTEND;TZID=Europe/Rome:"&amp;TEXT($E443,"yyyymmdd")&amp;"T"&amp;TEXT($F443,"hhmmss")&amp;"
SUMMARY:"&amp;$B443&amp;"
LOCATION:"&amp;$G443&amp;"
DESCRIPTION:"&amp;$H443&amp;"
END:VEVENT")</f>
        <v/>
      </c>
      <c r="B443" s="68">
        <f>IF('Calendario J'!$B132="","",'Calendario J'!$B132&amp;" vs "&amp;'Calendario J'!$D132&amp;" "&amp;'Calendario J'!$AC132)</f>
        <v/>
      </c>
      <c r="C443" s="222">
        <f>IF($B443="","",DATE(YEAR('Calendario J'!$F132),MONTH('Calendario J'!$F132),DAY('Calendario J'!$F132)))</f>
        <v/>
      </c>
      <c r="D443" s="223">
        <f>IF($B443="","",TIME(HOUR('Calendario J'!$F132),MINUTE('Calendario J'!$F132),0))</f>
        <v/>
      </c>
      <c r="E443" s="222">
        <f>IF($B443="","",DATE(YEAR('Calendario J'!$F132),MONTH('Calendario J'!$F132),DAY('Calendario J'!$F132)))</f>
        <v/>
      </c>
      <c r="F443" s="223">
        <f>IF($B443="","",TIME(HOUR('Calendario J'!$F132)+2,MINUTE('Calendario J'!$F132),0))</f>
        <v/>
      </c>
      <c r="G443" s="68">
        <f>IF($B443="","",'Calendario J'!$B133)</f>
        <v/>
      </c>
      <c r="H443" s="68">
        <f>IF($B443="","",Campionato!$D$2&amp;" "&amp;Campionato!$D$6)</f>
        <v/>
      </c>
      <c r="I443" s="68" t="inlineStr"/>
    </row>
    <row r="444">
      <c r="A444" s="68">
        <f>IF($B444="","","BEGIN:VEVENT
DTSTAMP:"&amp;TEXT(NOW(),"yyyymmdd")&amp;"T000001Z
UID:evt443@ClaudeCoworkBaskin
DTSTART;TZID=Europe/Rome:"&amp;TEXT($C444,"yyyymmdd")&amp;"T"&amp;TEXT($D444,"hhmmss")&amp;"
DTEND;TZID=Europe/Rome:"&amp;TEXT($E444,"yyyymmdd")&amp;"T"&amp;TEXT($F444,"hhmmss")&amp;"
SUMMARY:"&amp;$B444&amp;"
LOCATION:"&amp;$G444&amp;"
DESCRIPTION:"&amp;$H444&amp;"
END:VEVENT")</f>
        <v/>
      </c>
      <c r="B444" s="68">
        <f>IF('Calendario J'!$B135="","",'Calendario J'!$B135&amp;" vs "&amp;'Calendario J'!$D135&amp;" "&amp;'Calendario J'!$AC135)</f>
        <v/>
      </c>
      <c r="C444" s="222">
        <f>IF($B444="","",DATE(YEAR('Calendario J'!$F135),MONTH('Calendario J'!$F135),DAY('Calendario J'!$F135)))</f>
        <v/>
      </c>
      <c r="D444" s="223">
        <f>IF($B444="","",TIME(HOUR('Calendario J'!$F135),MINUTE('Calendario J'!$F135),0))</f>
        <v/>
      </c>
      <c r="E444" s="222">
        <f>IF($B444="","",DATE(YEAR('Calendario J'!$F135),MONTH('Calendario J'!$F135),DAY('Calendario J'!$F135)))</f>
        <v/>
      </c>
      <c r="F444" s="223">
        <f>IF($B444="","",TIME(HOUR('Calendario J'!$F135)+2,MINUTE('Calendario J'!$F135),0))</f>
        <v/>
      </c>
      <c r="G444" s="68">
        <f>IF($B444="","",'Calendario J'!$B136)</f>
        <v/>
      </c>
      <c r="H444" s="68">
        <f>IF($B444="","",Campionato!$D$2&amp;" "&amp;Campionato!$D$6)</f>
        <v/>
      </c>
      <c r="I444" s="68" t="inlineStr"/>
    </row>
    <row r="445">
      <c r="A445" s="68">
        <f>IF($B445="","","BEGIN:VEVENT
DTSTAMP:"&amp;TEXT(NOW(),"yyyymmdd")&amp;"T000001Z
UID:evt444@ClaudeCoworkBaskin
DTSTART;TZID=Europe/Rome:"&amp;TEXT($C445,"yyyymmdd")&amp;"T"&amp;TEXT($D445,"hhmmss")&amp;"
DTEND;TZID=Europe/Rome:"&amp;TEXT($E445,"yyyymmdd")&amp;"T"&amp;TEXT($F445,"hhmmss")&amp;"
SUMMARY:"&amp;$B445&amp;"
LOCATION:"&amp;$G445&amp;"
DESCRIPTION:"&amp;$H445&amp;"
END:VEVENT")</f>
        <v/>
      </c>
      <c r="B445" s="68">
        <f>IF('Calendario J'!$B138="","",'Calendario J'!$B138&amp;" vs "&amp;'Calendario J'!$D138&amp;" "&amp;'Calendario J'!$AC138)</f>
        <v/>
      </c>
      <c r="C445" s="222">
        <f>IF($B445="","",DATE(YEAR('Calendario J'!$F138),MONTH('Calendario J'!$F138),DAY('Calendario J'!$F138)))</f>
        <v/>
      </c>
      <c r="D445" s="223">
        <f>IF($B445="","",TIME(HOUR('Calendario J'!$F138),MINUTE('Calendario J'!$F138),0))</f>
        <v/>
      </c>
      <c r="E445" s="222">
        <f>IF($B445="","",DATE(YEAR('Calendario J'!$F138),MONTH('Calendario J'!$F138),DAY('Calendario J'!$F138)))</f>
        <v/>
      </c>
      <c r="F445" s="223">
        <f>IF($B445="","",TIME(HOUR('Calendario J'!$F138)+2,MINUTE('Calendario J'!$F138),0))</f>
        <v/>
      </c>
      <c r="G445" s="68">
        <f>IF($B445="","",'Calendario J'!$B139)</f>
        <v/>
      </c>
      <c r="H445" s="68">
        <f>IF($B445="","",Campionato!$D$2&amp;" "&amp;Campionato!$D$6)</f>
        <v/>
      </c>
      <c r="I445" s="68" t="inlineStr"/>
    </row>
    <row r="446">
      <c r="A446" s="68">
        <f>IF($B446="","","BEGIN:VEVENT
DTSTAMP:"&amp;TEXT(NOW(),"yyyymmdd")&amp;"T000001Z
UID:evt445@ClaudeCoworkBaskin
DTSTART;TZID=Europe/Rome:"&amp;TEXT($C446,"yyyymmdd")&amp;"T"&amp;TEXT($D446,"hhmmss")&amp;"
DTEND;TZID=Europe/Rome:"&amp;TEXT($E446,"yyyymmdd")&amp;"T"&amp;TEXT($F446,"hhmmss")&amp;"
SUMMARY:"&amp;$B446&amp;"
LOCATION:"&amp;$G446&amp;"
DESCRIPTION:"&amp;$H446&amp;"
END:VEVENT")</f>
        <v/>
      </c>
      <c r="B446" s="68">
        <f>IF('Calendario J'!$B141="","",'Calendario J'!$B141&amp;" vs "&amp;'Calendario J'!$D141&amp;" "&amp;'Calendario J'!$AC141)</f>
        <v/>
      </c>
      <c r="C446" s="222">
        <f>IF($B446="","",DATE(YEAR('Calendario J'!$F141),MONTH('Calendario J'!$F141),DAY('Calendario J'!$F141)))</f>
        <v/>
      </c>
      <c r="D446" s="223">
        <f>IF($B446="","",TIME(HOUR('Calendario J'!$F141),MINUTE('Calendario J'!$F141),0))</f>
        <v/>
      </c>
      <c r="E446" s="222">
        <f>IF($B446="","",DATE(YEAR('Calendario J'!$F141),MONTH('Calendario J'!$F141),DAY('Calendario J'!$F141)))</f>
        <v/>
      </c>
      <c r="F446" s="223">
        <f>IF($B446="","",TIME(HOUR('Calendario J'!$F141)+2,MINUTE('Calendario J'!$F141),0))</f>
        <v/>
      </c>
      <c r="G446" s="68">
        <f>IF($B446="","",'Calendario J'!$B142)</f>
        <v/>
      </c>
      <c r="H446" s="68">
        <f>IF($B446="","",Campionato!$D$2&amp;" "&amp;Campionato!$D$6)</f>
        <v/>
      </c>
      <c r="I446" s="68" t="inlineStr"/>
    </row>
    <row r="447">
      <c r="A447" s="68">
        <f>IF($B447="","","BEGIN:VEVENT
DTSTAMP:"&amp;TEXT(NOW(),"yyyymmdd")&amp;"T000001Z
UID:evt446@ClaudeCoworkBaskin
DTSTART;TZID=Europe/Rome:"&amp;TEXT($C447,"yyyymmdd")&amp;"T"&amp;TEXT($D447,"hhmmss")&amp;"
DTEND;TZID=Europe/Rome:"&amp;TEXT($E447,"yyyymmdd")&amp;"T"&amp;TEXT($F447,"hhmmss")&amp;"
SUMMARY:"&amp;$B447&amp;"
LOCATION:"&amp;$G447&amp;"
DESCRIPTION:"&amp;$H447&amp;"
END:VEVENT")</f>
        <v/>
      </c>
      <c r="B447" s="68">
        <f>IF('Calendario J'!$B146="","",'Calendario J'!$B146&amp;" vs "&amp;'Calendario J'!$D146&amp;" "&amp;'Calendario J'!$AC146)</f>
        <v/>
      </c>
      <c r="C447" s="222">
        <f>IF($B447="","",DATE(YEAR('Calendario J'!$F146),MONTH('Calendario J'!$F146),DAY('Calendario J'!$F146)))</f>
        <v/>
      </c>
      <c r="D447" s="223">
        <f>IF($B447="","",TIME(HOUR('Calendario J'!$F146),MINUTE('Calendario J'!$F146),0))</f>
        <v/>
      </c>
      <c r="E447" s="222">
        <f>IF($B447="","",DATE(YEAR('Calendario J'!$F146),MONTH('Calendario J'!$F146),DAY('Calendario J'!$F146)))</f>
        <v/>
      </c>
      <c r="F447" s="223">
        <f>IF($B447="","",TIME(HOUR('Calendario J'!$F146)+2,MINUTE('Calendario J'!$F146),0))</f>
        <v/>
      </c>
      <c r="G447" s="68">
        <f>IF($B447="","",'Calendario J'!$B147)</f>
        <v/>
      </c>
      <c r="H447" s="68">
        <f>IF($B447="","",Campionato!$D$2&amp;" "&amp;Campionato!$D$6)</f>
        <v/>
      </c>
      <c r="I447" s="68" t="inlineStr"/>
    </row>
    <row r="448">
      <c r="A448" s="68">
        <f>IF($B448="","","BEGIN:VEVENT
DTSTAMP:"&amp;TEXT(NOW(),"yyyymmdd")&amp;"T000001Z
UID:evt447@ClaudeCoworkBaskin
DTSTART;TZID=Europe/Rome:"&amp;TEXT($C448,"yyyymmdd")&amp;"T"&amp;TEXT($D448,"hhmmss")&amp;"
DTEND;TZID=Europe/Rome:"&amp;TEXT($E448,"yyyymmdd")&amp;"T"&amp;TEXT($F448,"hhmmss")&amp;"
SUMMARY:"&amp;$B448&amp;"
LOCATION:"&amp;$G448&amp;"
DESCRIPTION:"&amp;$H448&amp;"
END:VEVENT")</f>
        <v/>
      </c>
      <c r="B448" s="68">
        <f>IF('Calendario J'!$B149="","",'Calendario J'!$B149&amp;" vs "&amp;'Calendario J'!$D149&amp;" "&amp;'Calendario J'!$AC149)</f>
        <v/>
      </c>
      <c r="C448" s="222">
        <f>IF($B448="","",DATE(YEAR('Calendario J'!$F149),MONTH('Calendario J'!$F149),DAY('Calendario J'!$F149)))</f>
        <v/>
      </c>
      <c r="D448" s="223">
        <f>IF($B448="","",TIME(HOUR('Calendario J'!$F149),MINUTE('Calendario J'!$F149),0))</f>
        <v/>
      </c>
      <c r="E448" s="222">
        <f>IF($B448="","",DATE(YEAR('Calendario J'!$F149),MONTH('Calendario J'!$F149),DAY('Calendario J'!$F149)))</f>
        <v/>
      </c>
      <c r="F448" s="223">
        <f>IF($B448="","",TIME(HOUR('Calendario J'!$F149)+2,MINUTE('Calendario J'!$F149),0))</f>
        <v/>
      </c>
      <c r="G448" s="68">
        <f>IF($B448="","",'Calendario J'!$B150)</f>
        <v/>
      </c>
      <c r="H448" s="68">
        <f>IF($B448="","",Campionato!$D$2&amp;" "&amp;Campionato!$D$6)</f>
        <v/>
      </c>
      <c r="I448" s="68" t="inlineStr"/>
    </row>
    <row r="449">
      <c r="A449" s="68">
        <f>IF($B449="","","BEGIN:VEVENT
DTSTAMP:"&amp;TEXT(NOW(),"yyyymmdd")&amp;"T000001Z
UID:evt448@ClaudeCoworkBaskin
DTSTART;TZID=Europe/Rome:"&amp;TEXT($C449,"yyyymmdd")&amp;"T"&amp;TEXT($D449,"hhmmss")&amp;"
DTEND;TZID=Europe/Rome:"&amp;TEXT($E449,"yyyymmdd")&amp;"T"&amp;TEXT($F449,"hhmmss")&amp;"
SUMMARY:"&amp;$B449&amp;"
LOCATION:"&amp;$G449&amp;"
DESCRIPTION:"&amp;$H449&amp;"
END:VEVENT")</f>
        <v/>
      </c>
      <c r="B449" s="68">
        <f>IF('Calendario J'!$B152="","",'Calendario J'!$B152&amp;" vs "&amp;'Calendario J'!$D152&amp;" "&amp;'Calendario J'!$AC152)</f>
        <v/>
      </c>
      <c r="C449" s="222">
        <f>IF($B449="","",DATE(YEAR('Calendario J'!$F152),MONTH('Calendario J'!$F152),DAY('Calendario J'!$F152)))</f>
        <v/>
      </c>
      <c r="D449" s="223">
        <f>IF($B449="","",TIME(HOUR('Calendario J'!$F152),MINUTE('Calendario J'!$F152),0))</f>
        <v/>
      </c>
      <c r="E449" s="222">
        <f>IF($B449="","",DATE(YEAR('Calendario J'!$F152),MONTH('Calendario J'!$F152),DAY('Calendario J'!$F152)))</f>
        <v/>
      </c>
      <c r="F449" s="223">
        <f>IF($B449="","",TIME(HOUR('Calendario J'!$F152)+2,MINUTE('Calendario J'!$F152),0))</f>
        <v/>
      </c>
      <c r="G449" s="68">
        <f>IF($B449="","",'Calendario J'!$B153)</f>
        <v/>
      </c>
      <c r="H449" s="68">
        <f>IF($B449="","",Campionato!$D$2&amp;" "&amp;Campionato!$D$6)</f>
        <v/>
      </c>
      <c r="I449" s="68" t="inlineStr"/>
    </row>
    <row r="450">
      <c r="A450" s="68">
        <f>IF($B450="","","BEGIN:VEVENT
DTSTAMP:"&amp;TEXT(NOW(),"yyyymmdd")&amp;"T000001Z
UID:evt449@ClaudeCoworkBaskin
DTSTART;TZID=Europe/Rome:"&amp;TEXT($C450,"yyyymmdd")&amp;"T"&amp;TEXT($D450,"hhmmss")&amp;"
DTEND;TZID=Europe/Rome:"&amp;TEXT($E450,"yyyymmdd")&amp;"T"&amp;TEXT($F450,"hhmmss")&amp;"
SUMMARY:"&amp;$B450&amp;"
LOCATION:"&amp;$G450&amp;"
DESCRIPTION:"&amp;$H450&amp;"
END:VEVENT")</f>
        <v/>
      </c>
      <c r="B450" s="68">
        <f>IF('Calendario J'!$B155="","",'Calendario J'!$B155&amp;" vs "&amp;'Calendario J'!$D155&amp;" "&amp;'Calendario J'!$AC155)</f>
        <v/>
      </c>
      <c r="C450" s="222">
        <f>IF($B450="","",DATE(YEAR('Calendario J'!$F155),MONTH('Calendario J'!$F155),DAY('Calendario J'!$F155)))</f>
        <v/>
      </c>
      <c r="D450" s="223">
        <f>IF($B450="","",TIME(HOUR('Calendario J'!$F155),MINUTE('Calendario J'!$F155),0))</f>
        <v/>
      </c>
      <c r="E450" s="222">
        <f>IF($B450="","",DATE(YEAR('Calendario J'!$F155),MONTH('Calendario J'!$F155),DAY('Calendario J'!$F155)))</f>
        <v/>
      </c>
      <c r="F450" s="223">
        <f>IF($B450="","",TIME(HOUR('Calendario J'!$F155)+2,MINUTE('Calendario J'!$F155),0))</f>
        <v/>
      </c>
      <c r="G450" s="68">
        <f>IF($B450="","",'Calendario J'!$B156)</f>
        <v/>
      </c>
      <c r="H450" s="68">
        <f>IF($B450="","",Campionato!$D$2&amp;" "&amp;Campionato!$D$6)</f>
        <v/>
      </c>
      <c r="I450" s="68" t="inlineStr"/>
    </row>
    <row r="451">
      <c r="A451" s="68">
        <f>IF($B451="","","BEGIN:VEVENT
DTSTAMP:"&amp;TEXT(NOW(),"yyyymmdd")&amp;"T000001Z
UID:evt450@ClaudeCoworkBaskin
DTSTART;TZID=Europe/Rome:"&amp;TEXT($C451,"yyyymmdd")&amp;"T"&amp;TEXT($D451,"hhmmss")&amp;"
DTEND;TZID=Europe/Rome:"&amp;TEXT($E451,"yyyymmdd")&amp;"T"&amp;TEXT($F451,"hhmmss")&amp;"
SUMMARY:"&amp;$B451&amp;"
LOCATION:"&amp;$G451&amp;"
DESCRIPTION:"&amp;$H451&amp;"
END:VEVENT")</f>
        <v/>
      </c>
      <c r="B451" s="68">
        <f>IF('Calendario J'!$B158="","",'Calendario J'!$B158&amp;" vs "&amp;'Calendario J'!$D158&amp;" "&amp;'Calendario J'!$AC158)</f>
        <v/>
      </c>
      <c r="C451" s="222">
        <f>IF($B451="","",DATE(YEAR('Calendario J'!$F158),MONTH('Calendario J'!$F158),DAY('Calendario J'!$F158)))</f>
        <v/>
      </c>
      <c r="D451" s="223">
        <f>IF($B451="","",TIME(HOUR('Calendario J'!$F158),MINUTE('Calendario J'!$F158),0))</f>
        <v/>
      </c>
      <c r="E451" s="222">
        <f>IF($B451="","",DATE(YEAR('Calendario J'!$F158),MONTH('Calendario J'!$F158),DAY('Calendario J'!$F158)))</f>
        <v/>
      </c>
      <c r="F451" s="223">
        <f>IF($B451="","",TIME(HOUR('Calendario J'!$F158)+2,MINUTE('Calendario J'!$F158),0))</f>
        <v/>
      </c>
      <c r="G451" s="68">
        <f>IF($B451="","",'Calendario J'!$B159)</f>
        <v/>
      </c>
      <c r="H451" s="68">
        <f>IF($B451="","",Campionato!$D$2&amp;" "&amp;Campionato!$D$6)</f>
        <v/>
      </c>
      <c r="I451" s="68" t="inlineStr"/>
    </row>
    <row r="452">
      <c r="A452" s="68">
        <f>IF($B452="","","BEGIN:VEVENT
DTSTAMP:"&amp;TEXT(NOW(),"yyyymmdd")&amp;"T000001Z
UID:evt451@ClaudeCoworkBaskin
DTSTART;TZID=Europe/Rome:"&amp;TEXT($C452,"yyyymmdd")&amp;"T"&amp;TEXT($D452,"hhmmss")&amp;"
DTEND;TZID=Europe/Rome:"&amp;TEXT($E452,"yyyymmdd")&amp;"T"&amp;TEXT($F452,"hhmmss")&amp;"
SUMMARY:"&amp;$B452&amp;"
LOCATION:"&amp;$G452&amp;"
DESCRIPTION:"&amp;$H452&amp;"
END:VEVENT")</f>
        <v/>
      </c>
      <c r="B452" s="68">
        <f>IF('Playoff'!$B10="","",'Playoff'!$B10&amp;" vs "&amp;'Playoff'!$D10&amp;" "&amp;'Playoff'!$AC10)</f>
        <v/>
      </c>
      <c r="C452" s="222">
        <f>IF($B452="","",DATE(YEAR('Playoff'!$F10),MONTH('Playoff'!$F10),DAY('Playoff'!$F10)))</f>
        <v/>
      </c>
      <c r="D452" s="223">
        <f>IF($B452="","",TIME(HOUR('Playoff'!$F10),MINUTE('Playoff'!$F10),0))</f>
        <v/>
      </c>
      <c r="E452" s="222">
        <f>IF($B452="","",DATE(YEAR('Playoff'!$F10),MONTH('Playoff'!$F10),DAY('Playoff'!$F10)))</f>
        <v/>
      </c>
      <c r="F452" s="223">
        <f>IF($B452="","",TIME(HOUR('Playoff'!$F10)+2,MINUTE('Playoff'!$F10),0))</f>
        <v/>
      </c>
      <c r="G452" s="68">
        <f>IF($B452="","",'Playoff'!$B11)</f>
        <v/>
      </c>
      <c r="H452" s="68">
        <f>IF($B452="","",Campionato!$D$2&amp;" "&amp;Campionato!$D$6)</f>
        <v/>
      </c>
      <c r="I452" s="68" t="inlineStr"/>
    </row>
    <row r="453">
      <c r="A453" s="68">
        <f>IF($B453="","","BEGIN:VEVENT
DTSTAMP:"&amp;TEXT(NOW(),"yyyymmdd")&amp;"T000001Z
UID:evt452@ClaudeCoworkBaskin
DTSTART;TZID=Europe/Rome:"&amp;TEXT($C453,"yyyymmdd")&amp;"T"&amp;TEXT($D453,"hhmmss")&amp;"
DTEND;TZID=Europe/Rome:"&amp;TEXT($E453,"yyyymmdd")&amp;"T"&amp;TEXT($F453,"hhmmss")&amp;"
SUMMARY:"&amp;$B453&amp;"
LOCATION:"&amp;$G453&amp;"
DESCRIPTION:"&amp;$H453&amp;"
END:VEVENT")</f>
        <v/>
      </c>
      <c r="B453" s="68">
        <f>IF('Playoff'!$B13="","",'Playoff'!$B13&amp;" vs "&amp;'Playoff'!$D13&amp;" "&amp;'Playoff'!$AC13)</f>
        <v/>
      </c>
      <c r="C453" s="222">
        <f>IF($B453="","",DATE(YEAR('Playoff'!$F13),MONTH('Playoff'!$F13),DAY('Playoff'!$F13)))</f>
        <v/>
      </c>
      <c r="D453" s="223">
        <f>IF($B453="","",TIME(HOUR('Playoff'!$F13),MINUTE('Playoff'!$F13),0))</f>
        <v/>
      </c>
      <c r="E453" s="222">
        <f>IF($B453="","",DATE(YEAR('Playoff'!$F13),MONTH('Playoff'!$F13),DAY('Playoff'!$F13)))</f>
        <v/>
      </c>
      <c r="F453" s="223">
        <f>IF($B453="","",TIME(HOUR('Playoff'!$F13)+2,MINUTE('Playoff'!$F13),0))</f>
        <v/>
      </c>
      <c r="G453" s="68">
        <f>IF($B453="","",'Playoff'!$B14)</f>
        <v/>
      </c>
      <c r="H453" s="68">
        <f>IF($B453="","",Campionato!$D$2&amp;" "&amp;Campionato!$D$6)</f>
        <v/>
      </c>
      <c r="I453" s="68" t="inlineStr"/>
    </row>
    <row r="454">
      <c r="A454" s="68">
        <f>IF($B454="","","BEGIN:VEVENT
DTSTAMP:"&amp;TEXT(NOW(),"yyyymmdd")&amp;"T000001Z
UID:evt453@ClaudeCoworkBaskin
DTSTART;TZID=Europe/Rome:"&amp;TEXT($C454,"yyyymmdd")&amp;"T"&amp;TEXT($D454,"hhmmss")&amp;"
DTEND;TZID=Europe/Rome:"&amp;TEXT($E454,"yyyymmdd")&amp;"T"&amp;TEXT($F454,"hhmmss")&amp;"
SUMMARY:"&amp;$B454&amp;"
LOCATION:"&amp;$G454&amp;"
DESCRIPTION:"&amp;$H454&amp;"
END:VEVENT")</f>
        <v/>
      </c>
      <c r="B454" s="68">
        <f>IF('Playoff'!$B16="","",'Playoff'!$B16&amp;" vs "&amp;'Playoff'!$D16&amp;" "&amp;'Playoff'!$AC16)</f>
        <v/>
      </c>
      <c r="C454" s="222">
        <f>IF($B454="","",DATE(YEAR('Playoff'!$F16),MONTH('Playoff'!$F16),DAY('Playoff'!$F16)))</f>
        <v/>
      </c>
      <c r="D454" s="223">
        <f>IF($B454="","",TIME(HOUR('Playoff'!$F16),MINUTE('Playoff'!$F16),0))</f>
        <v/>
      </c>
      <c r="E454" s="222">
        <f>IF($B454="","",DATE(YEAR('Playoff'!$F16),MONTH('Playoff'!$F16),DAY('Playoff'!$F16)))</f>
        <v/>
      </c>
      <c r="F454" s="223">
        <f>IF($B454="","",TIME(HOUR('Playoff'!$F16)+2,MINUTE('Playoff'!$F16),0))</f>
        <v/>
      </c>
      <c r="G454" s="68">
        <f>IF($B454="","",'Playoff'!$B17)</f>
        <v/>
      </c>
      <c r="H454" s="68">
        <f>IF($B454="","",Campionato!$D$2&amp;" "&amp;Campionato!$D$6)</f>
        <v/>
      </c>
      <c r="I454" s="68" t="inlineStr"/>
    </row>
    <row r="455">
      <c r="A455" s="68">
        <f>IF($B455="","","BEGIN:VEVENT
DTSTAMP:"&amp;TEXT(NOW(),"yyyymmdd")&amp;"T000001Z
UID:evt454@ClaudeCoworkBaskin
DTSTART;TZID=Europe/Rome:"&amp;TEXT($C455,"yyyymmdd")&amp;"T"&amp;TEXT($D455,"hhmmss")&amp;"
DTEND;TZID=Europe/Rome:"&amp;TEXT($E455,"yyyymmdd")&amp;"T"&amp;TEXT($F455,"hhmmss")&amp;"
SUMMARY:"&amp;$B455&amp;"
LOCATION:"&amp;$G455&amp;"
DESCRIPTION:"&amp;$H455&amp;"
END:VEVENT")</f>
        <v/>
      </c>
      <c r="B455" s="68">
        <f>IF('Playoff'!$B19="","",'Playoff'!$B19&amp;" vs "&amp;'Playoff'!$D19&amp;" "&amp;'Playoff'!$AC19)</f>
        <v/>
      </c>
      <c r="C455" s="222">
        <f>IF($B455="","",DATE(YEAR('Playoff'!$F19),MONTH('Playoff'!$F19),DAY('Playoff'!$F19)))</f>
        <v/>
      </c>
      <c r="D455" s="223">
        <f>IF($B455="","",TIME(HOUR('Playoff'!$F19),MINUTE('Playoff'!$F19),0))</f>
        <v/>
      </c>
      <c r="E455" s="222">
        <f>IF($B455="","",DATE(YEAR('Playoff'!$F19),MONTH('Playoff'!$F19),DAY('Playoff'!$F19)))</f>
        <v/>
      </c>
      <c r="F455" s="223">
        <f>IF($B455="","",TIME(HOUR('Playoff'!$F19)+2,MINUTE('Playoff'!$F19),0))</f>
        <v/>
      </c>
      <c r="G455" s="68">
        <f>IF($B455="","",'Playoff'!$B20)</f>
        <v/>
      </c>
      <c r="H455" s="68">
        <f>IF($B455="","",Campionato!$D$2&amp;" "&amp;Campionato!$D$6)</f>
        <v/>
      </c>
      <c r="I455" s="68" t="inlineStr"/>
    </row>
    <row r="456">
      <c r="A456" s="68">
        <f>IF($B456="","","BEGIN:VEVENT
DTSTAMP:"&amp;TEXT(NOW(),"yyyymmdd")&amp;"T000001Z
UID:evt455@ClaudeCoworkBaskin
DTSTART;TZID=Europe/Rome:"&amp;TEXT($C456,"yyyymmdd")&amp;"T"&amp;TEXT($D456,"hhmmss")&amp;"
DTEND;TZID=Europe/Rome:"&amp;TEXT($E456,"yyyymmdd")&amp;"T"&amp;TEXT($F456,"hhmmss")&amp;"
SUMMARY:"&amp;$B456&amp;"
LOCATION:"&amp;$G456&amp;"
DESCRIPTION:"&amp;$H456&amp;"
END:VEVENT")</f>
        <v/>
      </c>
      <c r="B456" s="68">
        <f>IF('Playoff'!$B22="","",'Playoff'!$B22&amp;" vs "&amp;'Playoff'!$D22&amp;" "&amp;'Playoff'!$AC22)</f>
        <v/>
      </c>
      <c r="C456" s="222">
        <f>IF($B456="","",DATE(YEAR('Playoff'!$F22),MONTH('Playoff'!$F22),DAY('Playoff'!$F22)))</f>
        <v/>
      </c>
      <c r="D456" s="223">
        <f>IF($B456="","",TIME(HOUR('Playoff'!$F22),MINUTE('Playoff'!$F22),0))</f>
        <v/>
      </c>
      <c r="E456" s="222">
        <f>IF($B456="","",DATE(YEAR('Playoff'!$F22),MONTH('Playoff'!$F22),DAY('Playoff'!$F22)))</f>
        <v/>
      </c>
      <c r="F456" s="223">
        <f>IF($B456="","",TIME(HOUR('Playoff'!$F22)+2,MINUTE('Playoff'!$F22),0))</f>
        <v/>
      </c>
      <c r="G456" s="68">
        <f>IF($B456="","",'Playoff'!$B23)</f>
        <v/>
      </c>
      <c r="H456" s="68">
        <f>IF($B456="","",Campionato!$D$2&amp;" "&amp;Campionato!$D$6)</f>
        <v/>
      </c>
      <c r="I456" s="68" t="inlineStr"/>
    </row>
    <row r="457">
      <c r="A457" s="68">
        <f>IF($B457="","","BEGIN:VEVENT
DTSTAMP:"&amp;TEXT(NOW(),"yyyymmdd")&amp;"T000001Z
UID:evt456@ClaudeCoworkBaskin
DTSTART;TZID=Europe/Rome:"&amp;TEXT($C457,"yyyymmdd")&amp;"T"&amp;TEXT($D457,"hhmmss")&amp;"
DTEND;TZID=Europe/Rome:"&amp;TEXT($E457,"yyyymmdd")&amp;"T"&amp;TEXT($F457,"hhmmss")&amp;"
SUMMARY:"&amp;$B457&amp;"
LOCATION:"&amp;$G457&amp;"
DESCRIPTION:"&amp;$H457&amp;"
END:VEVENT")</f>
        <v/>
      </c>
      <c r="B457" s="68">
        <f>IF('Playoff'!$B25="","",'Playoff'!$B25&amp;" vs "&amp;'Playoff'!$D25&amp;" "&amp;'Playoff'!$AC25)</f>
        <v/>
      </c>
      <c r="C457" s="222">
        <f>IF($B457="","",DATE(YEAR('Playoff'!$F25),MONTH('Playoff'!$F25),DAY('Playoff'!$F25)))</f>
        <v/>
      </c>
      <c r="D457" s="223">
        <f>IF($B457="","",TIME(HOUR('Playoff'!$F25),MINUTE('Playoff'!$F25),0))</f>
        <v/>
      </c>
      <c r="E457" s="222">
        <f>IF($B457="","",DATE(YEAR('Playoff'!$F25),MONTH('Playoff'!$F25),DAY('Playoff'!$F25)))</f>
        <v/>
      </c>
      <c r="F457" s="223">
        <f>IF($B457="","",TIME(HOUR('Playoff'!$F25)+2,MINUTE('Playoff'!$F25),0))</f>
        <v/>
      </c>
      <c r="G457" s="68">
        <f>IF($B457="","",'Playoff'!$B26)</f>
        <v/>
      </c>
      <c r="H457" s="68">
        <f>IF($B457="","",Campionato!$D$2&amp;" "&amp;Campionato!$D$6)</f>
        <v/>
      </c>
      <c r="I457" s="68" t="inlineStr"/>
    </row>
    <row r="458">
      <c r="A458" s="68">
        <f>IF($B458="","","BEGIN:VEVENT
DTSTAMP:"&amp;TEXT(NOW(),"yyyymmdd")&amp;"T000001Z
UID:evt457@ClaudeCoworkBaskin
DTSTART;TZID=Europe/Rome:"&amp;TEXT($C458,"yyyymmdd")&amp;"T"&amp;TEXT($D458,"hhmmss")&amp;"
DTEND;TZID=Europe/Rome:"&amp;TEXT($E458,"yyyymmdd")&amp;"T"&amp;TEXT($F458,"hhmmss")&amp;"
SUMMARY:"&amp;$B458&amp;"
LOCATION:"&amp;$G458&amp;"
DESCRIPTION:"&amp;$H458&amp;"
END:VEVENT")</f>
        <v/>
      </c>
      <c r="B458" s="68">
        <f>IF('Playoff'!$B28="","",'Playoff'!$B28&amp;" vs "&amp;'Playoff'!$D28&amp;" "&amp;'Playoff'!$AC28)</f>
        <v/>
      </c>
      <c r="C458" s="222">
        <f>IF($B458="","",DATE(YEAR('Playoff'!$F28),MONTH('Playoff'!$F28),DAY('Playoff'!$F28)))</f>
        <v/>
      </c>
      <c r="D458" s="223">
        <f>IF($B458="","",TIME(HOUR('Playoff'!$F28),MINUTE('Playoff'!$F28),0))</f>
        <v/>
      </c>
      <c r="E458" s="222">
        <f>IF($B458="","",DATE(YEAR('Playoff'!$F28),MONTH('Playoff'!$F28),DAY('Playoff'!$F28)))</f>
        <v/>
      </c>
      <c r="F458" s="223">
        <f>IF($B458="","",TIME(HOUR('Playoff'!$F28)+2,MINUTE('Playoff'!$F28),0))</f>
        <v/>
      </c>
      <c r="G458" s="68">
        <f>IF($B458="","",'Playoff'!$B29)</f>
        <v/>
      </c>
      <c r="H458" s="68">
        <f>IF($B458="","",Campionato!$D$2&amp;" "&amp;Campionato!$D$6)</f>
        <v/>
      </c>
      <c r="I458" s="68" t="inlineStr"/>
    </row>
    <row r="459">
      <c r="A459" s="68">
        <f>IF($B459="","","BEGIN:VEVENT
DTSTAMP:"&amp;TEXT(NOW(),"yyyymmdd")&amp;"T000001Z
UID:evt458@ClaudeCoworkBaskin
DTSTART;TZID=Europe/Rome:"&amp;TEXT($C459,"yyyymmdd")&amp;"T"&amp;TEXT($D459,"hhmmss")&amp;"
DTEND;TZID=Europe/Rome:"&amp;TEXT($E459,"yyyymmdd")&amp;"T"&amp;TEXT($F459,"hhmmss")&amp;"
SUMMARY:"&amp;$B459&amp;"
LOCATION:"&amp;$G459&amp;"
DESCRIPTION:"&amp;$H459&amp;"
END:VEVENT")</f>
        <v/>
      </c>
      <c r="B459" s="68">
        <f>IF('Playoff'!$B31="","",'Playoff'!$B31&amp;" vs "&amp;'Playoff'!$D31&amp;" "&amp;'Playoff'!$AC31)</f>
        <v/>
      </c>
      <c r="C459" s="222">
        <f>IF($B459="","",DATE(YEAR('Playoff'!$F31),MONTH('Playoff'!$F31),DAY('Playoff'!$F31)))</f>
        <v/>
      </c>
      <c r="D459" s="223">
        <f>IF($B459="","",TIME(HOUR('Playoff'!$F31),MINUTE('Playoff'!$F31),0))</f>
        <v/>
      </c>
      <c r="E459" s="222">
        <f>IF($B459="","",DATE(YEAR('Playoff'!$F31),MONTH('Playoff'!$F31),DAY('Playoff'!$F31)))</f>
        <v/>
      </c>
      <c r="F459" s="223">
        <f>IF($B459="","",TIME(HOUR('Playoff'!$F31)+2,MINUTE('Playoff'!$F31),0))</f>
        <v/>
      </c>
      <c r="G459" s="68">
        <f>IF($B459="","",'Playoff'!$B32)</f>
        <v/>
      </c>
      <c r="H459" s="68">
        <f>IF($B459="","",Campionato!$D$2&amp;" "&amp;Campionato!$D$6)</f>
        <v/>
      </c>
      <c r="I459" s="68" t="inlineStr"/>
    </row>
    <row r="460">
      <c r="A460" s="68">
        <f>IF($B460="","","BEGIN:VEVENT
DTSTAMP:"&amp;TEXT(NOW(),"yyyymmdd")&amp;"T000001Z
UID:evt459@ClaudeCoworkBaskin
DTSTART;TZID=Europe/Rome:"&amp;TEXT($C460,"yyyymmdd")&amp;"T"&amp;TEXT($D460,"hhmmss")&amp;"
DTEND;TZID=Europe/Rome:"&amp;TEXT($E460,"yyyymmdd")&amp;"T"&amp;TEXT($F460,"hhmmss")&amp;"
SUMMARY:"&amp;$B460&amp;"
LOCATION:"&amp;$G460&amp;"
DESCRIPTION:"&amp;$H460&amp;"
END:VEVENT")</f>
        <v/>
      </c>
      <c r="B460" s="68">
        <f>IF('Playoff'!$B36="","",'Playoff'!$B36&amp;" vs "&amp;'Playoff'!$D36&amp;" "&amp;'Playoff'!$AC36)</f>
        <v/>
      </c>
      <c r="C460" s="222">
        <f>IF($B460="","",DATE(YEAR('Playoff'!$F36),MONTH('Playoff'!$F36),DAY('Playoff'!$F36)))</f>
        <v/>
      </c>
      <c r="D460" s="223">
        <f>IF($B460="","",TIME(HOUR('Playoff'!$F36),MINUTE('Playoff'!$F36),0))</f>
        <v/>
      </c>
      <c r="E460" s="222">
        <f>IF($B460="","",DATE(YEAR('Playoff'!$F36),MONTH('Playoff'!$F36),DAY('Playoff'!$F36)))</f>
        <v/>
      </c>
      <c r="F460" s="223">
        <f>IF($B460="","",TIME(HOUR('Playoff'!$F36)+2,MINUTE('Playoff'!$F36),0))</f>
        <v/>
      </c>
      <c r="G460" s="68">
        <f>IF($B460="","",'Playoff'!$B37)</f>
        <v/>
      </c>
      <c r="H460" s="68">
        <f>IF($B460="","",Campionato!$D$2&amp;" "&amp;Campionato!$D$6)</f>
        <v/>
      </c>
      <c r="I460" s="68" t="inlineStr"/>
    </row>
    <row r="461">
      <c r="A461" s="68">
        <f>IF($B461="","","BEGIN:VEVENT
DTSTAMP:"&amp;TEXT(NOW(),"yyyymmdd")&amp;"T000001Z
UID:evt460@ClaudeCoworkBaskin
DTSTART;TZID=Europe/Rome:"&amp;TEXT($C461,"yyyymmdd")&amp;"T"&amp;TEXT($D461,"hhmmss")&amp;"
DTEND;TZID=Europe/Rome:"&amp;TEXT($E461,"yyyymmdd")&amp;"T"&amp;TEXT($F461,"hhmmss")&amp;"
SUMMARY:"&amp;$B461&amp;"
LOCATION:"&amp;$G461&amp;"
DESCRIPTION:"&amp;$H461&amp;"
END:VEVENT")</f>
        <v/>
      </c>
      <c r="B461" s="68">
        <f>IF('Playoff'!$B39="","",'Playoff'!$B39&amp;" vs "&amp;'Playoff'!$D39&amp;" "&amp;'Playoff'!$AC39)</f>
        <v/>
      </c>
      <c r="C461" s="222">
        <f>IF($B461="","",DATE(YEAR('Playoff'!$F39),MONTH('Playoff'!$F39),DAY('Playoff'!$F39)))</f>
        <v/>
      </c>
      <c r="D461" s="223">
        <f>IF($B461="","",TIME(HOUR('Playoff'!$F39),MINUTE('Playoff'!$F39),0))</f>
        <v/>
      </c>
      <c r="E461" s="222">
        <f>IF($B461="","",DATE(YEAR('Playoff'!$F39),MONTH('Playoff'!$F39),DAY('Playoff'!$F39)))</f>
        <v/>
      </c>
      <c r="F461" s="223">
        <f>IF($B461="","",TIME(HOUR('Playoff'!$F39)+2,MINUTE('Playoff'!$F39),0))</f>
        <v/>
      </c>
      <c r="G461" s="68">
        <f>IF($B461="","",'Playoff'!$B40)</f>
        <v/>
      </c>
      <c r="H461" s="68">
        <f>IF($B461="","",Campionato!$D$2&amp;" "&amp;Campionato!$D$6)</f>
        <v/>
      </c>
      <c r="I461" s="68" t="inlineStr"/>
    </row>
    <row r="462">
      <c r="A462" s="68">
        <f>IF($B462="","","BEGIN:VEVENT
DTSTAMP:"&amp;TEXT(NOW(),"yyyymmdd")&amp;"T000001Z
UID:evt461@ClaudeCoworkBaskin
DTSTART;TZID=Europe/Rome:"&amp;TEXT($C462,"yyyymmdd")&amp;"T"&amp;TEXT($D462,"hhmmss")&amp;"
DTEND;TZID=Europe/Rome:"&amp;TEXT($E462,"yyyymmdd")&amp;"T"&amp;TEXT($F462,"hhmmss")&amp;"
SUMMARY:"&amp;$B462&amp;"
LOCATION:"&amp;$G462&amp;"
DESCRIPTION:"&amp;$H462&amp;"
END:VEVENT")</f>
        <v/>
      </c>
      <c r="B462" s="68">
        <f>IF('Playoff'!$B42="","",'Playoff'!$B42&amp;" vs "&amp;'Playoff'!$D42&amp;" "&amp;'Playoff'!$AC42)</f>
        <v/>
      </c>
      <c r="C462" s="222">
        <f>IF($B462="","",DATE(YEAR('Playoff'!$F42),MONTH('Playoff'!$F42),DAY('Playoff'!$F42)))</f>
        <v/>
      </c>
      <c r="D462" s="223">
        <f>IF($B462="","",TIME(HOUR('Playoff'!$F42),MINUTE('Playoff'!$F42),0))</f>
        <v/>
      </c>
      <c r="E462" s="222">
        <f>IF($B462="","",DATE(YEAR('Playoff'!$F42),MONTH('Playoff'!$F42),DAY('Playoff'!$F42)))</f>
        <v/>
      </c>
      <c r="F462" s="223">
        <f>IF($B462="","",TIME(HOUR('Playoff'!$F42)+2,MINUTE('Playoff'!$F42),0))</f>
        <v/>
      </c>
      <c r="G462" s="68">
        <f>IF($B462="","",'Playoff'!$B43)</f>
        <v/>
      </c>
      <c r="H462" s="68">
        <f>IF($B462="","",Campionato!$D$2&amp;" "&amp;Campionato!$D$6)</f>
        <v/>
      </c>
      <c r="I462" s="68" t="inlineStr"/>
    </row>
    <row r="463">
      <c r="A463" s="68">
        <f>IF($B463="","","BEGIN:VEVENT
DTSTAMP:"&amp;TEXT(NOW(),"yyyymmdd")&amp;"T000001Z
UID:evt462@ClaudeCoworkBaskin
DTSTART;TZID=Europe/Rome:"&amp;TEXT($C463,"yyyymmdd")&amp;"T"&amp;TEXT($D463,"hhmmss")&amp;"
DTEND;TZID=Europe/Rome:"&amp;TEXT($E463,"yyyymmdd")&amp;"T"&amp;TEXT($F463,"hhmmss")&amp;"
SUMMARY:"&amp;$B463&amp;"
LOCATION:"&amp;$G463&amp;"
DESCRIPTION:"&amp;$H463&amp;"
END:VEVENT")</f>
        <v/>
      </c>
      <c r="B463" s="68">
        <f>IF('Playoff'!$B45="","",'Playoff'!$B45&amp;" vs "&amp;'Playoff'!$D45&amp;" "&amp;'Playoff'!$AC45)</f>
        <v/>
      </c>
      <c r="C463" s="222">
        <f>IF($B463="","",DATE(YEAR('Playoff'!$F45),MONTH('Playoff'!$F45),DAY('Playoff'!$F45)))</f>
        <v/>
      </c>
      <c r="D463" s="223">
        <f>IF($B463="","",TIME(HOUR('Playoff'!$F45),MINUTE('Playoff'!$F45),0))</f>
        <v/>
      </c>
      <c r="E463" s="222">
        <f>IF($B463="","",DATE(YEAR('Playoff'!$F45),MONTH('Playoff'!$F45),DAY('Playoff'!$F45)))</f>
        <v/>
      </c>
      <c r="F463" s="223">
        <f>IF($B463="","",TIME(HOUR('Playoff'!$F45)+2,MINUTE('Playoff'!$F45),0))</f>
        <v/>
      </c>
      <c r="G463" s="68">
        <f>IF($B463="","",'Playoff'!$B46)</f>
        <v/>
      </c>
      <c r="H463" s="68">
        <f>IF($B463="","",Campionato!$D$2&amp;" "&amp;Campionato!$D$6)</f>
        <v/>
      </c>
      <c r="I463" s="68" t="inlineStr"/>
    </row>
    <row r="464">
      <c r="A464" s="68">
        <f>IF($B464="","","BEGIN:VEVENT
DTSTAMP:"&amp;TEXT(NOW(),"yyyymmdd")&amp;"T000001Z
UID:evt463@ClaudeCoworkBaskin
DTSTART;TZID=Europe/Rome:"&amp;TEXT($C464,"yyyymmdd")&amp;"T"&amp;TEXT($D464,"hhmmss")&amp;"
DTEND;TZID=Europe/Rome:"&amp;TEXT($E464,"yyyymmdd")&amp;"T"&amp;TEXT($F464,"hhmmss")&amp;"
SUMMARY:"&amp;$B464&amp;"
LOCATION:"&amp;$G464&amp;"
DESCRIPTION:"&amp;$H464&amp;"
END:VEVENT")</f>
        <v/>
      </c>
      <c r="B464" s="68">
        <f>IF('Playoff'!$B50="","",'Playoff'!$B50&amp;" vs "&amp;'Playoff'!$D50&amp;" "&amp;'Playoff'!$AC50)</f>
        <v/>
      </c>
      <c r="C464" s="222">
        <f>IF($B464="","",DATE(YEAR('Playoff'!$F50),MONTH('Playoff'!$F50),DAY('Playoff'!$F50)))</f>
        <v/>
      </c>
      <c r="D464" s="223">
        <f>IF($B464="","",TIME(HOUR('Playoff'!$F50),MINUTE('Playoff'!$F50),0))</f>
        <v/>
      </c>
      <c r="E464" s="222">
        <f>IF($B464="","",DATE(YEAR('Playoff'!$F50),MONTH('Playoff'!$F50),DAY('Playoff'!$F50)))</f>
        <v/>
      </c>
      <c r="F464" s="223">
        <f>IF($B464="","",TIME(HOUR('Playoff'!$F50)+2,MINUTE('Playoff'!$F50),0))</f>
        <v/>
      </c>
      <c r="G464" s="68">
        <f>IF($B464="","",'Playoff'!$B51)</f>
        <v/>
      </c>
      <c r="H464" s="68">
        <f>IF($B464="","",Campionato!$D$2&amp;" "&amp;Campionato!$D$6)</f>
        <v/>
      </c>
      <c r="I464" s="68" t="inlineStr"/>
    </row>
    <row r="465">
      <c r="A465" s="68">
        <f>IF($B465="","","BEGIN:VEVENT
DTSTAMP:"&amp;TEXT(NOW(),"yyyymmdd")&amp;"T000001Z
UID:evt464@ClaudeCoworkBaskin
DTSTART;TZID=Europe/Rome:"&amp;TEXT($C465,"yyyymmdd")&amp;"T"&amp;TEXT($D465,"hhmmss")&amp;"
DTEND;TZID=Europe/Rome:"&amp;TEXT($E465,"yyyymmdd")&amp;"T"&amp;TEXT($F465,"hhmmss")&amp;"
SUMMARY:"&amp;$B465&amp;"
LOCATION:"&amp;$G465&amp;"
DESCRIPTION:"&amp;$H465&amp;"
END:VEVENT")</f>
        <v/>
      </c>
      <c r="B465" s="68">
        <f>IF('Playoff'!$B53="","",'Playoff'!$B53&amp;" vs "&amp;'Playoff'!$D53&amp;" "&amp;'Playoff'!$AC53)</f>
        <v/>
      </c>
      <c r="C465" s="222">
        <f>IF($B465="","",DATE(YEAR('Playoff'!$F53),MONTH('Playoff'!$F53),DAY('Playoff'!$F53)))</f>
        <v/>
      </c>
      <c r="D465" s="223">
        <f>IF($B465="","",TIME(HOUR('Playoff'!$F53),MINUTE('Playoff'!$F53),0))</f>
        <v/>
      </c>
      <c r="E465" s="222">
        <f>IF($B465="","",DATE(YEAR('Playoff'!$F53),MONTH('Playoff'!$F53),DAY('Playoff'!$F53)))</f>
        <v/>
      </c>
      <c r="F465" s="223">
        <f>IF($B465="","",TIME(HOUR('Playoff'!$F53)+2,MINUTE('Playoff'!$F53),0))</f>
        <v/>
      </c>
      <c r="G465" s="68">
        <f>IF($B465="","",'Playoff'!$B54)</f>
        <v/>
      </c>
      <c r="H465" s="68">
        <f>IF($B465="","",Campionato!$D$2&amp;" "&amp;Campionato!$D$6)</f>
        <v/>
      </c>
      <c r="I465" s="68" t="inlineStr"/>
    </row>
    <row r="466">
      <c r="A466" s="68">
        <f>IF($B466="","","BEGIN:VEVENT
DTSTAMP:"&amp;TEXT(NOW(),"yyyymmdd")&amp;"T000001Z
UID:evt465@ClaudeCoworkBaskin
DTSTART;TZID=Europe/Rome:"&amp;TEXT($C466,"yyyymmdd")&amp;"T"&amp;TEXT($D466,"hhmmss")&amp;"
DTEND;TZID=Europe/Rome:"&amp;TEXT($E466,"yyyymmdd")&amp;"T"&amp;TEXT($F466,"hhmmss")&amp;"
SUMMARY:"&amp;$B466&amp;"
LOCATION:"&amp;$G466&amp;"
DESCRIPTION:"&amp;$H466&amp;"
END:VEVENT")</f>
        <v/>
      </c>
      <c r="B466" s="68">
        <f>IF('Playoff'!$B58="","",'Playoff'!$B58&amp;" vs "&amp;'Playoff'!$D58&amp;" "&amp;'Playoff'!$AC58)</f>
        <v/>
      </c>
      <c r="C466" s="222">
        <f>IF($B466="","",DATE(YEAR('Playoff'!$F58),MONTH('Playoff'!$F58),DAY('Playoff'!$F58)))</f>
        <v/>
      </c>
      <c r="D466" s="223">
        <f>IF($B466="","",TIME(HOUR('Playoff'!$F58),MINUTE('Playoff'!$F58),0))</f>
        <v/>
      </c>
      <c r="E466" s="222">
        <f>IF($B466="","",DATE(YEAR('Playoff'!$F58),MONTH('Playoff'!$F58),DAY('Playoff'!$F58)))</f>
        <v/>
      </c>
      <c r="F466" s="223">
        <f>IF($B466="","",TIME(HOUR('Playoff'!$F58)+2,MINUTE('Playoff'!$F58),0))</f>
        <v/>
      </c>
      <c r="G466" s="68">
        <f>IF($B466="","",'Playoff'!$B59)</f>
        <v/>
      </c>
      <c r="H466" s="68">
        <f>IF($B466="","",Campionato!$D$2&amp;" "&amp;Campionato!$D$6)</f>
        <v/>
      </c>
      <c r="I466" s="68" t="inlineStr"/>
    </row>
    <row r="467">
      <c r="A467" s="68">
        <f>IF($B467="","","BEGIN:VEVENT
DTSTAMP:"&amp;TEXT(NOW(),"yyyymmdd")&amp;"T000001Z
UID:evt466@ClaudeCoworkBaskin
DTSTART;TZID=Europe/Rome:"&amp;TEXT($C467,"yyyymmdd")&amp;"T"&amp;TEXT($D467,"hhmmss")&amp;"
DTEND;TZID=Europe/Rome:"&amp;TEXT($E467,"yyyymmdd")&amp;"T"&amp;TEXT($F467,"hhmmss")&amp;"
SUMMARY:"&amp;$B467&amp;"
LOCATION:"&amp;$G467&amp;"
DESCRIPTION:"&amp;$H467&amp;"
END:VEVENT")</f>
        <v/>
      </c>
      <c r="B467" s="68">
        <f>IF('Playoff'!$B61="","",'Playoff'!$B61&amp;" vs "&amp;'Playoff'!$D61&amp;" "&amp;'Playoff'!$AC61)</f>
        <v/>
      </c>
      <c r="C467" s="222">
        <f>IF($B467="","",DATE(YEAR('Playoff'!$F61),MONTH('Playoff'!$F61),DAY('Playoff'!$F61)))</f>
        <v/>
      </c>
      <c r="D467" s="223">
        <f>IF($B467="","",TIME(HOUR('Playoff'!$F61),MINUTE('Playoff'!$F61),0))</f>
        <v/>
      </c>
      <c r="E467" s="222">
        <f>IF($B467="","",DATE(YEAR('Playoff'!$F61),MONTH('Playoff'!$F61),DAY('Playoff'!$F61)))</f>
        <v/>
      </c>
      <c r="F467" s="223">
        <f>IF($B467="","",TIME(HOUR('Playoff'!$F61)+2,MINUTE('Playoff'!$F61),0))</f>
        <v/>
      </c>
      <c r="G467" s="68">
        <f>IF($B467="","",'Playoff'!$B62)</f>
        <v/>
      </c>
      <c r="H467" s="68">
        <f>IF($B467="","",Campionato!$D$2&amp;" "&amp;Campionato!$D$6)</f>
        <v/>
      </c>
      <c r="I467" s="68" t="inlineStr"/>
    </row>
    <row r="469">
      <c r="A469" s="68">
        <f>"END:VCALENDAR"</f>
        <v/>
      </c>
    </row>
  </sheetData>
  <pageMargins left="0.75" right="0.75" top="1" bottom="1" header="0.5" footer="0.5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5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4" t="inlineStr">
        <is>
          <t>Squadra A</t>
        </is>
      </c>
      <c r="B1" s="54" t="inlineStr">
        <is>
          <t>Vinta A</t>
        </is>
      </c>
      <c r="C1" s="54" t="inlineStr">
        <is>
          <t>Forfait A</t>
        </is>
      </c>
      <c r="D1" s="54" t="inlineStr">
        <is>
          <t>Persa A</t>
        </is>
      </c>
      <c r="E1" s="54" t="inlineStr">
        <is>
          <t>Punti Fatti A</t>
        </is>
      </c>
      <c r="F1" s="54" t="inlineStr">
        <is>
          <t>Punti Subiti A</t>
        </is>
      </c>
      <c r="G1" s="54" t="inlineStr">
        <is>
          <t>Differenza A</t>
        </is>
      </c>
      <c r="H1" s="54" t="inlineStr">
        <is>
          <t>Squadra B</t>
        </is>
      </c>
      <c r="I1" s="54" t="inlineStr">
        <is>
          <t>Vinta B</t>
        </is>
      </c>
      <c r="J1" s="54" t="inlineStr">
        <is>
          <t>Forfait B</t>
        </is>
      </c>
      <c r="K1" s="54" t="inlineStr">
        <is>
          <t>Persa B</t>
        </is>
      </c>
      <c r="L1" s="54" t="inlineStr">
        <is>
          <t>Punti Fatti B</t>
        </is>
      </c>
      <c r="M1" s="54" t="inlineStr">
        <is>
          <t>Punti Subiti B</t>
        </is>
      </c>
      <c r="N1" s="54" t="inlineStr">
        <is>
          <t>Differenza B</t>
        </is>
      </c>
      <c r="P1" s="51" t="inlineStr">
        <is>
          <t>Consolidamento delle righe di servizio dei fogli Calendario A-J: una riga per gara. Le classifiche cercano qui per NOME squadra, quindi il girone dipende solo dalla lettera in Campionato!E.</t>
        </is>
      </c>
    </row>
    <row r="2">
      <c r="A2" s="68">
        <f>'Calendario A'!M10</f>
        <v/>
      </c>
      <c r="B2" s="68">
        <f>'Calendario A'!N10</f>
        <v/>
      </c>
      <c r="C2" s="68">
        <f>'Calendario A'!O10</f>
        <v/>
      </c>
      <c r="D2" s="68">
        <f>'Calendario A'!P10</f>
        <v/>
      </c>
      <c r="E2" s="68">
        <f>'Calendario A'!Q10</f>
        <v/>
      </c>
      <c r="F2" s="68">
        <f>'Calendario A'!R10</f>
        <v/>
      </c>
      <c r="G2" s="68">
        <f>'Calendario A'!S10</f>
        <v/>
      </c>
      <c r="H2" s="68">
        <f>'Calendario A'!T10</f>
        <v/>
      </c>
      <c r="I2" s="68">
        <f>'Calendario A'!U10</f>
        <v/>
      </c>
      <c r="J2" s="68">
        <f>'Calendario A'!V10</f>
        <v/>
      </c>
      <c r="K2" s="68">
        <f>'Calendario A'!W10</f>
        <v/>
      </c>
      <c r="L2" s="68">
        <f>'Calendario A'!X10</f>
        <v/>
      </c>
      <c r="M2" s="68">
        <f>'Calendario A'!Y10</f>
        <v/>
      </c>
      <c r="N2" s="68">
        <f>'Calendario A'!Z10</f>
        <v/>
      </c>
    </row>
    <row r="3">
      <c r="A3" s="68">
        <f>'Calendario A'!M13</f>
        <v/>
      </c>
      <c r="B3" s="68">
        <f>'Calendario A'!N13</f>
        <v/>
      </c>
      <c r="C3" s="68">
        <f>'Calendario A'!O13</f>
        <v/>
      </c>
      <c r="D3" s="68">
        <f>'Calendario A'!P13</f>
        <v/>
      </c>
      <c r="E3" s="68">
        <f>'Calendario A'!Q13</f>
        <v/>
      </c>
      <c r="F3" s="68">
        <f>'Calendario A'!R13</f>
        <v/>
      </c>
      <c r="G3" s="68">
        <f>'Calendario A'!S13</f>
        <v/>
      </c>
      <c r="H3" s="68">
        <f>'Calendario A'!T13</f>
        <v/>
      </c>
      <c r="I3" s="68">
        <f>'Calendario A'!U13</f>
        <v/>
      </c>
      <c r="J3" s="68">
        <f>'Calendario A'!V13</f>
        <v/>
      </c>
      <c r="K3" s="68">
        <f>'Calendario A'!W13</f>
        <v/>
      </c>
      <c r="L3" s="68">
        <f>'Calendario A'!X13</f>
        <v/>
      </c>
      <c r="M3" s="68">
        <f>'Calendario A'!Y13</f>
        <v/>
      </c>
      <c r="N3" s="68">
        <f>'Calendario A'!Z13</f>
        <v/>
      </c>
    </row>
    <row r="4">
      <c r="A4" s="68">
        <f>'Calendario A'!M16</f>
        <v/>
      </c>
      <c r="B4" s="68">
        <f>'Calendario A'!N16</f>
        <v/>
      </c>
      <c r="C4" s="68">
        <f>'Calendario A'!O16</f>
        <v/>
      </c>
      <c r="D4" s="68">
        <f>'Calendario A'!P16</f>
        <v/>
      </c>
      <c r="E4" s="68">
        <f>'Calendario A'!Q16</f>
        <v/>
      </c>
      <c r="F4" s="68">
        <f>'Calendario A'!R16</f>
        <v/>
      </c>
      <c r="G4" s="68">
        <f>'Calendario A'!S16</f>
        <v/>
      </c>
      <c r="H4" s="68">
        <f>'Calendario A'!T16</f>
        <v/>
      </c>
      <c r="I4" s="68">
        <f>'Calendario A'!U16</f>
        <v/>
      </c>
      <c r="J4" s="68">
        <f>'Calendario A'!V16</f>
        <v/>
      </c>
      <c r="K4" s="68">
        <f>'Calendario A'!W16</f>
        <v/>
      </c>
      <c r="L4" s="68">
        <f>'Calendario A'!X16</f>
        <v/>
      </c>
      <c r="M4" s="68">
        <f>'Calendario A'!Y16</f>
        <v/>
      </c>
      <c r="N4" s="68">
        <f>'Calendario A'!Z16</f>
        <v/>
      </c>
    </row>
    <row r="5">
      <c r="A5" s="68">
        <f>'Calendario A'!M19</f>
        <v/>
      </c>
      <c r="B5" s="68">
        <f>'Calendario A'!N19</f>
        <v/>
      </c>
      <c r="C5" s="68">
        <f>'Calendario A'!O19</f>
        <v/>
      </c>
      <c r="D5" s="68">
        <f>'Calendario A'!P19</f>
        <v/>
      </c>
      <c r="E5" s="68">
        <f>'Calendario A'!Q19</f>
        <v/>
      </c>
      <c r="F5" s="68">
        <f>'Calendario A'!R19</f>
        <v/>
      </c>
      <c r="G5" s="68">
        <f>'Calendario A'!S19</f>
        <v/>
      </c>
      <c r="H5" s="68">
        <f>'Calendario A'!T19</f>
        <v/>
      </c>
      <c r="I5" s="68">
        <f>'Calendario A'!U19</f>
        <v/>
      </c>
      <c r="J5" s="68">
        <f>'Calendario A'!V19</f>
        <v/>
      </c>
      <c r="K5" s="68">
        <f>'Calendario A'!W19</f>
        <v/>
      </c>
      <c r="L5" s="68">
        <f>'Calendario A'!X19</f>
        <v/>
      </c>
      <c r="M5" s="68">
        <f>'Calendario A'!Y19</f>
        <v/>
      </c>
      <c r="N5" s="68">
        <f>'Calendario A'!Z19</f>
        <v/>
      </c>
    </row>
    <row r="6">
      <c r="A6" s="68">
        <f>'Calendario A'!M22</f>
        <v/>
      </c>
      <c r="B6" s="68">
        <f>'Calendario A'!N22</f>
        <v/>
      </c>
      <c r="C6" s="68">
        <f>'Calendario A'!O22</f>
        <v/>
      </c>
      <c r="D6" s="68">
        <f>'Calendario A'!P22</f>
        <v/>
      </c>
      <c r="E6" s="68">
        <f>'Calendario A'!Q22</f>
        <v/>
      </c>
      <c r="F6" s="68">
        <f>'Calendario A'!R22</f>
        <v/>
      </c>
      <c r="G6" s="68">
        <f>'Calendario A'!S22</f>
        <v/>
      </c>
      <c r="H6" s="68">
        <f>'Calendario A'!T22</f>
        <v/>
      </c>
      <c r="I6" s="68">
        <f>'Calendario A'!U22</f>
        <v/>
      </c>
      <c r="J6" s="68">
        <f>'Calendario A'!V22</f>
        <v/>
      </c>
      <c r="K6" s="68">
        <f>'Calendario A'!W22</f>
        <v/>
      </c>
      <c r="L6" s="68">
        <f>'Calendario A'!X22</f>
        <v/>
      </c>
      <c r="M6" s="68">
        <f>'Calendario A'!Y22</f>
        <v/>
      </c>
      <c r="N6" s="68">
        <f>'Calendario A'!Z22</f>
        <v/>
      </c>
    </row>
    <row r="7">
      <c r="A7" s="68">
        <f>'Calendario A'!M27</f>
        <v/>
      </c>
      <c r="B7" s="68">
        <f>'Calendario A'!N27</f>
        <v/>
      </c>
      <c r="C7" s="68">
        <f>'Calendario A'!O27</f>
        <v/>
      </c>
      <c r="D7" s="68">
        <f>'Calendario A'!P27</f>
        <v/>
      </c>
      <c r="E7" s="68">
        <f>'Calendario A'!Q27</f>
        <v/>
      </c>
      <c r="F7" s="68">
        <f>'Calendario A'!R27</f>
        <v/>
      </c>
      <c r="G7" s="68">
        <f>'Calendario A'!S27</f>
        <v/>
      </c>
      <c r="H7" s="68">
        <f>'Calendario A'!T27</f>
        <v/>
      </c>
      <c r="I7" s="68">
        <f>'Calendario A'!U27</f>
        <v/>
      </c>
      <c r="J7" s="68">
        <f>'Calendario A'!V27</f>
        <v/>
      </c>
      <c r="K7" s="68">
        <f>'Calendario A'!W27</f>
        <v/>
      </c>
      <c r="L7" s="68">
        <f>'Calendario A'!X27</f>
        <v/>
      </c>
      <c r="M7" s="68">
        <f>'Calendario A'!Y27</f>
        <v/>
      </c>
      <c r="N7" s="68">
        <f>'Calendario A'!Z27</f>
        <v/>
      </c>
    </row>
    <row r="8">
      <c r="A8" s="68">
        <f>'Calendario A'!M30</f>
        <v/>
      </c>
      <c r="B8" s="68">
        <f>'Calendario A'!N30</f>
        <v/>
      </c>
      <c r="C8" s="68">
        <f>'Calendario A'!O30</f>
        <v/>
      </c>
      <c r="D8" s="68">
        <f>'Calendario A'!P30</f>
        <v/>
      </c>
      <c r="E8" s="68">
        <f>'Calendario A'!Q30</f>
        <v/>
      </c>
      <c r="F8" s="68">
        <f>'Calendario A'!R30</f>
        <v/>
      </c>
      <c r="G8" s="68">
        <f>'Calendario A'!S30</f>
        <v/>
      </c>
      <c r="H8" s="68">
        <f>'Calendario A'!T30</f>
        <v/>
      </c>
      <c r="I8" s="68">
        <f>'Calendario A'!U30</f>
        <v/>
      </c>
      <c r="J8" s="68">
        <f>'Calendario A'!V30</f>
        <v/>
      </c>
      <c r="K8" s="68">
        <f>'Calendario A'!W30</f>
        <v/>
      </c>
      <c r="L8" s="68">
        <f>'Calendario A'!X30</f>
        <v/>
      </c>
      <c r="M8" s="68">
        <f>'Calendario A'!Y30</f>
        <v/>
      </c>
      <c r="N8" s="68">
        <f>'Calendario A'!Z30</f>
        <v/>
      </c>
    </row>
    <row r="9">
      <c r="A9" s="68">
        <f>'Calendario A'!M33</f>
        <v/>
      </c>
      <c r="B9" s="68">
        <f>'Calendario A'!N33</f>
        <v/>
      </c>
      <c r="C9" s="68">
        <f>'Calendario A'!O33</f>
        <v/>
      </c>
      <c r="D9" s="68">
        <f>'Calendario A'!P33</f>
        <v/>
      </c>
      <c r="E9" s="68">
        <f>'Calendario A'!Q33</f>
        <v/>
      </c>
      <c r="F9" s="68">
        <f>'Calendario A'!R33</f>
        <v/>
      </c>
      <c r="G9" s="68">
        <f>'Calendario A'!S33</f>
        <v/>
      </c>
      <c r="H9" s="68">
        <f>'Calendario A'!T33</f>
        <v/>
      </c>
      <c r="I9" s="68">
        <f>'Calendario A'!U33</f>
        <v/>
      </c>
      <c r="J9" s="68">
        <f>'Calendario A'!V33</f>
        <v/>
      </c>
      <c r="K9" s="68">
        <f>'Calendario A'!W33</f>
        <v/>
      </c>
      <c r="L9" s="68">
        <f>'Calendario A'!X33</f>
        <v/>
      </c>
      <c r="M9" s="68">
        <f>'Calendario A'!Y33</f>
        <v/>
      </c>
      <c r="N9" s="68">
        <f>'Calendario A'!Z33</f>
        <v/>
      </c>
    </row>
    <row r="10">
      <c r="A10" s="68">
        <f>'Calendario A'!M36</f>
        <v/>
      </c>
      <c r="B10" s="68">
        <f>'Calendario A'!N36</f>
        <v/>
      </c>
      <c r="C10" s="68">
        <f>'Calendario A'!O36</f>
        <v/>
      </c>
      <c r="D10" s="68">
        <f>'Calendario A'!P36</f>
        <v/>
      </c>
      <c r="E10" s="68">
        <f>'Calendario A'!Q36</f>
        <v/>
      </c>
      <c r="F10" s="68">
        <f>'Calendario A'!R36</f>
        <v/>
      </c>
      <c r="G10" s="68">
        <f>'Calendario A'!S36</f>
        <v/>
      </c>
      <c r="H10" s="68">
        <f>'Calendario A'!T36</f>
        <v/>
      </c>
      <c r="I10" s="68">
        <f>'Calendario A'!U36</f>
        <v/>
      </c>
      <c r="J10" s="68">
        <f>'Calendario A'!V36</f>
        <v/>
      </c>
      <c r="K10" s="68">
        <f>'Calendario A'!W36</f>
        <v/>
      </c>
      <c r="L10" s="68">
        <f>'Calendario A'!X36</f>
        <v/>
      </c>
      <c r="M10" s="68">
        <f>'Calendario A'!Y36</f>
        <v/>
      </c>
      <c r="N10" s="68">
        <f>'Calendario A'!Z36</f>
        <v/>
      </c>
    </row>
    <row r="11">
      <c r="A11" s="68">
        <f>'Calendario A'!M39</f>
        <v/>
      </c>
      <c r="B11" s="68">
        <f>'Calendario A'!N39</f>
        <v/>
      </c>
      <c r="C11" s="68">
        <f>'Calendario A'!O39</f>
        <v/>
      </c>
      <c r="D11" s="68">
        <f>'Calendario A'!P39</f>
        <v/>
      </c>
      <c r="E11" s="68">
        <f>'Calendario A'!Q39</f>
        <v/>
      </c>
      <c r="F11" s="68">
        <f>'Calendario A'!R39</f>
        <v/>
      </c>
      <c r="G11" s="68">
        <f>'Calendario A'!S39</f>
        <v/>
      </c>
      <c r="H11" s="68">
        <f>'Calendario A'!T39</f>
        <v/>
      </c>
      <c r="I11" s="68">
        <f>'Calendario A'!U39</f>
        <v/>
      </c>
      <c r="J11" s="68">
        <f>'Calendario A'!V39</f>
        <v/>
      </c>
      <c r="K11" s="68">
        <f>'Calendario A'!W39</f>
        <v/>
      </c>
      <c r="L11" s="68">
        <f>'Calendario A'!X39</f>
        <v/>
      </c>
      <c r="M11" s="68">
        <f>'Calendario A'!Y39</f>
        <v/>
      </c>
      <c r="N11" s="68">
        <f>'Calendario A'!Z39</f>
        <v/>
      </c>
    </row>
    <row r="12">
      <c r="A12" s="68">
        <f>'Calendario A'!M44</f>
        <v/>
      </c>
      <c r="B12" s="68">
        <f>'Calendario A'!N44</f>
        <v/>
      </c>
      <c r="C12" s="68">
        <f>'Calendario A'!O44</f>
        <v/>
      </c>
      <c r="D12" s="68">
        <f>'Calendario A'!P44</f>
        <v/>
      </c>
      <c r="E12" s="68">
        <f>'Calendario A'!Q44</f>
        <v/>
      </c>
      <c r="F12" s="68">
        <f>'Calendario A'!R44</f>
        <v/>
      </c>
      <c r="G12" s="68">
        <f>'Calendario A'!S44</f>
        <v/>
      </c>
      <c r="H12" s="68">
        <f>'Calendario A'!T44</f>
        <v/>
      </c>
      <c r="I12" s="68">
        <f>'Calendario A'!U44</f>
        <v/>
      </c>
      <c r="J12" s="68">
        <f>'Calendario A'!V44</f>
        <v/>
      </c>
      <c r="K12" s="68">
        <f>'Calendario A'!W44</f>
        <v/>
      </c>
      <c r="L12" s="68">
        <f>'Calendario A'!X44</f>
        <v/>
      </c>
      <c r="M12" s="68">
        <f>'Calendario A'!Y44</f>
        <v/>
      </c>
      <c r="N12" s="68">
        <f>'Calendario A'!Z44</f>
        <v/>
      </c>
    </row>
    <row r="13">
      <c r="A13" s="68">
        <f>'Calendario A'!M47</f>
        <v/>
      </c>
      <c r="B13" s="68">
        <f>'Calendario A'!N47</f>
        <v/>
      </c>
      <c r="C13" s="68">
        <f>'Calendario A'!O47</f>
        <v/>
      </c>
      <c r="D13" s="68">
        <f>'Calendario A'!P47</f>
        <v/>
      </c>
      <c r="E13" s="68">
        <f>'Calendario A'!Q47</f>
        <v/>
      </c>
      <c r="F13" s="68">
        <f>'Calendario A'!R47</f>
        <v/>
      </c>
      <c r="G13" s="68">
        <f>'Calendario A'!S47</f>
        <v/>
      </c>
      <c r="H13" s="68">
        <f>'Calendario A'!T47</f>
        <v/>
      </c>
      <c r="I13" s="68">
        <f>'Calendario A'!U47</f>
        <v/>
      </c>
      <c r="J13" s="68">
        <f>'Calendario A'!V47</f>
        <v/>
      </c>
      <c r="K13" s="68">
        <f>'Calendario A'!W47</f>
        <v/>
      </c>
      <c r="L13" s="68">
        <f>'Calendario A'!X47</f>
        <v/>
      </c>
      <c r="M13" s="68">
        <f>'Calendario A'!Y47</f>
        <v/>
      </c>
      <c r="N13" s="68">
        <f>'Calendario A'!Z47</f>
        <v/>
      </c>
    </row>
    <row r="14">
      <c r="A14" s="68">
        <f>'Calendario A'!M50</f>
        <v/>
      </c>
      <c r="B14" s="68">
        <f>'Calendario A'!N50</f>
        <v/>
      </c>
      <c r="C14" s="68">
        <f>'Calendario A'!O50</f>
        <v/>
      </c>
      <c r="D14" s="68">
        <f>'Calendario A'!P50</f>
        <v/>
      </c>
      <c r="E14" s="68">
        <f>'Calendario A'!Q50</f>
        <v/>
      </c>
      <c r="F14" s="68">
        <f>'Calendario A'!R50</f>
        <v/>
      </c>
      <c r="G14" s="68">
        <f>'Calendario A'!S50</f>
        <v/>
      </c>
      <c r="H14" s="68">
        <f>'Calendario A'!T50</f>
        <v/>
      </c>
      <c r="I14" s="68">
        <f>'Calendario A'!U50</f>
        <v/>
      </c>
      <c r="J14" s="68">
        <f>'Calendario A'!V50</f>
        <v/>
      </c>
      <c r="K14" s="68">
        <f>'Calendario A'!W50</f>
        <v/>
      </c>
      <c r="L14" s="68">
        <f>'Calendario A'!X50</f>
        <v/>
      </c>
      <c r="M14" s="68">
        <f>'Calendario A'!Y50</f>
        <v/>
      </c>
      <c r="N14" s="68">
        <f>'Calendario A'!Z50</f>
        <v/>
      </c>
    </row>
    <row r="15">
      <c r="A15" s="68">
        <f>'Calendario A'!M53</f>
        <v/>
      </c>
      <c r="B15" s="68">
        <f>'Calendario A'!N53</f>
        <v/>
      </c>
      <c r="C15" s="68">
        <f>'Calendario A'!O53</f>
        <v/>
      </c>
      <c r="D15" s="68">
        <f>'Calendario A'!P53</f>
        <v/>
      </c>
      <c r="E15" s="68">
        <f>'Calendario A'!Q53</f>
        <v/>
      </c>
      <c r="F15" s="68">
        <f>'Calendario A'!R53</f>
        <v/>
      </c>
      <c r="G15" s="68">
        <f>'Calendario A'!S53</f>
        <v/>
      </c>
      <c r="H15" s="68">
        <f>'Calendario A'!T53</f>
        <v/>
      </c>
      <c r="I15" s="68">
        <f>'Calendario A'!U53</f>
        <v/>
      </c>
      <c r="J15" s="68">
        <f>'Calendario A'!V53</f>
        <v/>
      </c>
      <c r="K15" s="68">
        <f>'Calendario A'!W53</f>
        <v/>
      </c>
      <c r="L15" s="68">
        <f>'Calendario A'!X53</f>
        <v/>
      </c>
      <c r="M15" s="68">
        <f>'Calendario A'!Y53</f>
        <v/>
      </c>
      <c r="N15" s="68">
        <f>'Calendario A'!Z53</f>
        <v/>
      </c>
    </row>
    <row r="16">
      <c r="A16" s="68">
        <f>'Calendario A'!M56</f>
        <v/>
      </c>
      <c r="B16" s="68">
        <f>'Calendario A'!N56</f>
        <v/>
      </c>
      <c r="C16" s="68">
        <f>'Calendario A'!O56</f>
        <v/>
      </c>
      <c r="D16" s="68">
        <f>'Calendario A'!P56</f>
        <v/>
      </c>
      <c r="E16" s="68">
        <f>'Calendario A'!Q56</f>
        <v/>
      </c>
      <c r="F16" s="68">
        <f>'Calendario A'!R56</f>
        <v/>
      </c>
      <c r="G16" s="68">
        <f>'Calendario A'!S56</f>
        <v/>
      </c>
      <c r="H16" s="68">
        <f>'Calendario A'!T56</f>
        <v/>
      </c>
      <c r="I16" s="68">
        <f>'Calendario A'!U56</f>
        <v/>
      </c>
      <c r="J16" s="68">
        <f>'Calendario A'!V56</f>
        <v/>
      </c>
      <c r="K16" s="68">
        <f>'Calendario A'!W56</f>
        <v/>
      </c>
      <c r="L16" s="68">
        <f>'Calendario A'!X56</f>
        <v/>
      </c>
      <c r="M16" s="68">
        <f>'Calendario A'!Y56</f>
        <v/>
      </c>
      <c r="N16" s="68">
        <f>'Calendario A'!Z56</f>
        <v/>
      </c>
    </row>
    <row r="17">
      <c r="A17" s="68">
        <f>'Calendario A'!M61</f>
        <v/>
      </c>
      <c r="B17" s="68">
        <f>'Calendario A'!N61</f>
        <v/>
      </c>
      <c r="C17" s="68">
        <f>'Calendario A'!O61</f>
        <v/>
      </c>
      <c r="D17" s="68">
        <f>'Calendario A'!P61</f>
        <v/>
      </c>
      <c r="E17" s="68">
        <f>'Calendario A'!Q61</f>
        <v/>
      </c>
      <c r="F17" s="68">
        <f>'Calendario A'!R61</f>
        <v/>
      </c>
      <c r="G17" s="68">
        <f>'Calendario A'!S61</f>
        <v/>
      </c>
      <c r="H17" s="68">
        <f>'Calendario A'!T61</f>
        <v/>
      </c>
      <c r="I17" s="68">
        <f>'Calendario A'!U61</f>
        <v/>
      </c>
      <c r="J17" s="68">
        <f>'Calendario A'!V61</f>
        <v/>
      </c>
      <c r="K17" s="68">
        <f>'Calendario A'!W61</f>
        <v/>
      </c>
      <c r="L17" s="68">
        <f>'Calendario A'!X61</f>
        <v/>
      </c>
      <c r="M17" s="68">
        <f>'Calendario A'!Y61</f>
        <v/>
      </c>
      <c r="N17" s="68">
        <f>'Calendario A'!Z61</f>
        <v/>
      </c>
    </row>
    <row r="18">
      <c r="A18" s="68">
        <f>'Calendario A'!M64</f>
        <v/>
      </c>
      <c r="B18" s="68">
        <f>'Calendario A'!N64</f>
        <v/>
      </c>
      <c r="C18" s="68">
        <f>'Calendario A'!O64</f>
        <v/>
      </c>
      <c r="D18" s="68">
        <f>'Calendario A'!P64</f>
        <v/>
      </c>
      <c r="E18" s="68">
        <f>'Calendario A'!Q64</f>
        <v/>
      </c>
      <c r="F18" s="68">
        <f>'Calendario A'!R64</f>
        <v/>
      </c>
      <c r="G18" s="68">
        <f>'Calendario A'!S64</f>
        <v/>
      </c>
      <c r="H18" s="68">
        <f>'Calendario A'!T64</f>
        <v/>
      </c>
      <c r="I18" s="68">
        <f>'Calendario A'!U64</f>
        <v/>
      </c>
      <c r="J18" s="68">
        <f>'Calendario A'!V64</f>
        <v/>
      </c>
      <c r="K18" s="68">
        <f>'Calendario A'!W64</f>
        <v/>
      </c>
      <c r="L18" s="68">
        <f>'Calendario A'!X64</f>
        <v/>
      </c>
      <c r="M18" s="68">
        <f>'Calendario A'!Y64</f>
        <v/>
      </c>
      <c r="N18" s="68">
        <f>'Calendario A'!Z64</f>
        <v/>
      </c>
    </row>
    <row r="19">
      <c r="A19" s="68">
        <f>'Calendario A'!M67</f>
        <v/>
      </c>
      <c r="B19" s="68">
        <f>'Calendario A'!N67</f>
        <v/>
      </c>
      <c r="C19" s="68">
        <f>'Calendario A'!O67</f>
        <v/>
      </c>
      <c r="D19" s="68">
        <f>'Calendario A'!P67</f>
        <v/>
      </c>
      <c r="E19" s="68">
        <f>'Calendario A'!Q67</f>
        <v/>
      </c>
      <c r="F19" s="68">
        <f>'Calendario A'!R67</f>
        <v/>
      </c>
      <c r="G19" s="68">
        <f>'Calendario A'!S67</f>
        <v/>
      </c>
      <c r="H19" s="68">
        <f>'Calendario A'!T67</f>
        <v/>
      </c>
      <c r="I19" s="68">
        <f>'Calendario A'!U67</f>
        <v/>
      </c>
      <c r="J19" s="68">
        <f>'Calendario A'!V67</f>
        <v/>
      </c>
      <c r="K19" s="68">
        <f>'Calendario A'!W67</f>
        <v/>
      </c>
      <c r="L19" s="68">
        <f>'Calendario A'!X67</f>
        <v/>
      </c>
      <c r="M19" s="68">
        <f>'Calendario A'!Y67</f>
        <v/>
      </c>
      <c r="N19" s="68">
        <f>'Calendario A'!Z67</f>
        <v/>
      </c>
    </row>
    <row r="20">
      <c r="A20" s="68">
        <f>'Calendario A'!M70</f>
        <v/>
      </c>
      <c r="B20" s="68">
        <f>'Calendario A'!N70</f>
        <v/>
      </c>
      <c r="C20" s="68">
        <f>'Calendario A'!O70</f>
        <v/>
      </c>
      <c r="D20" s="68">
        <f>'Calendario A'!P70</f>
        <v/>
      </c>
      <c r="E20" s="68">
        <f>'Calendario A'!Q70</f>
        <v/>
      </c>
      <c r="F20" s="68">
        <f>'Calendario A'!R70</f>
        <v/>
      </c>
      <c r="G20" s="68">
        <f>'Calendario A'!S70</f>
        <v/>
      </c>
      <c r="H20" s="68">
        <f>'Calendario A'!T70</f>
        <v/>
      </c>
      <c r="I20" s="68">
        <f>'Calendario A'!U70</f>
        <v/>
      </c>
      <c r="J20" s="68">
        <f>'Calendario A'!V70</f>
        <v/>
      </c>
      <c r="K20" s="68">
        <f>'Calendario A'!W70</f>
        <v/>
      </c>
      <c r="L20" s="68">
        <f>'Calendario A'!X70</f>
        <v/>
      </c>
      <c r="M20" s="68">
        <f>'Calendario A'!Y70</f>
        <v/>
      </c>
      <c r="N20" s="68">
        <f>'Calendario A'!Z70</f>
        <v/>
      </c>
    </row>
    <row r="21">
      <c r="A21" s="68">
        <f>'Calendario A'!M73</f>
        <v/>
      </c>
      <c r="B21" s="68">
        <f>'Calendario A'!N73</f>
        <v/>
      </c>
      <c r="C21" s="68">
        <f>'Calendario A'!O73</f>
        <v/>
      </c>
      <c r="D21" s="68">
        <f>'Calendario A'!P73</f>
        <v/>
      </c>
      <c r="E21" s="68">
        <f>'Calendario A'!Q73</f>
        <v/>
      </c>
      <c r="F21" s="68">
        <f>'Calendario A'!R73</f>
        <v/>
      </c>
      <c r="G21" s="68">
        <f>'Calendario A'!S73</f>
        <v/>
      </c>
      <c r="H21" s="68">
        <f>'Calendario A'!T73</f>
        <v/>
      </c>
      <c r="I21" s="68">
        <f>'Calendario A'!U73</f>
        <v/>
      </c>
      <c r="J21" s="68">
        <f>'Calendario A'!V73</f>
        <v/>
      </c>
      <c r="K21" s="68">
        <f>'Calendario A'!W73</f>
        <v/>
      </c>
      <c r="L21" s="68">
        <f>'Calendario A'!X73</f>
        <v/>
      </c>
      <c r="M21" s="68">
        <f>'Calendario A'!Y73</f>
        <v/>
      </c>
      <c r="N21" s="68">
        <f>'Calendario A'!Z73</f>
        <v/>
      </c>
    </row>
    <row r="22">
      <c r="A22" s="68">
        <f>'Calendario A'!M78</f>
        <v/>
      </c>
      <c r="B22" s="68">
        <f>'Calendario A'!N78</f>
        <v/>
      </c>
      <c r="C22" s="68">
        <f>'Calendario A'!O78</f>
        <v/>
      </c>
      <c r="D22" s="68">
        <f>'Calendario A'!P78</f>
        <v/>
      </c>
      <c r="E22" s="68">
        <f>'Calendario A'!Q78</f>
        <v/>
      </c>
      <c r="F22" s="68">
        <f>'Calendario A'!R78</f>
        <v/>
      </c>
      <c r="G22" s="68">
        <f>'Calendario A'!S78</f>
        <v/>
      </c>
      <c r="H22" s="68">
        <f>'Calendario A'!T78</f>
        <v/>
      </c>
      <c r="I22" s="68">
        <f>'Calendario A'!U78</f>
        <v/>
      </c>
      <c r="J22" s="68">
        <f>'Calendario A'!V78</f>
        <v/>
      </c>
      <c r="K22" s="68">
        <f>'Calendario A'!W78</f>
        <v/>
      </c>
      <c r="L22" s="68">
        <f>'Calendario A'!X78</f>
        <v/>
      </c>
      <c r="M22" s="68">
        <f>'Calendario A'!Y78</f>
        <v/>
      </c>
      <c r="N22" s="68">
        <f>'Calendario A'!Z78</f>
        <v/>
      </c>
    </row>
    <row r="23">
      <c r="A23" s="68">
        <f>'Calendario A'!M81</f>
        <v/>
      </c>
      <c r="B23" s="68">
        <f>'Calendario A'!N81</f>
        <v/>
      </c>
      <c r="C23" s="68">
        <f>'Calendario A'!O81</f>
        <v/>
      </c>
      <c r="D23" s="68">
        <f>'Calendario A'!P81</f>
        <v/>
      </c>
      <c r="E23" s="68">
        <f>'Calendario A'!Q81</f>
        <v/>
      </c>
      <c r="F23" s="68">
        <f>'Calendario A'!R81</f>
        <v/>
      </c>
      <c r="G23" s="68">
        <f>'Calendario A'!S81</f>
        <v/>
      </c>
      <c r="H23" s="68">
        <f>'Calendario A'!T81</f>
        <v/>
      </c>
      <c r="I23" s="68">
        <f>'Calendario A'!U81</f>
        <v/>
      </c>
      <c r="J23" s="68">
        <f>'Calendario A'!V81</f>
        <v/>
      </c>
      <c r="K23" s="68">
        <f>'Calendario A'!W81</f>
        <v/>
      </c>
      <c r="L23" s="68">
        <f>'Calendario A'!X81</f>
        <v/>
      </c>
      <c r="M23" s="68">
        <f>'Calendario A'!Y81</f>
        <v/>
      </c>
      <c r="N23" s="68">
        <f>'Calendario A'!Z81</f>
        <v/>
      </c>
    </row>
    <row r="24">
      <c r="A24" s="68">
        <f>'Calendario A'!M84</f>
        <v/>
      </c>
      <c r="B24" s="68">
        <f>'Calendario A'!N84</f>
        <v/>
      </c>
      <c r="C24" s="68">
        <f>'Calendario A'!O84</f>
        <v/>
      </c>
      <c r="D24" s="68">
        <f>'Calendario A'!P84</f>
        <v/>
      </c>
      <c r="E24" s="68">
        <f>'Calendario A'!Q84</f>
        <v/>
      </c>
      <c r="F24" s="68">
        <f>'Calendario A'!R84</f>
        <v/>
      </c>
      <c r="G24" s="68">
        <f>'Calendario A'!S84</f>
        <v/>
      </c>
      <c r="H24" s="68">
        <f>'Calendario A'!T84</f>
        <v/>
      </c>
      <c r="I24" s="68">
        <f>'Calendario A'!U84</f>
        <v/>
      </c>
      <c r="J24" s="68">
        <f>'Calendario A'!V84</f>
        <v/>
      </c>
      <c r="K24" s="68">
        <f>'Calendario A'!W84</f>
        <v/>
      </c>
      <c r="L24" s="68">
        <f>'Calendario A'!X84</f>
        <v/>
      </c>
      <c r="M24" s="68">
        <f>'Calendario A'!Y84</f>
        <v/>
      </c>
      <c r="N24" s="68">
        <f>'Calendario A'!Z84</f>
        <v/>
      </c>
    </row>
    <row r="25">
      <c r="A25" s="68">
        <f>'Calendario A'!M87</f>
        <v/>
      </c>
      <c r="B25" s="68">
        <f>'Calendario A'!N87</f>
        <v/>
      </c>
      <c r="C25" s="68">
        <f>'Calendario A'!O87</f>
        <v/>
      </c>
      <c r="D25" s="68">
        <f>'Calendario A'!P87</f>
        <v/>
      </c>
      <c r="E25" s="68">
        <f>'Calendario A'!Q87</f>
        <v/>
      </c>
      <c r="F25" s="68">
        <f>'Calendario A'!R87</f>
        <v/>
      </c>
      <c r="G25" s="68">
        <f>'Calendario A'!S87</f>
        <v/>
      </c>
      <c r="H25" s="68">
        <f>'Calendario A'!T87</f>
        <v/>
      </c>
      <c r="I25" s="68">
        <f>'Calendario A'!U87</f>
        <v/>
      </c>
      <c r="J25" s="68">
        <f>'Calendario A'!V87</f>
        <v/>
      </c>
      <c r="K25" s="68">
        <f>'Calendario A'!W87</f>
        <v/>
      </c>
      <c r="L25" s="68">
        <f>'Calendario A'!X87</f>
        <v/>
      </c>
      <c r="M25" s="68">
        <f>'Calendario A'!Y87</f>
        <v/>
      </c>
      <c r="N25" s="68">
        <f>'Calendario A'!Z87</f>
        <v/>
      </c>
    </row>
    <row r="26">
      <c r="A26" s="68">
        <f>'Calendario A'!M90</f>
        <v/>
      </c>
      <c r="B26" s="68">
        <f>'Calendario A'!N90</f>
        <v/>
      </c>
      <c r="C26" s="68">
        <f>'Calendario A'!O90</f>
        <v/>
      </c>
      <c r="D26" s="68">
        <f>'Calendario A'!P90</f>
        <v/>
      </c>
      <c r="E26" s="68">
        <f>'Calendario A'!Q90</f>
        <v/>
      </c>
      <c r="F26" s="68">
        <f>'Calendario A'!R90</f>
        <v/>
      </c>
      <c r="G26" s="68">
        <f>'Calendario A'!S90</f>
        <v/>
      </c>
      <c r="H26" s="68">
        <f>'Calendario A'!T90</f>
        <v/>
      </c>
      <c r="I26" s="68">
        <f>'Calendario A'!U90</f>
        <v/>
      </c>
      <c r="J26" s="68">
        <f>'Calendario A'!V90</f>
        <v/>
      </c>
      <c r="K26" s="68">
        <f>'Calendario A'!W90</f>
        <v/>
      </c>
      <c r="L26" s="68">
        <f>'Calendario A'!X90</f>
        <v/>
      </c>
      <c r="M26" s="68">
        <f>'Calendario A'!Y90</f>
        <v/>
      </c>
      <c r="N26" s="68">
        <f>'Calendario A'!Z90</f>
        <v/>
      </c>
    </row>
    <row r="27">
      <c r="A27" s="68">
        <f>'Calendario A'!M95</f>
        <v/>
      </c>
      <c r="B27" s="68">
        <f>'Calendario A'!N95</f>
        <v/>
      </c>
      <c r="C27" s="68">
        <f>'Calendario A'!O95</f>
        <v/>
      </c>
      <c r="D27" s="68">
        <f>'Calendario A'!P95</f>
        <v/>
      </c>
      <c r="E27" s="68">
        <f>'Calendario A'!Q95</f>
        <v/>
      </c>
      <c r="F27" s="68">
        <f>'Calendario A'!R95</f>
        <v/>
      </c>
      <c r="G27" s="68">
        <f>'Calendario A'!S95</f>
        <v/>
      </c>
      <c r="H27" s="68">
        <f>'Calendario A'!T95</f>
        <v/>
      </c>
      <c r="I27" s="68">
        <f>'Calendario A'!U95</f>
        <v/>
      </c>
      <c r="J27" s="68">
        <f>'Calendario A'!V95</f>
        <v/>
      </c>
      <c r="K27" s="68">
        <f>'Calendario A'!W95</f>
        <v/>
      </c>
      <c r="L27" s="68">
        <f>'Calendario A'!X95</f>
        <v/>
      </c>
      <c r="M27" s="68">
        <f>'Calendario A'!Y95</f>
        <v/>
      </c>
      <c r="N27" s="68">
        <f>'Calendario A'!Z95</f>
        <v/>
      </c>
    </row>
    <row r="28">
      <c r="A28" s="68">
        <f>'Calendario A'!M98</f>
        <v/>
      </c>
      <c r="B28" s="68">
        <f>'Calendario A'!N98</f>
        <v/>
      </c>
      <c r="C28" s="68">
        <f>'Calendario A'!O98</f>
        <v/>
      </c>
      <c r="D28" s="68">
        <f>'Calendario A'!P98</f>
        <v/>
      </c>
      <c r="E28" s="68">
        <f>'Calendario A'!Q98</f>
        <v/>
      </c>
      <c r="F28" s="68">
        <f>'Calendario A'!R98</f>
        <v/>
      </c>
      <c r="G28" s="68">
        <f>'Calendario A'!S98</f>
        <v/>
      </c>
      <c r="H28" s="68">
        <f>'Calendario A'!T98</f>
        <v/>
      </c>
      <c r="I28" s="68">
        <f>'Calendario A'!U98</f>
        <v/>
      </c>
      <c r="J28" s="68">
        <f>'Calendario A'!V98</f>
        <v/>
      </c>
      <c r="K28" s="68">
        <f>'Calendario A'!W98</f>
        <v/>
      </c>
      <c r="L28" s="68">
        <f>'Calendario A'!X98</f>
        <v/>
      </c>
      <c r="M28" s="68">
        <f>'Calendario A'!Y98</f>
        <v/>
      </c>
      <c r="N28" s="68">
        <f>'Calendario A'!Z98</f>
        <v/>
      </c>
    </row>
    <row r="29">
      <c r="A29" s="68">
        <f>'Calendario A'!M101</f>
        <v/>
      </c>
      <c r="B29" s="68">
        <f>'Calendario A'!N101</f>
        <v/>
      </c>
      <c r="C29" s="68">
        <f>'Calendario A'!O101</f>
        <v/>
      </c>
      <c r="D29" s="68">
        <f>'Calendario A'!P101</f>
        <v/>
      </c>
      <c r="E29" s="68">
        <f>'Calendario A'!Q101</f>
        <v/>
      </c>
      <c r="F29" s="68">
        <f>'Calendario A'!R101</f>
        <v/>
      </c>
      <c r="G29" s="68">
        <f>'Calendario A'!S101</f>
        <v/>
      </c>
      <c r="H29" s="68">
        <f>'Calendario A'!T101</f>
        <v/>
      </c>
      <c r="I29" s="68">
        <f>'Calendario A'!U101</f>
        <v/>
      </c>
      <c r="J29" s="68">
        <f>'Calendario A'!V101</f>
        <v/>
      </c>
      <c r="K29" s="68">
        <f>'Calendario A'!W101</f>
        <v/>
      </c>
      <c r="L29" s="68">
        <f>'Calendario A'!X101</f>
        <v/>
      </c>
      <c r="M29" s="68">
        <f>'Calendario A'!Y101</f>
        <v/>
      </c>
      <c r="N29" s="68">
        <f>'Calendario A'!Z101</f>
        <v/>
      </c>
    </row>
    <row r="30">
      <c r="A30" s="68">
        <f>'Calendario A'!M104</f>
        <v/>
      </c>
      <c r="B30" s="68">
        <f>'Calendario A'!N104</f>
        <v/>
      </c>
      <c r="C30" s="68">
        <f>'Calendario A'!O104</f>
        <v/>
      </c>
      <c r="D30" s="68">
        <f>'Calendario A'!P104</f>
        <v/>
      </c>
      <c r="E30" s="68">
        <f>'Calendario A'!Q104</f>
        <v/>
      </c>
      <c r="F30" s="68">
        <f>'Calendario A'!R104</f>
        <v/>
      </c>
      <c r="G30" s="68">
        <f>'Calendario A'!S104</f>
        <v/>
      </c>
      <c r="H30" s="68">
        <f>'Calendario A'!T104</f>
        <v/>
      </c>
      <c r="I30" s="68">
        <f>'Calendario A'!U104</f>
        <v/>
      </c>
      <c r="J30" s="68">
        <f>'Calendario A'!V104</f>
        <v/>
      </c>
      <c r="K30" s="68">
        <f>'Calendario A'!W104</f>
        <v/>
      </c>
      <c r="L30" s="68">
        <f>'Calendario A'!X104</f>
        <v/>
      </c>
      <c r="M30" s="68">
        <f>'Calendario A'!Y104</f>
        <v/>
      </c>
      <c r="N30" s="68">
        <f>'Calendario A'!Z104</f>
        <v/>
      </c>
    </row>
    <row r="31">
      <c r="A31" s="68">
        <f>'Calendario A'!M107</f>
        <v/>
      </c>
      <c r="B31" s="68">
        <f>'Calendario A'!N107</f>
        <v/>
      </c>
      <c r="C31" s="68">
        <f>'Calendario A'!O107</f>
        <v/>
      </c>
      <c r="D31" s="68">
        <f>'Calendario A'!P107</f>
        <v/>
      </c>
      <c r="E31" s="68">
        <f>'Calendario A'!Q107</f>
        <v/>
      </c>
      <c r="F31" s="68">
        <f>'Calendario A'!R107</f>
        <v/>
      </c>
      <c r="G31" s="68">
        <f>'Calendario A'!S107</f>
        <v/>
      </c>
      <c r="H31" s="68">
        <f>'Calendario A'!T107</f>
        <v/>
      </c>
      <c r="I31" s="68">
        <f>'Calendario A'!U107</f>
        <v/>
      </c>
      <c r="J31" s="68">
        <f>'Calendario A'!V107</f>
        <v/>
      </c>
      <c r="K31" s="68">
        <f>'Calendario A'!W107</f>
        <v/>
      </c>
      <c r="L31" s="68">
        <f>'Calendario A'!X107</f>
        <v/>
      </c>
      <c r="M31" s="68">
        <f>'Calendario A'!Y107</f>
        <v/>
      </c>
      <c r="N31" s="68">
        <f>'Calendario A'!Z107</f>
        <v/>
      </c>
    </row>
    <row r="32">
      <c r="A32" s="68">
        <f>'Calendario A'!M112</f>
        <v/>
      </c>
      <c r="B32" s="68">
        <f>'Calendario A'!N112</f>
        <v/>
      </c>
      <c r="C32" s="68">
        <f>'Calendario A'!O112</f>
        <v/>
      </c>
      <c r="D32" s="68">
        <f>'Calendario A'!P112</f>
        <v/>
      </c>
      <c r="E32" s="68">
        <f>'Calendario A'!Q112</f>
        <v/>
      </c>
      <c r="F32" s="68">
        <f>'Calendario A'!R112</f>
        <v/>
      </c>
      <c r="G32" s="68">
        <f>'Calendario A'!S112</f>
        <v/>
      </c>
      <c r="H32" s="68">
        <f>'Calendario A'!T112</f>
        <v/>
      </c>
      <c r="I32" s="68">
        <f>'Calendario A'!U112</f>
        <v/>
      </c>
      <c r="J32" s="68">
        <f>'Calendario A'!V112</f>
        <v/>
      </c>
      <c r="K32" s="68">
        <f>'Calendario A'!W112</f>
        <v/>
      </c>
      <c r="L32" s="68">
        <f>'Calendario A'!X112</f>
        <v/>
      </c>
      <c r="M32" s="68">
        <f>'Calendario A'!Y112</f>
        <v/>
      </c>
      <c r="N32" s="68">
        <f>'Calendario A'!Z112</f>
        <v/>
      </c>
    </row>
    <row r="33">
      <c r="A33" s="68">
        <f>'Calendario A'!M115</f>
        <v/>
      </c>
      <c r="B33" s="68">
        <f>'Calendario A'!N115</f>
        <v/>
      </c>
      <c r="C33" s="68">
        <f>'Calendario A'!O115</f>
        <v/>
      </c>
      <c r="D33" s="68">
        <f>'Calendario A'!P115</f>
        <v/>
      </c>
      <c r="E33" s="68">
        <f>'Calendario A'!Q115</f>
        <v/>
      </c>
      <c r="F33" s="68">
        <f>'Calendario A'!R115</f>
        <v/>
      </c>
      <c r="G33" s="68">
        <f>'Calendario A'!S115</f>
        <v/>
      </c>
      <c r="H33" s="68">
        <f>'Calendario A'!T115</f>
        <v/>
      </c>
      <c r="I33" s="68">
        <f>'Calendario A'!U115</f>
        <v/>
      </c>
      <c r="J33" s="68">
        <f>'Calendario A'!V115</f>
        <v/>
      </c>
      <c r="K33" s="68">
        <f>'Calendario A'!W115</f>
        <v/>
      </c>
      <c r="L33" s="68">
        <f>'Calendario A'!X115</f>
        <v/>
      </c>
      <c r="M33" s="68">
        <f>'Calendario A'!Y115</f>
        <v/>
      </c>
      <c r="N33" s="68">
        <f>'Calendario A'!Z115</f>
        <v/>
      </c>
    </row>
    <row r="34">
      <c r="A34" s="68">
        <f>'Calendario A'!M118</f>
        <v/>
      </c>
      <c r="B34" s="68">
        <f>'Calendario A'!N118</f>
        <v/>
      </c>
      <c r="C34" s="68">
        <f>'Calendario A'!O118</f>
        <v/>
      </c>
      <c r="D34" s="68">
        <f>'Calendario A'!P118</f>
        <v/>
      </c>
      <c r="E34" s="68">
        <f>'Calendario A'!Q118</f>
        <v/>
      </c>
      <c r="F34" s="68">
        <f>'Calendario A'!R118</f>
        <v/>
      </c>
      <c r="G34" s="68">
        <f>'Calendario A'!S118</f>
        <v/>
      </c>
      <c r="H34" s="68">
        <f>'Calendario A'!T118</f>
        <v/>
      </c>
      <c r="I34" s="68">
        <f>'Calendario A'!U118</f>
        <v/>
      </c>
      <c r="J34" s="68">
        <f>'Calendario A'!V118</f>
        <v/>
      </c>
      <c r="K34" s="68">
        <f>'Calendario A'!W118</f>
        <v/>
      </c>
      <c r="L34" s="68">
        <f>'Calendario A'!X118</f>
        <v/>
      </c>
      <c r="M34" s="68">
        <f>'Calendario A'!Y118</f>
        <v/>
      </c>
      <c r="N34" s="68">
        <f>'Calendario A'!Z118</f>
        <v/>
      </c>
    </row>
    <row r="35">
      <c r="A35" s="68">
        <f>'Calendario A'!M121</f>
        <v/>
      </c>
      <c r="B35" s="68">
        <f>'Calendario A'!N121</f>
        <v/>
      </c>
      <c r="C35" s="68">
        <f>'Calendario A'!O121</f>
        <v/>
      </c>
      <c r="D35" s="68">
        <f>'Calendario A'!P121</f>
        <v/>
      </c>
      <c r="E35" s="68">
        <f>'Calendario A'!Q121</f>
        <v/>
      </c>
      <c r="F35" s="68">
        <f>'Calendario A'!R121</f>
        <v/>
      </c>
      <c r="G35" s="68">
        <f>'Calendario A'!S121</f>
        <v/>
      </c>
      <c r="H35" s="68">
        <f>'Calendario A'!T121</f>
        <v/>
      </c>
      <c r="I35" s="68">
        <f>'Calendario A'!U121</f>
        <v/>
      </c>
      <c r="J35" s="68">
        <f>'Calendario A'!V121</f>
        <v/>
      </c>
      <c r="K35" s="68">
        <f>'Calendario A'!W121</f>
        <v/>
      </c>
      <c r="L35" s="68">
        <f>'Calendario A'!X121</f>
        <v/>
      </c>
      <c r="M35" s="68">
        <f>'Calendario A'!Y121</f>
        <v/>
      </c>
      <c r="N35" s="68">
        <f>'Calendario A'!Z121</f>
        <v/>
      </c>
    </row>
    <row r="36">
      <c r="A36" s="68">
        <f>'Calendario A'!M124</f>
        <v/>
      </c>
      <c r="B36" s="68">
        <f>'Calendario A'!N124</f>
        <v/>
      </c>
      <c r="C36" s="68">
        <f>'Calendario A'!O124</f>
        <v/>
      </c>
      <c r="D36" s="68">
        <f>'Calendario A'!P124</f>
        <v/>
      </c>
      <c r="E36" s="68">
        <f>'Calendario A'!Q124</f>
        <v/>
      </c>
      <c r="F36" s="68">
        <f>'Calendario A'!R124</f>
        <v/>
      </c>
      <c r="G36" s="68">
        <f>'Calendario A'!S124</f>
        <v/>
      </c>
      <c r="H36" s="68">
        <f>'Calendario A'!T124</f>
        <v/>
      </c>
      <c r="I36" s="68">
        <f>'Calendario A'!U124</f>
        <v/>
      </c>
      <c r="J36" s="68">
        <f>'Calendario A'!V124</f>
        <v/>
      </c>
      <c r="K36" s="68">
        <f>'Calendario A'!W124</f>
        <v/>
      </c>
      <c r="L36" s="68">
        <f>'Calendario A'!X124</f>
        <v/>
      </c>
      <c r="M36" s="68">
        <f>'Calendario A'!Y124</f>
        <v/>
      </c>
      <c r="N36" s="68">
        <f>'Calendario A'!Z124</f>
        <v/>
      </c>
    </row>
    <row r="37">
      <c r="A37" s="68">
        <f>'Calendario A'!M129</f>
        <v/>
      </c>
      <c r="B37" s="68">
        <f>'Calendario A'!N129</f>
        <v/>
      </c>
      <c r="C37" s="68">
        <f>'Calendario A'!O129</f>
        <v/>
      </c>
      <c r="D37" s="68">
        <f>'Calendario A'!P129</f>
        <v/>
      </c>
      <c r="E37" s="68">
        <f>'Calendario A'!Q129</f>
        <v/>
      </c>
      <c r="F37" s="68">
        <f>'Calendario A'!R129</f>
        <v/>
      </c>
      <c r="G37" s="68">
        <f>'Calendario A'!S129</f>
        <v/>
      </c>
      <c r="H37" s="68">
        <f>'Calendario A'!T129</f>
        <v/>
      </c>
      <c r="I37" s="68">
        <f>'Calendario A'!U129</f>
        <v/>
      </c>
      <c r="J37" s="68">
        <f>'Calendario A'!V129</f>
        <v/>
      </c>
      <c r="K37" s="68">
        <f>'Calendario A'!W129</f>
        <v/>
      </c>
      <c r="L37" s="68">
        <f>'Calendario A'!X129</f>
        <v/>
      </c>
      <c r="M37" s="68">
        <f>'Calendario A'!Y129</f>
        <v/>
      </c>
      <c r="N37" s="68">
        <f>'Calendario A'!Z129</f>
        <v/>
      </c>
    </row>
    <row r="38">
      <c r="A38" s="68">
        <f>'Calendario A'!M132</f>
        <v/>
      </c>
      <c r="B38" s="68">
        <f>'Calendario A'!N132</f>
        <v/>
      </c>
      <c r="C38" s="68">
        <f>'Calendario A'!O132</f>
        <v/>
      </c>
      <c r="D38" s="68">
        <f>'Calendario A'!P132</f>
        <v/>
      </c>
      <c r="E38" s="68">
        <f>'Calendario A'!Q132</f>
        <v/>
      </c>
      <c r="F38" s="68">
        <f>'Calendario A'!R132</f>
        <v/>
      </c>
      <c r="G38" s="68">
        <f>'Calendario A'!S132</f>
        <v/>
      </c>
      <c r="H38" s="68">
        <f>'Calendario A'!T132</f>
        <v/>
      </c>
      <c r="I38" s="68">
        <f>'Calendario A'!U132</f>
        <v/>
      </c>
      <c r="J38" s="68">
        <f>'Calendario A'!V132</f>
        <v/>
      </c>
      <c r="K38" s="68">
        <f>'Calendario A'!W132</f>
        <v/>
      </c>
      <c r="L38" s="68">
        <f>'Calendario A'!X132</f>
        <v/>
      </c>
      <c r="M38" s="68">
        <f>'Calendario A'!Y132</f>
        <v/>
      </c>
      <c r="N38" s="68">
        <f>'Calendario A'!Z132</f>
        <v/>
      </c>
    </row>
    <row r="39">
      <c r="A39" s="68">
        <f>'Calendario A'!M135</f>
        <v/>
      </c>
      <c r="B39" s="68">
        <f>'Calendario A'!N135</f>
        <v/>
      </c>
      <c r="C39" s="68">
        <f>'Calendario A'!O135</f>
        <v/>
      </c>
      <c r="D39" s="68">
        <f>'Calendario A'!P135</f>
        <v/>
      </c>
      <c r="E39" s="68">
        <f>'Calendario A'!Q135</f>
        <v/>
      </c>
      <c r="F39" s="68">
        <f>'Calendario A'!R135</f>
        <v/>
      </c>
      <c r="G39" s="68">
        <f>'Calendario A'!S135</f>
        <v/>
      </c>
      <c r="H39" s="68">
        <f>'Calendario A'!T135</f>
        <v/>
      </c>
      <c r="I39" s="68">
        <f>'Calendario A'!U135</f>
        <v/>
      </c>
      <c r="J39" s="68">
        <f>'Calendario A'!V135</f>
        <v/>
      </c>
      <c r="K39" s="68">
        <f>'Calendario A'!W135</f>
        <v/>
      </c>
      <c r="L39" s="68">
        <f>'Calendario A'!X135</f>
        <v/>
      </c>
      <c r="M39" s="68">
        <f>'Calendario A'!Y135</f>
        <v/>
      </c>
      <c r="N39" s="68">
        <f>'Calendario A'!Z135</f>
        <v/>
      </c>
    </row>
    <row r="40">
      <c r="A40" s="68">
        <f>'Calendario A'!M138</f>
        <v/>
      </c>
      <c r="B40" s="68">
        <f>'Calendario A'!N138</f>
        <v/>
      </c>
      <c r="C40" s="68">
        <f>'Calendario A'!O138</f>
        <v/>
      </c>
      <c r="D40" s="68">
        <f>'Calendario A'!P138</f>
        <v/>
      </c>
      <c r="E40" s="68">
        <f>'Calendario A'!Q138</f>
        <v/>
      </c>
      <c r="F40" s="68">
        <f>'Calendario A'!R138</f>
        <v/>
      </c>
      <c r="G40" s="68">
        <f>'Calendario A'!S138</f>
        <v/>
      </c>
      <c r="H40" s="68">
        <f>'Calendario A'!T138</f>
        <v/>
      </c>
      <c r="I40" s="68">
        <f>'Calendario A'!U138</f>
        <v/>
      </c>
      <c r="J40" s="68">
        <f>'Calendario A'!V138</f>
        <v/>
      </c>
      <c r="K40" s="68">
        <f>'Calendario A'!W138</f>
        <v/>
      </c>
      <c r="L40" s="68">
        <f>'Calendario A'!X138</f>
        <v/>
      </c>
      <c r="M40" s="68">
        <f>'Calendario A'!Y138</f>
        <v/>
      </c>
      <c r="N40" s="68">
        <f>'Calendario A'!Z138</f>
        <v/>
      </c>
    </row>
    <row r="41">
      <c r="A41" s="68">
        <f>'Calendario A'!M141</f>
        <v/>
      </c>
      <c r="B41" s="68">
        <f>'Calendario A'!N141</f>
        <v/>
      </c>
      <c r="C41" s="68">
        <f>'Calendario A'!O141</f>
        <v/>
      </c>
      <c r="D41" s="68">
        <f>'Calendario A'!P141</f>
        <v/>
      </c>
      <c r="E41" s="68">
        <f>'Calendario A'!Q141</f>
        <v/>
      </c>
      <c r="F41" s="68">
        <f>'Calendario A'!R141</f>
        <v/>
      </c>
      <c r="G41" s="68">
        <f>'Calendario A'!S141</f>
        <v/>
      </c>
      <c r="H41" s="68">
        <f>'Calendario A'!T141</f>
        <v/>
      </c>
      <c r="I41" s="68">
        <f>'Calendario A'!U141</f>
        <v/>
      </c>
      <c r="J41" s="68">
        <f>'Calendario A'!V141</f>
        <v/>
      </c>
      <c r="K41" s="68">
        <f>'Calendario A'!W141</f>
        <v/>
      </c>
      <c r="L41" s="68">
        <f>'Calendario A'!X141</f>
        <v/>
      </c>
      <c r="M41" s="68">
        <f>'Calendario A'!Y141</f>
        <v/>
      </c>
      <c r="N41" s="68">
        <f>'Calendario A'!Z141</f>
        <v/>
      </c>
    </row>
    <row r="42">
      <c r="A42" s="68">
        <f>'Calendario A'!M146</f>
        <v/>
      </c>
      <c r="B42" s="68">
        <f>'Calendario A'!N146</f>
        <v/>
      </c>
      <c r="C42" s="68">
        <f>'Calendario A'!O146</f>
        <v/>
      </c>
      <c r="D42" s="68">
        <f>'Calendario A'!P146</f>
        <v/>
      </c>
      <c r="E42" s="68">
        <f>'Calendario A'!Q146</f>
        <v/>
      </c>
      <c r="F42" s="68">
        <f>'Calendario A'!R146</f>
        <v/>
      </c>
      <c r="G42" s="68">
        <f>'Calendario A'!S146</f>
        <v/>
      </c>
      <c r="H42" s="68">
        <f>'Calendario A'!T146</f>
        <v/>
      </c>
      <c r="I42" s="68">
        <f>'Calendario A'!U146</f>
        <v/>
      </c>
      <c r="J42" s="68">
        <f>'Calendario A'!V146</f>
        <v/>
      </c>
      <c r="K42" s="68">
        <f>'Calendario A'!W146</f>
        <v/>
      </c>
      <c r="L42" s="68">
        <f>'Calendario A'!X146</f>
        <v/>
      </c>
      <c r="M42" s="68">
        <f>'Calendario A'!Y146</f>
        <v/>
      </c>
      <c r="N42" s="68">
        <f>'Calendario A'!Z146</f>
        <v/>
      </c>
    </row>
    <row r="43">
      <c r="A43" s="68">
        <f>'Calendario A'!M149</f>
        <v/>
      </c>
      <c r="B43" s="68">
        <f>'Calendario A'!N149</f>
        <v/>
      </c>
      <c r="C43" s="68">
        <f>'Calendario A'!O149</f>
        <v/>
      </c>
      <c r="D43" s="68">
        <f>'Calendario A'!P149</f>
        <v/>
      </c>
      <c r="E43" s="68">
        <f>'Calendario A'!Q149</f>
        <v/>
      </c>
      <c r="F43" s="68">
        <f>'Calendario A'!R149</f>
        <v/>
      </c>
      <c r="G43" s="68">
        <f>'Calendario A'!S149</f>
        <v/>
      </c>
      <c r="H43" s="68">
        <f>'Calendario A'!T149</f>
        <v/>
      </c>
      <c r="I43" s="68">
        <f>'Calendario A'!U149</f>
        <v/>
      </c>
      <c r="J43" s="68">
        <f>'Calendario A'!V149</f>
        <v/>
      </c>
      <c r="K43" s="68">
        <f>'Calendario A'!W149</f>
        <v/>
      </c>
      <c r="L43" s="68">
        <f>'Calendario A'!X149</f>
        <v/>
      </c>
      <c r="M43" s="68">
        <f>'Calendario A'!Y149</f>
        <v/>
      </c>
      <c r="N43" s="68">
        <f>'Calendario A'!Z149</f>
        <v/>
      </c>
    </row>
    <row r="44">
      <c r="A44" s="68">
        <f>'Calendario A'!M152</f>
        <v/>
      </c>
      <c r="B44" s="68">
        <f>'Calendario A'!N152</f>
        <v/>
      </c>
      <c r="C44" s="68">
        <f>'Calendario A'!O152</f>
        <v/>
      </c>
      <c r="D44" s="68">
        <f>'Calendario A'!P152</f>
        <v/>
      </c>
      <c r="E44" s="68">
        <f>'Calendario A'!Q152</f>
        <v/>
      </c>
      <c r="F44" s="68">
        <f>'Calendario A'!R152</f>
        <v/>
      </c>
      <c r="G44" s="68">
        <f>'Calendario A'!S152</f>
        <v/>
      </c>
      <c r="H44" s="68">
        <f>'Calendario A'!T152</f>
        <v/>
      </c>
      <c r="I44" s="68">
        <f>'Calendario A'!U152</f>
        <v/>
      </c>
      <c r="J44" s="68">
        <f>'Calendario A'!V152</f>
        <v/>
      </c>
      <c r="K44" s="68">
        <f>'Calendario A'!W152</f>
        <v/>
      </c>
      <c r="L44" s="68">
        <f>'Calendario A'!X152</f>
        <v/>
      </c>
      <c r="M44" s="68">
        <f>'Calendario A'!Y152</f>
        <v/>
      </c>
      <c r="N44" s="68">
        <f>'Calendario A'!Z152</f>
        <v/>
      </c>
    </row>
    <row r="45">
      <c r="A45" s="68">
        <f>'Calendario A'!M155</f>
        <v/>
      </c>
      <c r="B45" s="68">
        <f>'Calendario A'!N155</f>
        <v/>
      </c>
      <c r="C45" s="68">
        <f>'Calendario A'!O155</f>
        <v/>
      </c>
      <c r="D45" s="68">
        <f>'Calendario A'!P155</f>
        <v/>
      </c>
      <c r="E45" s="68">
        <f>'Calendario A'!Q155</f>
        <v/>
      </c>
      <c r="F45" s="68">
        <f>'Calendario A'!R155</f>
        <v/>
      </c>
      <c r="G45" s="68">
        <f>'Calendario A'!S155</f>
        <v/>
      </c>
      <c r="H45" s="68">
        <f>'Calendario A'!T155</f>
        <v/>
      </c>
      <c r="I45" s="68">
        <f>'Calendario A'!U155</f>
        <v/>
      </c>
      <c r="J45" s="68">
        <f>'Calendario A'!V155</f>
        <v/>
      </c>
      <c r="K45" s="68">
        <f>'Calendario A'!W155</f>
        <v/>
      </c>
      <c r="L45" s="68">
        <f>'Calendario A'!X155</f>
        <v/>
      </c>
      <c r="M45" s="68">
        <f>'Calendario A'!Y155</f>
        <v/>
      </c>
      <c r="N45" s="68">
        <f>'Calendario A'!Z155</f>
        <v/>
      </c>
    </row>
    <row r="46">
      <c r="A46" s="68">
        <f>'Calendario A'!M158</f>
        <v/>
      </c>
      <c r="B46" s="68">
        <f>'Calendario A'!N158</f>
        <v/>
      </c>
      <c r="C46" s="68">
        <f>'Calendario A'!O158</f>
        <v/>
      </c>
      <c r="D46" s="68">
        <f>'Calendario A'!P158</f>
        <v/>
      </c>
      <c r="E46" s="68">
        <f>'Calendario A'!Q158</f>
        <v/>
      </c>
      <c r="F46" s="68">
        <f>'Calendario A'!R158</f>
        <v/>
      </c>
      <c r="G46" s="68">
        <f>'Calendario A'!S158</f>
        <v/>
      </c>
      <c r="H46" s="68">
        <f>'Calendario A'!T158</f>
        <v/>
      </c>
      <c r="I46" s="68">
        <f>'Calendario A'!U158</f>
        <v/>
      </c>
      <c r="J46" s="68">
        <f>'Calendario A'!V158</f>
        <v/>
      </c>
      <c r="K46" s="68">
        <f>'Calendario A'!W158</f>
        <v/>
      </c>
      <c r="L46" s="68">
        <f>'Calendario A'!X158</f>
        <v/>
      </c>
      <c r="M46" s="68">
        <f>'Calendario A'!Y158</f>
        <v/>
      </c>
      <c r="N46" s="68">
        <f>'Calendario A'!Z158</f>
        <v/>
      </c>
    </row>
    <row r="47">
      <c r="A47" s="68">
        <f>'Calendario B'!M10</f>
        <v/>
      </c>
      <c r="B47" s="68">
        <f>'Calendario B'!N10</f>
        <v/>
      </c>
      <c r="C47" s="68">
        <f>'Calendario B'!O10</f>
        <v/>
      </c>
      <c r="D47" s="68">
        <f>'Calendario B'!P10</f>
        <v/>
      </c>
      <c r="E47" s="68">
        <f>'Calendario B'!Q10</f>
        <v/>
      </c>
      <c r="F47" s="68">
        <f>'Calendario B'!R10</f>
        <v/>
      </c>
      <c r="G47" s="68">
        <f>'Calendario B'!S10</f>
        <v/>
      </c>
      <c r="H47" s="68">
        <f>'Calendario B'!T10</f>
        <v/>
      </c>
      <c r="I47" s="68">
        <f>'Calendario B'!U10</f>
        <v/>
      </c>
      <c r="J47" s="68">
        <f>'Calendario B'!V10</f>
        <v/>
      </c>
      <c r="K47" s="68">
        <f>'Calendario B'!W10</f>
        <v/>
      </c>
      <c r="L47" s="68">
        <f>'Calendario B'!X10</f>
        <v/>
      </c>
      <c r="M47" s="68">
        <f>'Calendario B'!Y10</f>
        <v/>
      </c>
      <c r="N47" s="68">
        <f>'Calendario B'!Z10</f>
        <v/>
      </c>
    </row>
    <row r="48">
      <c r="A48" s="68">
        <f>'Calendario B'!M13</f>
        <v/>
      </c>
      <c r="B48" s="68">
        <f>'Calendario B'!N13</f>
        <v/>
      </c>
      <c r="C48" s="68">
        <f>'Calendario B'!O13</f>
        <v/>
      </c>
      <c r="D48" s="68">
        <f>'Calendario B'!P13</f>
        <v/>
      </c>
      <c r="E48" s="68">
        <f>'Calendario B'!Q13</f>
        <v/>
      </c>
      <c r="F48" s="68">
        <f>'Calendario B'!R13</f>
        <v/>
      </c>
      <c r="G48" s="68">
        <f>'Calendario B'!S13</f>
        <v/>
      </c>
      <c r="H48" s="68">
        <f>'Calendario B'!T13</f>
        <v/>
      </c>
      <c r="I48" s="68">
        <f>'Calendario B'!U13</f>
        <v/>
      </c>
      <c r="J48" s="68">
        <f>'Calendario B'!V13</f>
        <v/>
      </c>
      <c r="K48" s="68">
        <f>'Calendario B'!W13</f>
        <v/>
      </c>
      <c r="L48" s="68">
        <f>'Calendario B'!X13</f>
        <v/>
      </c>
      <c r="M48" s="68">
        <f>'Calendario B'!Y13</f>
        <v/>
      </c>
      <c r="N48" s="68">
        <f>'Calendario B'!Z13</f>
        <v/>
      </c>
    </row>
    <row r="49">
      <c r="A49" s="68">
        <f>'Calendario B'!M16</f>
        <v/>
      </c>
      <c r="B49" s="68">
        <f>'Calendario B'!N16</f>
        <v/>
      </c>
      <c r="C49" s="68">
        <f>'Calendario B'!O16</f>
        <v/>
      </c>
      <c r="D49" s="68">
        <f>'Calendario B'!P16</f>
        <v/>
      </c>
      <c r="E49" s="68">
        <f>'Calendario B'!Q16</f>
        <v/>
      </c>
      <c r="F49" s="68">
        <f>'Calendario B'!R16</f>
        <v/>
      </c>
      <c r="G49" s="68">
        <f>'Calendario B'!S16</f>
        <v/>
      </c>
      <c r="H49" s="68">
        <f>'Calendario B'!T16</f>
        <v/>
      </c>
      <c r="I49" s="68">
        <f>'Calendario B'!U16</f>
        <v/>
      </c>
      <c r="J49" s="68">
        <f>'Calendario B'!V16</f>
        <v/>
      </c>
      <c r="K49" s="68">
        <f>'Calendario B'!W16</f>
        <v/>
      </c>
      <c r="L49" s="68">
        <f>'Calendario B'!X16</f>
        <v/>
      </c>
      <c r="M49" s="68">
        <f>'Calendario B'!Y16</f>
        <v/>
      </c>
      <c r="N49" s="68">
        <f>'Calendario B'!Z16</f>
        <v/>
      </c>
    </row>
    <row r="50">
      <c r="A50" s="68">
        <f>'Calendario B'!M19</f>
        <v/>
      </c>
      <c r="B50" s="68">
        <f>'Calendario B'!N19</f>
        <v/>
      </c>
      <c r="C50" s="68">
        <f>'Calendario B'!O19</f>
        <v/>
      </c>
      <c r="D50" s="68">
        <f>'Calendario B'!P19</f>
        <v/>
      </c>
      <c r="E50" s="68">
        <f>'Calendario B'!Q19</f>
        <v/>
      </c>
      <c r="F50" s="68">
        <f>'Calendario B'!R19</f>
        <v/>
      </c>
      <c r="G50" s="68">
        <f>'Calendario B'!S19</f>
        <v/>
      </c>
      <c r="H50" s="68">
        <f>'Calendario B'!T19</f>
        <v/>
      </c>
      <c r="I50" s="68">
        <f>'Calendario B'!U19</f>
        <v/>
      </c>
      <c r="J50" s="68">
        <f>'Calendario B'!V19</f>
        <v/>
      </c>
      <c r="K50" s="68">
        <f>'Calendario B'!W19</f>
        <v/>
      </c>
      <c r="L50" s="68">
        <f>'Calendario B'!X19</f>
        <v/>
      </c>
      <c r="M50" s="68">
        <f>'Calendario B'!Y19</f>
        <v/>
      </c>
      <c r="N50" s="68">
        <f>'Calendario B'!Z19</f>
        <v/>
      </c>
    </row>
    <row r="51">
      <c r="A51" s="68">
        <f>'Calendario B'!M22</f>
        <v/>
      </c>
      <c r="B51" s="68">
        <f>'Calendario B'!N22</f>
        <v/>
      </c>
      <c r="C51" s="68">
        <f>'Calendario B'!O22</f>
        <v/>
      </c>
      <c r="D51" s="68">
        <f>'Calendario B'!P22</f>
        <v/>
      </c>
      <c r="E51" s="68">
        <f>'Calendario B'!Q22</f>
        <v/>
      </c>
      <c r="F51" s="68">
        <f>'Calendario B'!R22</f>
        <v/>
      </c>
      <c r="G51" s="68">
        <f>'Calendario B'!S22</f>
        <v/>
      </c>
      <c r="H51" s="68">
        <f>'Calendario B'!T22</f>
        <v/>
      </c>
      <c r="I51" s="68">
        <f>'Calendario B'!U22</f>
        <v/>
      </c>
      <c r="J51" s="68">
        <f>'Calendario B'!V22</f>
        <v/>
      </c>
      <c r="K51" s="68">
        <f>'Calendario B'!W22</f>
        <v/>
      </c>
      <c r="L51" s="68">
        <f>'Calendario B'!X22</f>
        <v/>
      </c>
      <c r="M51" s="68">
        <f>'Calendario B'!Y22</f>
        <v/>
      </c>
      <c r="N51" s="68">
        <f>'Calendario B'!Z22</f>
        <v/>
      </c>
    </row>
    <row r="52">
      <c r="A52" s="68">
        <f>'Calendario B'!M27</f>
        <v/>
      </c>
      <c r="B52" s="68">
        <f>'Calendario B'!N27</f>
        <v/>
      </c>
      <c r="C52" s="68">
        <f>'Calendario B'!O27</f>
        <v/>
      </c>
      <c r="D52" s="68">
        <f>'Calendario B'!P27</f>
        <v/>
      </c>
      <c r="E52" s="68">
        <f>'Calendario B'!Q27</f>
        <v/>
      </c>
      <c r="F52" s="68">
        <f>'Calendario B'!R27</f>
        <v/>
      </c>
      <c r="G52" s="68">
        <f>'Calendario B'!S27</f>
        <v/>
      </c>
      <c r="H52" s="68">
        <f>'Calendario B'!T27</f>
        <v/>
      </c>
      <c r="I52" s="68">
        <f>'Calendario B'!U27</f>
        <v/>
      </c>
      <c r="J52" s="68">
        <f>'Calendario B'!V27</f>
        <v/>
      </c>
      <c r="K52" s="68">
        <f>'Calendario B'!W27</f>
        <v/>
      </c>
      <c r="L52" s="68">
        <f>'Calendario B'!X27</f>
        <v/>
      </c>
      <c r="M52" s="68">
        <f>'Calendario B'!Y27</f>
        <v/>
      </c>
      <c r="N52" s="68">
        <f>'Calendario B'!Z27</f>
        <v/>
      </c>
    </row>
    <row r="53">
      <c r="A53" s="68">
        <f>'Calendario B'!M30</f>
        <v/>
      </c>
      <c r="B53" s="68">
        <f>'Calendario B'!N30</f>
        <v/>
      </c>
      <c r="C53" s="68">
        <f>'Calendario B'!O30</f>
        <v/>
      </c>
      <c r="D53" s="68">
        <f>'Calendario B'!P30</f>
        <v/>
      </c>
      <c r="E53" s="68">
        <f>'Calendario B'!Q30</f>
        <v/>
      </c>
      <c r="F53" s="68">
        <f>'Calendario B'!R30</f>
        <v/>
      </c>
      <c r="G53" s="68">
        <f>'Calendario B'!S30</f>
        <v/>
      </c>
      <c r="H53" s="68">
        <f>'Calendario B'!T30</f>
        <v/>
      </c>
      <c r="I53" s="68">
        <f>'Calendario B'!U30</f>
        <v/>
      </c>
      <c r="J53" s="68">
        <f>'Calendario B'!V30</f>
        <v/>
      </c>
      <c r="K53" s="68">
        <f>'Calendario B'!W30</f>
        <v/>
      </c>
      <c r="L53" s="68">
        <f>'Calendario B'!X30</f>
        <v/>
      </c>
      <c r="M53" s="68">
        <f>'Calendario B'!Y30</f>
        <v/>
      </c>
      <c r="N53" s="68">
        <f>'Calendario B'!Z30</f>
        <v/>
      </c>
    </row>
    <row r="54">
      <c r="A54" s="68">
        <f>'Calendario B'!M33</f>
        <v/>
      </c>
      <c r="B54" s="68">
        <f>'Calendario B'!N33</f>
        <v/>
      </c>
      <c r="C54" s="68">
        <f>'Calendario B'!O33</f>
        <v/>
      </c>
      <c r="D54" s="68">
        <f>'Calendario B'!P33</f>
        <v/>
      </c>
      <c r="E54" s="68">
        <f>'Calendario B'!Q33</f>
        <v/>
      </c>
      <c r="F54" s="68">
        <f>'Calendario B'!R33</f>
        <v/>
      </c>
      <c r="G54" s="68">
        <f>'Calendario B'!S33</f>
        <v/>
      </c>
      <c r="H54" s="68">
        <f>'Calendario B'!T33</f>
        <v/>
      </c>
      <c r="I54" s="68">
        <f>'Calendario B'!U33</f>
        <v/>
      </c>
      <c r="J54" s="68">
        <f>'Calendario B'!V33</f>
        <v/>
      </c>
      <c r="K54" s="68">
        <f>'Calendario B'!W33</f>
        <v/>
      </c>
      <c r="L54" s="68">
        <f>'Calendario B'!X33</f>
        <v/>
      </c>
      <c r="M54" s="68">
        <f>'Calendario B'!Y33</f>
        <v/>
      </c>
      <c r="N54" s="68">
        <f>'Calendario B'!Z33</f>
        <v/>
      </c>
    </row>
    <row r="55">
      <c r="A55" s="68">
        <f>'Calendario B'!M36</f>
        <v/>
      </c>
      <c r="B55" s="68">
        <f>'Calendario B'!N36</f>
        <v/>
      </c>
      <c r="C55" s="68">
        <f>'Calendario B'!O36</f>
        <v/>
      </c>
      <c r="D55" s="68">
        <f>'Calendario B'!P36</f>
        <v/>
      </c>
      <c r="E55" s="68">
        <f>'Calendario B'!Q36</f>
        <v/>
      </c>
      <c r="F55" s="68">
        <f>'Calendario B'!R36</f>
        <v/>
      </c>
      <c r="G55" s="68">
        <f>'Calendario B'!S36</f>
        <v/>
      </c>
      <c r="H55" s="68">
        <f>'Calendario B'!T36</f>
        <v/>
      </c>
      <c r="I55" s="68">
        <f>'Calendario B'!U36</f>
        <v/>
      </c>
      <c r="J55" s="68">
        <f>'Calendario B'!V36</f>
        <v/>
      </c>
      <c r="K55" s="68">
        <f>'Calendario B'!W36</f>
        <v/>
      </c>
      <c r="L55" s="68">
        <f>'Calendario B'!X36</f>
        <v/>
      </c>
      <c r="M55" s="68">
        <f>'Calendario B'!Y36</f>
        <v/>
      </c>
      <c r="N55" s="68">
        <f>'Calendario B'!Z36</f>
        <v/>
      </c>
    </row>
    <row r="56">
      <c r="A56" s="68">
        <f>'Calendario B'!M39</f>
        <v/>
      </c>
      <c r="B56" s="68">
        <f>'Calendario B'!N39</f>
        <v/>
      </c>
      <c r="C56" s="68">
        <f>'Calendario B'!O39</f>
        <v/>
      </c>
      <c r="D56" s="68">
        <f>'Calendario B'!P39</f>
        <v/>
      </c>
      <c r="E56" s="68">
        <f>'Calendario B'!Q39</f>
        <v/>
      </c>
      <c r="F56" s="68">
        <f>'Calendario B'!R39</f>
        <v/>
      </c>
      <c r="G56" s="68">
        <f>'Calendario B'!S39</f>
        <v/>
      </c>
      <c r="H56" s="68">
        <f>'Calendario B'!T39</f>
        <v/>
      </c>
      <c r="I56" s="68">
        <f>'Calendario B'!U39</f>
        <v/>
      </c>
      <c r="J56" s="68">
        <f>'Calendario B'!V39</f>
        <v/>
      </c>
      <c r="K56" s="68">
        <f>'Calendario B'!W39</f>
        <v/>
      </c>
      <c r="L56" s="68">
        <f>'Calendario B'!X39</f>
        <v/>
      </c>
      <c r="M56" s="68">
        <f>'Calendario B'!Y39</f>
        <v/>
      </c>
      <c r="N56" s="68">
        <f>'Calendario B'!Z39</f>
        <v/>
      </c>
    </row>
    <row r="57">
      <c r="A57" s="68">
        <f>'Calendario B'!M44</f>
        <v/>
      </c>
      <c r="B57" s="68">
        <f>'Calendario B'!N44</f>
        <v/>
      </c>
      <c r="C57" s="68">
        <f>'Calendario B'!O44</f>
        <v/>
      </c>
      <c r="D57" s="68">
        <f>'Calendario B'!P44</f>
        <v/>
      </c>
      <c r="E57" s="68">
        <f>'Calendario B'!Q44</f>
        <v/>
      </c>
      <c r="F57" s="68">
        <f>'Calendario B'!R44</f>
        <v/>
      </c>
      <c r="G57" s="68">
        <f>'Calendario B'!S44</f>
        <v/>
      </c>
      <c r="H57" s="68">
        <f>'Calendario B'!T44</f>
        <v/>
      </c>
      <c r="I57" s="68">
        <f>'Calendario B'!U44</f>
        <v/>
      </c>
      <c r="J57" s="68">
        <f>'Calendario B'!V44</f>
        <v/>
      </c>
      <c r="K57" s="68">
        <f>'Calendario B'!W44</f>
        <v/>
      </c>
      <c r="L57" s="68">
        <f>'Calendario B'!X44</f>
        <v/>
      </c>
      <c r="M57" s="68">
        <f>'Calendario B'!Y44</f>
        <v/>
      </c>
      <c r="N57" s="68">
        <f>'Calendario B'!Z44</f>
        <v/>
      </c>
    </row>
    <row r="58">
      <c r="A58" s="68">
        <f>'Calendario B'!M47</f>
        <v/>
      </c>
      <c r="B58" s="68">
        <f>'Calendario B'!N47</f>
        <v/>
      </c>
      <c r="C58" s="68">
        <f>'Calendario B'!O47</f>
        <v/>
      </c>
      <c r="D58" s="68">
        <f>'Calendario B'!P47</f>
        <v/>
      </c>
      <c r="E58" s="68">
        <f>'Calendario B'!Q47</f>
        <v/>
      </c>
      <c r="F58" s="68">
        <f>'Calendario B'!R47</f>
        <v/>
      </c>
      <c r="G58" s="68">
        <f>'Calendario B'!S47</f>
        <v/>
      </c>
      <c r="H58" s="68">
        <f>'Calendario B'!T47</f>
        <v/>
      </c>
      <c r="I58" s="68">
        <f>'Calendario B'!U47</f>
        <v/>
      </c>
      <c r="J58" s="68">
        <f>'Calendario B'!V47</f>
        <v/>
      </c>
      <c r="K58" s="68">
        <f>'Calendario B'!W47</f>
        <v/>
      </c>
      <c r="L58" s="68">
        <f>'Calendario B'!X47</f>
        <v/>
      </c>
      <c r="M58" s="68">
        <f>'Calendario B'!Y47</f>
        <v/>
      </c>
      <c r="N58" s="68">
        <f>'Calendario B'!Z47</f>
        <v/>
      </c>
    </row>
    <row r="59">
      <c r="A59" s="68">
        <f>'Calendario B'!M50</f>
        <v/>
      </c>
      <c r="B59" s="68">
        <f>'Calendario B'!N50</f>
        <v/>
      </c>
      <c r="C59" s="68">
        <f>'Calendario B'!O50</f>
        <v/>
      </c>
      <c r="D59" s="68">
        <f>'Calendario B'!P50</f>
        <v/>
      </c>
      <c r="E59" s="68">
        <f>'Calendario B'!Q50</f>
        <v/>
      </c>
      <c r="F59" s="68">
        <f>'Calendario B'!R50</f>
        <v/>
      </c>
      <c r="G59" s="68">
        <f>'Calendario B'!S50</f>
        <v/>
      </c>
      <c r="H59" s="68">
        <f>'Calendario B'!T50</f>
        <v/>
      </c>
      <c r="I59" s="68">
        <f>'Calendario B'!U50</f>
        <v/>
      </c>
      <c r="J59" s="68">
        <f>'Calendario B'!V50</f>
        <v/>
      </c>
      <c r="K59" s="68">
        <f>'Calendario B'!W50</f>
        <v/>
      </c>
      <c r="L59" s="68">
        <f>'Calendario B'!X50</f>
        <v/>
      </c>
      <c r="M59" s="68">
        <f>'Calendario B'!Y50</f>
        <v/>
      </c>
      <c r="N59" s="68">
        <f>'Calendario B'!Z50</f>
        <v/>
      </c>
    </row>
    <row r="60">
      <c r="A60" s="68">
        <f>'Calendario B'!M53</f>
        <v/>
      </c>
      <c r="B60" s="68">
        <f>'Calendario B'!N53</f>
        <v/>
      </c>
      <c r="C60" s="68">
        <f>'Calendario B'!O53</f>
        <v/>
      </c>
      <c r="D60" s="68">
        <f>'Calendario B'!P53</f>
        <v/>
      </c>
      <c r="E60" s="68">
        <f>'Calendario B'!Q53</f>
        <v/>
      </c>
      <c r="F60" s="68">
        <f>'Calendario B'!R53</f>
        <v/>
      </c>
      <c r="G60" s="68">
        <f>'Calendario B'!S53</f>
        <v/>
      </c>
      <c r="H60" s="68">
        <f>'Calendario B'!T53</f>
        <v/>
      </c>
      <c r="I60" s="68">
        <f>'Calendario B'!U53</f>
        <v/>
      </c>
      <c r="J60" s="68">
        <f>'Calendario B'!V53</f>
        <v/>
      </c>
      <c r="K60" s="68">
        <f>'Calendario B'!W53</f>
        <v/>
      </c>
      <c r="L60" s="68">
        <f>'Calendario B'!X53</f>
        <v/>
      </c>
      <c r="M60" s="68">
        <f>'Calendario B'!Y53</f>
        <v/>
      </c>
      <c r="N60" s="68">
        <f>'Calendario B'!Z53</f>
        <v/>
      </c>
    </row>
    <row r="61">
      <c r="A61" s="68">
        <f>'Calendario B'!M56</f>
        <v/>
      </c>
      <c r="B61" s="68">
        <f>'Calendario B'!N56</f>
        <v/>
      </c>
      <c r="C61" s="68">
        <f>'Calendario B'!O56</f>
        <v/>
      </c>
      <c r="D61" s="68">
        <f>'Calendario B'!P56</f>
        <v/>
      </c>
      <c r="E61" s="68">
        <f>'Calendario B'!Q56</f>
        <v/>
      </c>
      <c r="F61" s="68">
        <f>'Calendario B'!R56</f>
        <v/>
      </c>
      <c r="G61" s="68">
        <f>'Calendario B'!S56</f>
        <v/>
      </c>
      <c r="H61" s="68">
        <f>'Calendario B'!T56</f>
        <v/>
      </c>
      <c r="I61" s="68">
        <f>'Calendario B'!U56</f>
        <v/>
      </c>
      <c r="J61" s="68">
        <f>'Calendario B'!V56</f>
        <v/>
      </c>
      <c r="K61" s="68">
        <f>'Calendario B'!W56</f>
        <v/>
      </c>
      <c r="L61" s="68">
        <f>'Calendario B'!X56</f>
        <v/>
      </c>
      <c r="M61" s="68">
        <f>'Calendario B'!Y56</f>
        <v/>
      </c>
      <c r="N61" s="68">
        <f>'Calendario B'!Z56</f>
        <v/>
      </c>
    </row>
    <row r="62">
      <c r="A62" s="68">
        <f>'Calendario B'!M61</f>
        <v/>
      </c>
      <c r="B62" s="68">
        <f>'Calendario B'!N61</f>
        <v/>
      </c>
      <c r="C62" s="68">
        <f>'Calendario B'!O61</f>
        <v/>
      </c>
      <c r="D62" s="68">
        <f>'Calendario B'!P61</f>
        <v/>
      </c>
      <c r="E62" s="68">
        <f>'Calendario B'!Q61</f>
        <v/>
      </c>
      <c r="F62" s="68">
        <f>'Calendario B'!R61</f>
        <v/>
      </c>
      <c r="G62" s="68">
        <f>'Calendario B'!S61</f>
        <v/>
      </c>
      <c r="H62" s="68">
        <f>'Calendario B'!T61</f>
        <v/>
      </c>
      <c r="I62" s="68">
        <f>'Calendario B'!U61</f>
        <v/>
      </c>
      <c r="J62" s="68">
        <f>'Calendario B'!V61</f>
        <v/>
      </c>
      <c r="K62" s="68">
        <f>'Calendario B'!W61</f>
        <v/>
      </c>
      <c r="L62" s="68">
        <f>'Calendario B'!X61</f>
        <v/>
      </c>
      <c r="M62" s="68">
        <f>'Calendario B'!Y61</f>
        <v/>
      </c>
      <c r="N62" s="68">
        <f>'Calendario B'!Z61</f>
        <v/>
      </c>
    </row>
    <row r="63">
      <c r="A63" s="68">
        <f>'Calendario B'!M64</f>
        <v/>
      </c>
      <c r="B63" s="68">
        <f>'Calendario B'!N64</f>
        <v/>
      </c>
      <c r="C63" s="68">
        <f>'Calendario B'!O64</f>
        <v/>
      </c>
      <c r="D63" s="68">
        <f>'Calendario B'!P64</f>
        <v/>
      </c>
      <c r="E63" s="68">
        <f>'Calendario B'!Q64</f>
        <v/>
      </c>
      <c r="F63" s="68">
        <f>'Calendario B'!R64</f>
        <v/>
      </c>
      <c r="G63" s="68">
        <f>'Calendario B'!S64</f>
        <v/>
      </c>
      <c r="H63" s="68">
        <f>'Calendario B'!T64</f>
        <v/>
      </c>
      <c r="I63" s="68">
        <f>'Calendario B'!U64</f>
        <v/>
      </c>
      <c r="J63" s="68">
        <f>'Calendario B'!V64</f>
        <v/>
      </c>
      <c r="K63" s="68">
        <f>'Calendario B'!W64</f>
        <v/>
      </c>
      <c r="L63" s="68">
        <f>'Calendario B'!X64</f>
        <v/>
      </c>
      <c r="M63" s="68">
        <f>'Calendario B'!Y64</f>
        <v/>
      </c>
      <c r="N63" s="68">
        <f>'Calendario B'!Z64</f>
        <v/>
      </c>
    </row>
    <row r="64">
      <c r="A64" s="68">
        <f>'Calendario B'!M67</f>
        <v/>
      </c>
      <c r="B64" s="68">
        <f>'Calendario B'!N67</f>
        <v/>
      </c>
      <c r="C64" s="68">
        <f>'Calendario B'!O67</f>
        <v/>
      </c>
      <c r="D64" s="68">
        <f>'Calendario B'!P67</f>
        <v/>
      </c>
      <c r="E64" s="68">
        <f>'Calendario B'!Q67</f>
        <v/>
      </c>
      <c r="F64" s="68">
        <f>'Calendario B'!R67</f>
        <v/>
      </c>
      <c r="G64" s="68">
        <f>'Calendario B'!S67</f>
        <v/>
      </c>
      <c r="H64" s="68">
        <f>'Calendario B'!T67</f>
        <v/>
      </c>
      <c r="I64" s="68">
        <f>'Calendario B'!U67</f>
        <v/>
      </c>
      <c r="J64" s="68">
        <f>'Calendario B'!V67</f>
        <v/>
      </c>
      <c r="K64" s="68">
        <f>'Calendario B'!W67</f>
        <v/>
      </c>
      <c r="L64" s="68">
        <f>'Calendario B'!X67</f>
        <v/>
      </c>
      <c r="M64" s="68">
        <f>'Calendario B'!Y67</f>
        <v/>
      </c>
      <c r="N64" s="68">
        <f>'Calendario B'!Z67</f>
        <v/>
      </c>
    </row>
    <row r="65">
      <c r="A65" s="68">
        <f>'Calendario B'!M70</f>
        <v/>
      </c>
      <c r="B65" s="68">
        <f>'Calendario B'!N70</f>
        <v/>
      </c>
      <c r="C65" s="68">
        <f>'Calendario B'!O70</f>
        <v/>
      </c>
      <c r="D65" s="68">
        <f>'Calendario B'!P70</f>
        <v/>
      </c>
      <c r="E65" s="68">
        <f>'Calendario B'!Q70</f>
        <v/>
      </c>
      <c r="F65" s="68">
        <f>'Calendario B'!R70</f>
        <v/>
      </c>
      <c r="G65" s="68">
        <f>'Calendario B'!S70</f>
        <v/>
      </c>
      <c r="H65" s="68">
        <f>'Calendario B'!T70</f>
        <v/>
      </c>
      <c r="I65" s="68">
        <f>'Calendario B'!U70</f>
        <v/>
      </c>
      <c r="J65" s="68">
        <f>'Calendario B'!V70</f>
        <v/>
      </c>
      <c r="K65" s="68">
        <f>'Calendario B'!W70</f>
        <v/>
      </c>
      <c r="L65" s="68">
        <f>'Calendario B'!X70</f>
        <v/>
      </c>
      <c r="M65" s="68">
        <f>'Calendario B'!Y70</f>
        <v/>
      </c>
      <c r="N65" s="68">
        <f>'Calendario B'!Z70</f>
        <v/>
      </c>
    </row>
    <row r="66">
      <c r="A66" s="68">
        <f>'Calendario B'!M73</f>
        <v/>
      </c>
      <c r="B66" s="68">
        <f>'Calendario B'!N73</f>
        <v/>
      </c>
      <c r="C66" s="68">
        <f>'Calendario B'!O73</f>
        <v/>
      </c>
      <c r="D66" s="68">
        <f>'Calendario B'!P73</f>
        <v/>
      </c>
      <c r="E66" s="68">
        <f>'Calendario B'!Q73</f>
        <v/>
      </c>
      <c r="F66" s="68">
        <f>'Calendario B'!R73</f>
        <v/>
      </c>
      <c r="G66" s="68">
        <f>'Calendario B'!S73</f>
        <v/>
      </c>
      <c r="H66" s="68">
        <f>'Calendario B'!T73</f>
        <v/>
      </c>
      <c r="I66" s="68">
        <f>'Calendario B'!U73</f>
        <v/>
      </c>
      <c r="J66" s="68">
        <f>'Calendario B'!V73</f>
        <v/>
      </c>
      <c r="K66" s="68">
        <f>'Calendario B'!W73</f>
        <v/>
      </c>
      <c r="L66" s="68">
        <f>'Calendario B'!X73</f>
        <v/>
      </c>
      <c r="M66" s="68">
        <f>'Calendario B'!Y73</f>
        <v/>
      </c>
      <c r="N66" s="68">
        <f>'Calendario B'!Z73</f>
        <v/>
      </c>
    </row>
    <row r="67">
      <c r="A67" s="68">
        <f>'Calendario B'!M78</f>
        <v/>
      </c>
      <c r="B67" s="68">
        <f>'Calendario B'!N78</f>
        <v/>
      </c>
      <c r="C67" s="68">
        <f>'Calendario B'!O78</f>
        <v/>
      </c>
      <c r="D67" s="68">
        <f>'Calendario B'!P78</f>
        <v/>
      </c>
      <c r="E67" s="68">
        <f>'Calendario B'!Q78</f>
        <v/>
      </c>
      <c r="F67" s="68">
        <f>'Calendario B'!R78</f>
        <v/>
      </c>
      <c r="G67" s="68">
        <f>'Calendario B'!S78</f>
        <v/>
      </c>
      <c r="H67" s="68">
        <f>'Calendario B'!T78</f>
        <v/>
      </c>
      <c r="I67" s="68">
        <f>'Calendario B'!U78</f>
        <v/>
      </c>
      <c r="J67" s="68">
        <f>'Calendario B'!V78</f>
        <v/>
      </c>
      <c r="K67" s="68">
        <f>'Calendario B'!W78</f>
        <v/>
      </c>
      <c r="L67" s="68">
        <f>'Calendario B'!X78</f>
        <v/>
      </c>
      <c r="M67" s="68">
        <f>'Calendario B'!Y78</f>
        <v/>
      </c>
      <c r="N67" s="68">
        <f>'Calendario B'!Z78</f>
        <v/>
      </c>
    </row>
    <row r="68">
      <c r="A68" s="68">
        <f>'Calendario B'!M81</f>
        <v/>
      </c>
      <c r="B68" s="68">
        <f>'Calendario B'!N81</f>
        <v/>
      </c>
      <c r="C68" s="68">
        <f>'Calendario B'!O81</f>
        <v/>
      </c>
      <c r="D68" s="68">
        <f>'Calendario B'!P81</f>
        <v/>
      </c>
      <c r="E68" s="68">
        <f>'Calendario B'!Q81</f>
        <v/>
      </c>
      <c r="F68" s="68">
        <f>'Calendario B'!R81</f>
        <v/>
      </c>
      <c r="G68" s="68">
        <f>'Calendario B'!S81</f>
        <v/>
      </c>
      <c r="H68" s="68">
        <f>'Calendario B'!T81</f>
        <v/>
      </c>
      <c r="I68" s="68">
        <f>'Calendario B'!U81</f>
        <v/>
      </c>
      <c r="J68" s="68">
        <f>'Calendario B'!V81</f>
        <v/>
      </c>
      <c r="K68" s="68">
        <f>'Calendario B'!W81</f>
        <v/>
      </c>
      <c r="L68" s="68">
        <f>'Calendario B'!X81</f>
        <v/>
      </c>
      <c r="M68" s="68">
        <f>'Calendario B'!Y81</f>
        <v/>
      </c>
      <c r="N68" s="68">
        <f>'Calendario B'!Z81</f>
        <v/>
      </c>
    </row>
    <row r="69">
      <c r="A69" s="68">
        <f>'Calendario B'!M84</f>
        <v/>
      </c>
      <c r="B69" s="68">
        <f>'Calendario B'!N84</f>
        <v/>
      </c>
      <c r="C69" s="68">
        <f>'Calendario B'!O84</f>
        <v/>
      </c>
      <c r="D69" s="68">
        <f>'Calendario B'!P84</f>
        <v/>
      </c>
      <c r="E69" s="68">
        <f>'Calendario B'!Q84</f>
        <v/>
      </c>
      <c r="F69" s="68">
        <f>'Calendario B'!R84</f>
        <v/>
      </c>
      <c r="G69" s="68">
        <f>'Calendario B'!S84</f>
        <v/>
      </c>
      <c r="H69" s="68">
        <f>'Calendario B'!T84</f>
        <v/>
      </c>
      <c r="I69" s="68">
        <f>'Calendario B'!U84</f>
        <v/>
      </c>
      <c r="J69" s="68">
        <f>'Calendario B'!V84</f>
        <v/>
      </c>
      <c r="K69" s="68">
        <f>'Calendario B'!W84</f>
        <v/>
      </c>
      <c r="L69" s="68">
        <f>'Calendario B'!X84</f>
        <v/>
      </c>
      <c r="M69" s="68">
        <f>'Calendario B'!Y84</f>
        <v/>
      </c>
      <c r="N69" s="68">
        <f>'Calendario B'!Z84</f>
        <v/>
      </c>
    </row>
    <row r="70">
      <c r="A70" s="68">
        <f>'Calendario B'!M87</f>
        <v/>
      </c>
      <c r="B70" s="68">
        <f>'Calendario B'!N87</f>
        <v/>
      </c>
      <c r="C70" s="68">
        <f>'Calendario B'!O87</f>
        <v/>
      </c>
      <c r="D70" s="68">
        <f>'Calendario B'!P87</f>
        <v/>
      </c>
      <c r="E70" s="68">
        <f>'Calendario B'!Q87</f>
        <v/>
      </c>
      <c r="F70" s="68">
        <f>'Calendario B'!R87</f>
        <v/>
      </c>
      <c r="G70" s="68">
        <f>'Calendario B'!S87</f>
        <v/>
      </c>
      <c r="H70" s="68">
        <f>'Calendario B'!T87</f>
        <v/>
      </c>
      <c r="I70" s="68">
        <f>'Calendario B'!U87</f>
        <v/>
      </c>
      <c r="J70" s="68">
        <f>'Calendario B'!V87</f>
        <v/>
      </c>
      <c r="K70" s="68">
        <f>'Calendario B'!W87</f>
        <v/>
      </c>
      <c r="L70" s="68">
        <f>'Calendario B'!X87</f>
        <v/>
      </c>
      <c r="M70" s="68">
        <f>'Calendario B'!Y87</f>
        <v/>
      </c>
      <c r="N70" s="68">
        <f>'Calendario B'!Z87</f>
        <v/>
      </c>
    </row>
    <row r="71">
      <c r="A71" s="68">
        <f>'Calendario B'!M90</f>
        <v/>
      </c>
      <c r="B71" s="68">
        <f>'Calendario B'!N90</f>
        <v/>
      </c>
      <c r="C71" s="68">
        <f>'Calendario B'!O90</f>
        <v/>
      </c>
      <c r="D71" s="68">
        <f>'Calendario B'!P90</f>
        <v/>
      </c>
      <c r="E71" s="68">
        <f>'Calendario B'!Q90</f>
        <v/>
      </c>
      <c r="F71" s="68">
        <f>'Calendario B'!R90</f>
        <v/>
      </c>
      <c r="G71" s="68">
        <f>'Calendario B'!S90</f>
        <v/>
      </c>
      <c r="H71" s="68">
        <f>'Calendario B'!T90</f>
        <v/>
      </c>
      <c r="I71" s="68">
        <f>'Calendario B'!U90</f>
        <v/>
      </c>
      <c r="J71" s="68">
        <f>'Calendario B'!V90</f>
        <v/>
      </c>
      <c r="K71" s="68">
        <f>'Calendario B'!W90</f>
        <v/>
      </c>
      <c r="L71" s="68">
        <f>'Calendario B'!X90</f>
        <v/>
      </c>
      <c r="M71" s="68">
        <f>'Calendario B'!Y90</f>
        <v/>
      </c>
      <c r="N71" s="68">
        <f>'Calendario B'!Z90</f>
        <v/>
      </c>
    </row>
    <row r="72">
      <c r="A72" s="68">
        <f>'Calendario B'!M95</f>
        <v/>
      </c>
      <c r="B72" s="68">
        <f>'Calendario B'!N95</f>
        <v/>
      </c>
      <c r="C72" s="68">
        <f>'Calendario B'!O95</f>
        <v/>
      </c>
      <c r="D72" s="68">
        <f>'Calendario B'!P95</f>
        <v/>
      </c>
      <c r="E72" s="68">
        <f>'Calendario B'!Q95</f>
        <v/>
      </c>
      <c r="F72" s="68">
        <f>'Calendario B'!R95</f>
        <v/>
      </c>
      <c r="G72" s="68">
        <f>'Calendario B'!S95</f>
        <v/>
      </c>
      <c r="H72" s="68">
        <f>'Calendario B'!T95</f>
        <v/>
      </c>
      <c r="I72" s="68">
        <f>'Calendario B'!U95</f>
        <v/>
      </c>
      <c r="J72" s="68">
        <f>'Calendario B'!V95</f>
        <v/>
      </c>
      <c r="K72" s="68">
        <f>'Calendario B'!W95</f>
        <v/>
      </c>
      <c r="L72" s="68">
        <f>'Calendario B'!X95</f>
        <v/>
      </c>
      <c r="M72" s="68">
        <f>'Calendario B'!Y95</f>
        <v/>
      </c>
      <c r="N72" s="68">
        <f>'Calendario B'!Z95</f>
        <v/>
      </c>
    </row>
    <row r="73">
      <c r="A73" s="68">
        <f>'Calendario B'!M98</f>
        <v/>
      </c>
      <c r="B73" s="68">
        <f>'Calendario B'!N98</f>
        <v/>
      </c>
      <c r="C73" s="68">
        <f>'Calendario B'!O98</f>
        <v/>
      </c>
      <c r="D73" s="68">
        <f>'Calendario B'!P98</f>
        <v/>
      </c>
      <c r="E73" s="68">
        <f>'Calendario B'!Q98</f>
        <v/>
      </c>
      <c r="F73" s="68">
        <f>'Calendario B'!R98</f>
        <v/>
      </c>
      <c r="G73" s="68">
        <f>'Calendario B'!S98</f>
        <v/>
      </c>
      <c r="H73" s="68">
        <f>'Calendario B'!T98</f>
        <v/>
      </c>
      <c r="I73" s="68">
        <f>'Calendario B'!U98</f>
        <v/>
      </c>
      <c r="J73" s="68">
        <f>'Calendario B'!V98</f>
        <v/>
      </c>
      <c r="K73" s="68">
        <f>'Calendario B'!W98</f>
        <v/>
      </c>
      <c r="L73" s="68">
        <f>'Calendario B'!X98</f>
        <v/>
      </c>
      <c r="M73" s="68">
        <f>'Calendario B'!Y98</f>
        <v/>
      </c>
      <c r="N73" s="68">
        <f>'Calendario B'!Z98</f>
        <v/>
      </c>
    </row>
    <row r="74">
      <c r="A74" s="68">
        <f>'Calendario B'!M101</f>
        <v/>
      </c>
      <c r="B74" s="68">
        <f>'Calendario B'!N101</f>
        <v/>
      </c>
      <c r="C74" s="68">
        <f>'Calendario B'!O101</f>
        <v/>
      </c>
      <c r="D74" s="68">
        <f>'Calendario B'!P101</f>
        <v/>
      </c>
      <c r="E74" s="68">
        <f>'Calendario B'!Q101</f>
        <v/>
      </c>
      <c r="F74" s="68">
        <f>'Calendario B'!R101</f>
        <v/>
      </c>
      <c r="G74" s="68">
        <f>'Calendario B'!S101</f>
        <v/>
      </c>
      <c r="H74" s="68">
        <f>'Calendario B'!T101</f>
        <v/>
      </c>
      <c r="I74" s="68">
        <f>'Calendario B'!U101</f>
        <v/>
      </c>
      <c r="J74" s="68">
        <f>'Calendario B'!V101</f>
        <v/>
      </c>
      <c r="K74" s="68">
        <f>'Calendario B'!W101</f>
        <v/>
      </c>
      <c r="L74" s="68">
        <f>'Calendario B'!X101</f>
        <v/>
      </c>
      <c r="M74" s="68">
        <f>'Calendario B'!Y101</f>
        <v/>
      </c>
      <c r="N74" s="68">
        <f>'Calendario B'!Z101</f>
        <v/>
      </c>
    </row>
    <row r="75">
      <c r="A75" s="68">
        <f>'Calendario B'!M104</f>
        <v/>
      </c>
      <c r="B75" s="68">
        <f>'Calendario B'!N104</f>
        <v/>
      </c>
      <c r="C75" s="68">
        <f>'Calendario B'!O104</f>
        <v/>
      </c>
      <c r="D75" s="68">
        <f>'Calendario B'!P104</f>
        <v/>
      </c>
      <c r="E75" s="68">
        <f>'Calendario B'!Q104</f>
        <v/>
      </c>
      <c r="F75" s="68">
        <f>'Calendario B'!R104</f>
        <v/>
      </c>
      <c r="G75" s="68">
        <f>'Calendario B'!S104</f>
        <v/>
      </c>
      <c r="H75" s="68">
        <f>'Calendario B'!T104</f>
        <v/>
      </c>
      <c r="I75" s="68">
        <f>'Calendario B'!U104</f>
        <v/>
      </c>
      <c r="J75" s="68">
        <f>'Calendario B'!V104</f>
        <v/>
      </c>
      <c r="K75" s="68">
        <f>'Calendario B'!W104</f>
        <v/>
      </c>
      <c r="L75" s="68">
        <f>'Calendario B'!X104</f>
        <v/>
      </c>
      <c r="M75" s="68">
        <f>'Calendario B'!Y104</f>
        <v/>
      </c>
      <c r="N75" s="68">
        <f>'Calendario B'!Z104</f>
        <v/>
      </c>
    </row>
    <row r="76">
      <c r="A76" s="68">
        <f>'Calendario B'!M107</f>
        <v/>
      </c>
      <c r="B76" s="68">
        <f>'Calendario B'!N107</f>
        <v/>
      </c>
      <c r="C76" s="68">
        <f>'Calendario B'!O107</f>
        <v/>
      </c>
      <c r="D76" s="68">
        <f>'Calendario B'!P107</f>
        <v/>
      </c>
      <c r="E76" s="68">
        <f>'Calendario B'!Q107</f>
        <v/>
      </c>
      <c r="F76" s="68">
        <f>'Calendario B'!R107</f>
        <v/>
      </c>
      <c r="G76" s="68">
        <f>'Calendario B'!S107</f>
        <v/>
      </c>
      <c r="H76" s="68">
        <f>'Calendario B'!T107</f>
        <v/>
      </c>
      <c r="I76" s="68">
        <f>'Calendario B'!U107</f>
        <v/>
      </c>
      <c r="J76" s="68">
        <f>'Calendario B'!V107</f>
        <v/>
      </c>
      <c r="K76" s="68">
        <f>'Calendario B'!W107</f>
        <v/>
      </c>
      <c r="L76" s="68">
        <f>'Calendario B'!X107</f>
        <v/>
      </c>
      <c r="M76" s="68">
        <f>'Calendario B'!Y107</f>
        <v/>
      </c>
      <c r="N76" s="68">
        <f>'Calendario B'!Z107</f>
        <v/>
      </c>
    </row>
    <row r="77">
      <c r="A77" s="68">
        <f>'Calendario B'!M112</f>
        <v/>
      </c>
      <c r="B77" s="68">
        <f>'Calendario B'!N112</f>
        <v/>
      </c>
      <c r="C77" s="68">
        <f>'Calendario B'!O112</f>
        <v/>
      </c>
      <c r="D77" s="68">
        <f>'Calendario B'!P112</f>
        <v/>
      </c>
      <c r="E77" s="68">
        <f>'Calendario B'!Q112</f>
        <v/>
      </c>
      <c r="F77" s="68">
        <f>'Calendario B'!R112</f>
        <v/>
      </c>
      <c r="G77" s="68">
        <f>'Calendario B'!S112</f>
        <v/>
      </c>
      <c r="H77" s="68">
        <f>'Calendario B'!T112</f>
        <v/>
      </c>
      <c r="I77" s="68">
        <f>'Calendario B'!U112</f>
        <v/>
      </c>
      <c r="J77" s="68">
        <f>'Calendario B'!V112</f>
        <v/>
      </c>
      <c r="K77" s="68">
        <f>'Calendario B'!W112</f>
        <v/>
      </c>
      <c r="L77" s="68">
        <f>'Calendario B'!X112</f>
        <v/>
      </c>
      <c r="M77" s="68">
        <f>'Calendario B'!Y112</f>
        <v/>
      </c>
      <c r="N77" s="68">
        <f>'Calendario B'!Z112</f>
        <v/>
      </c>
    </row>
    <row r="78">
      <c r="A78" s="68">
        <f>'Calendario B'!M115</f>
        <v/>
      </c>
      <c r="B78" s="68">
        <f>'Calendario B'!N115</f>
        <v/>
      </c>
      <c r="C78" s="68">
        <f>'Calendario B'!O115</f>
        <v/>
      </c>
      <c r="D78" s="68">
        <f>'Calendario B'!P115</f>
        <v/>
      </c>
      <c r="E78" s="68">
        <f>'Calendario B'!Q115</f>
        <v/>
      </c>
      <c r="F78" s="68">
        <f>'Calendario B'!R115</f>
        <v/>
      </c>
      <c r="G78" s="68">
        <f>'Calendario B'!S115</f>
        <v/>
      </c>
      <c r="H78" s="68">
        <f>'Calendario B'!T115</f>
        <v/>
      </c>
      <c r="I78" s="68">
        <f>'Calendario B'!U115</f>
        <v/>
      </c>
      <c r="J78" s="68">
        <f>'Calendario B'!V115</f>
        <v/>
      </c>
      <c r="K78" s="68">
        <f>'Calendario B'!W115</f>
        <v/>
      </c>
      <c r="L78" s="68">
        <f>'Calendario B'!X115</f>
        <v/>
      </c>
      <c r="M78" s="68">
        <f>'Calendario B'!Y115</f>
        <v/>
      </c>
      <c r="N78" s="68">
        <f>'Calendario B'!Z115</f>
        <v/>
      </c>
    </row>
    <row r="79">
      <c r="A79" s="68">
        <f>'Calendario B'!M118</f>
        <v/>
      </c>
      <c r="B79" s="68">
        <f>'Calendario B'!N118</f>
        <v/>
      </c>
      <c r="C79" s="68">
        <f>'Calendario B'!O118</f>
        <v/>
      </c>
      <c r="D79" s="68">
        <f>'Calendario B'!P118</f>
        <v/>
      </c>
      <c r="E79" s="68">
        <f>'Calendario B'!Q118</f>
        <v/>
      </c>
      <c r="F79" s="68">
        <f>'Calendario B'!R118</f>
        <v/>
      </c>
      <c r="G79" s="68">
        <f>'Calendario B'!S118</f>
        <v/>
      </c>
      <c r="H79" s="68">
        <f>'Calendario B'!T118</f>
        <v/>
      </c>
      <c r="I79" s="68">
        <f>'Calendario B'!U118</f>
        <v/>
      </c>
      <c r="J79" s="68">
        <f>'Calendario B'!V118</f>
        <v/>
      </c>
      <c r="K79" s="68">
        <f>'Calendario B'!W118</f>
        <v/>
      </c>
      <c r="L79" s="68">
        <f>'Calendario B'!X118</f>
        <v/>
      </c>
      <c r="M79" s="68">
        <f>'Calendario B'!Y118</f>
        <v/>
      </c>
      <c r="N79" s="68">
        <f>'Calendario B'!Z118</f>
        <v/>
      </c>
    </row>
    <row r="80">
      <c r="A80" s="68">
        <f>'Calendario B'!M121</f>
        <v/>
      </c>
      <c r="B80" s="68">
        <f>'Calendario B'!N121</f>
        <v/>
      </c>
      <c r="C80" s="68">
        <f>'Calendario B'!O121</f>
        <v/>
      </c>
      <c r="D80" s="68">
        <f>'Calendario B'!P121</f>
        <v/>
      </c>
      <c r="E80" s="68">
        <f>'Calendario B'!Q121</f>
        <v/>
      </c>
      <c r="F80" s="68">
        <f>'Calendario B'!R121</f>
        <v/>
      </c>
      <c r="G80" s="68">
        <f>'Calendario B'!S121</f>
        <v/>
      </c>
      <c r="H80" s="68">
        <f>'Calendario B'!T121</f>
        <v/>
      </c>
      <c r="I80" s="68">
        <f>'Calendario B'!U121</f>
        <v/>
      </c>
      <c r="J80" s="68">
        <f>'Calendario B'!V121</f>
        <v/>
      </c>
      <c r="K80" s="68">
        <f>'Calendario B'!W121</f>
        <v/>
      </c>
      <c r="L80" s="68">
        <f>'Calendario B'!X121</f>
        <v/>
      </c>
      <c r="M80" s="68">
        <f>'Calendario B'!Y121</f>
        <v/>
      </c>
      <c r="N80" s="68">
        <f>'Calendario B'!Z121</f>
        <v/>
      </c>
    </row>
    <row r="81">
      <c r="A81" s="68">
        <f>'Calendario B'!M124</f>
        <v/>
      </c>
      <c r="B81" s="68">
        <f>'Calendario B'!N124</f>
        <v/>
      </c>
      <c r="C81" s="68">
        <f>'Calendario B'!O124</f>
        <v/>
      </c>
      <c r="D81" s="68">
        <f>'Calendario B'!P124</f>
        <v/>
      </c>
      <c r="E81" s="68">
        <f>'Calendario B'!Q124</f>
        <v/>
      </c>
      <c r="F81" s="68">
        <f>'Calendario B'!R124</f>
        <v/>
      </c>
      <c r="G81" s="68">
        <f>'Calendario B'!S124</f>
        <v/>
      </c>
      <c r="H81" s="68">
        <f>'Calendario B'!T124</f>
        <v/>
      </c>
      <c r="I81" s="68">
        <f>'Calendario B'!U124</f>
        <v/>
      </c>
      <c r="J81" s="68">
        <f>'Calendario B'!V124</f>
        <v/>
      </c>
      <c r="K81" s="68">
        <f>'Calendario B'!W124</f>
        <v/>
      </c>
      <c r="L81" s="68">
        <f>'Calendario B'!X124</f>
        <v/>
      </c>
      <c r="M81" s="68">
        <f>'Calendario B'!Y124</f>
        <v/>
      </c>
      <c r="N81" s="68">
        <f>'Calendario B'!Z124</f>
        <v/>
      </c>
    </row>
    <row r="82">
      <c r="A82" s="68">
        <f>'Calendario B'!M129</f>
        <v/>
      </c>
      <c r="B82" s="68">
        <f>'Calendario B'!N129</f>
        <v/>
      </c>
      <c r="C82" s="68">
        <f>'Calendario B'!O129</f>
        <v/>
      </c>
      <c r="D82" s="68">
        <f>'Calendario B'!P129</f>
        <v/>
      </c>
      <c r="E82" s="68">
        <f>'Calendario B'!Q129</f>
        <v/>
      </c>
      <c r="F82" s="68">
        <f>'Calendario B'!R129</f>
        <v/>
      </c>
      <c r="G82" s="68">
        <f>'Calendario B'!S129</f>
        <v/>
      </c>
      <c r="H82" s="68">
        <f>'Calendario B'!T129</f>
        <v/>
      </c>
      <c r="I82" s="68">
        <f>'Calendario B'!U129</f>
        <v/>
      </c>
      <c r="J82" s="68">
        <f>'Calendario B'!V129</f>
        <v/>
      </c>
      <c r="K82" s="68">
        <f>'Calendario B'!W129</f>
        <v/>
      </c>
      <c r="L82" s="68">
        <f>'Calendario B'!X129</f>
        <v/>
      </c>
      <c r="M82" s="68">
        <f>'Calendario B'!Y129</f>
        <v/>
      </c>
      <c r="N82" s="68">
        <f>'Calendario B'!Z129</f>
        <v/>
      </c>
    </row>
    <row r="83">
      <c r="A83" s="68">
        <f>'Calendario B'!M132</f>
        <v/>
      </c>
      <c r="B83" s="68">
        <f>'Calendario B'!N132</f>
        <v/>
      </c>
      <c r="C83" s="68">
        <f>'Calendario B'!O132</f>
        <v/>
      </c>
      <c r="D83" s="68">
        <f>'Calendario B'!P132</f>
        <v/>
      </c>
      <c r="E83" s="68">
        <f>'Calendario B'!Q132</f>
        <v/>
      </c>
      <c r="F83" s="68">
        <f>'Calendario B'!R132</f>
        <v/>
      </c>
      <c r="G83" s="68">
        <f>'Calendario B'!S132</f>
        <v/>
      </c>
      <c r="H83" s="68">
        <f>'Calendario B'!T132</f>
        <v/>
      </c>
      <c r="I83" s="68">
        <f>'Calendario B'!U132</f>
        <v/>
      </c>
      <c r="J83" s="68">
        <f>'Calendario B'!V132</f>
        <v/>
      </c>
      <c r="K83" s="68">
        <f>'Calendario B'!W132</f>
        <v/>
      </c>
      <c r="L83" s="68">
        <f>'Calendario B'!X132</f>
        <v/>
      </c>
      <c r="M83" s="68">
        <f>'Calendario B'!Y132</f>
        <v/>
      </c>
      <c r="N83" s="68">
        <f>'Calendario B'!Z132</f>
        <v/>
      </c>
    </row>
    <row r="84">
      <c r="A84" s="68">
        <f>'Calendario B'!M135</f>
        <v/>
      </c>
      <c r="B84" s="68">
        <f>'Calendario B'!N135</f>
        <v/>
      </c>
      <c r="C84" s="68">
        <f>'Calendario B'!O135</f>
        <v/>
      </c>
      <c r="D84" s="68">
        <f>'Calendario B'!P135</f>
        <v/>
      </c>
      <c r="E84" s="68">
        <f>'Calendario B'!Q135</f>
        <v/>
      </c>
      <c r="F84" s="68">
        <f>'Calendario B'!R135</f>
        <v/>
      </c>
      <c r="G84" s="68">
        <f>'Calendario B'!S135</f>
        <v/>
      </c>
      <c r="H84" s="68">
        <f>'Calendario B'!T135</f>
        <v/>
      </c>
      <c r="I84" s="68">
        <f>'Calendario B'!U135</f>
        <v/>
      </c>
      <c r="J84" s="68">
        <f>'Calendario B'!V135</f>
        <v/>
      </c>
      <c r="K84" s="68">
        <f>'Calendario B'!W135</f>
        <v/>
      </c>
      <c r="L84" s="68">
        <f>'Calendario B'!X135</f>
        <v/>
      </c>
      <c r="M84" s="68">
        <f>'Calendario B'!Y135</f>
        <v/>
      </c>
      <c r="N84" s="68">
        <f>'Calendario B'!Z135</f>
        <v/>
      </c>
    </row>
    <row r="85">
      <c r="A85" s="68">
        <f>'Calendario B'!M138</f>
        <v/>
      </c>
      <c r="B85" s="68">
        <f>'Calendario B'!N138</f>
        <v/>
      </c>
      <c r="C85" s="68">
        <f>'Calendario B'!O138</f>
        <v/>
      </c>
      <c r="D85" s="68">
        <f>'Calendario B'!P138</f>
        <v/>
      </c>
      <c r="E85" s="68">
        <f>'Calendario B'!Q138</f>
        <v/>
      </c>
      <c r="F85" s="68">
        <f>'Calendario B'!R138</f>
        <v/>
      </c>
      <c r="G85" s="68">
        <f>'Calendario B'!S138</f>
        <v/>
      </c>
      <c r="H85" s="68">
        <f>'Calendario B'!T138</f>
        <v/>
      </c>
      <c r="I85" s="68">
        <f>'Calendario B'!U138</f>
        <v/>
      </c>
      <c r="J85" s="68">
        <f>'Calendario B'!V138</f>
        <v/>
      </c>
      <c r="K85" s="68">
        <f>'Calendario B'!W138</f>
        <v/>
      </c>
      <c r="L85" s="68">
        <f>'Calendario B'!X138</f>
        <v/>
      </c>
      <c r="M85" s="68">
        <f>'Calendario B'!Y138</f>
        <v/>
      </c>
      <c r="N85" s="68">
        <f>'Calendario B'!Z138</f>
        <v/>
      </c>
    </row>
    <row r="86">
      <c r="A86" s="68">
        <f>'Calendario B'!M141</f>
        <v/>
      </c>
      <c r="B86" s="68">
        <f>'Calendario B'!N141</f>
        <v/>
      </c>
      <c r="C86" s="68">
        <f>'Calendario B'!O141</f>
        <v/>
      </c>
      <c r="D86" s="68">
        <f>'Calendario B'!P141</f>
        <v/>
      </c>
      <c r="E86" s="68">
        <f>'Calendario B'!Q141</f>
        <v/>
      </c>
      <c r="F86" s="68">
        <f>'Calendario B'!R141</f>
        <v/>
      </c>
      <c r="G86" s="68">
        <f>'Calendario B'!S141</f>
        <v/>
      </c>
      <c r="H86" s="68">
        <f>'Calendario B'!T141</f>
        <v/>
      </c>
      <c r="I86" s="68">
        <f>'Calendario B'!U141</f>
        <v/>
      </c>
      <c r="J86" s="68">
        <f>'Calendario B'!V141</f>
        <v/>
      </c>
      <c r="K86" s="68">
        <f>'Calendario B'!W141</f>
        <v/>
      </c>
      <c r="L86" s="68">
        <f>'Calendario B'!X141</f>
        <v/>
      </c>
      <c r="M86" s="68">
        <f>'Calendario B'!Y141</f>
        <v/>
      </c>
      <c r="N86" s="68">
        <f>'Calendario B'!Z141</f>
        <v/>
      </c>
    </row>
    <row r="87">
      <c r="A87" s="68">
        <f>'Calendario B'!M146</f>
        <v/>
      </c>
      <c r="B87" s="68">
        <f>'Calendario B'!N146</f>
        <v/>
      </c>
      <c r="C87" s="68">
        <f>'Calendario B'!O146</f>
        <v/>
      </c>
      <c r="D87" s="68">
        <f>'Calendario B'!P146</f>
        <v/>
      </c>
      <c r="E87" s="68">
        <f>'Calendario B'!Q146</f>
        <v/>
      </c>
      <c r="F87" s="68">
        <f>'Calendario B'!R146</f>
        <v/>
      </c>
      <c r="G87" s="68">
        <f>'Calendario B'!S146</f>
        <v/>
      </c>
      <c r="H87" s="68">
        <f>'Calendario B'!T146</f>
        <v/>
      </c>
      <c r="I87" s="68">
        <f>'Calendario B'!U146</f>
        <v/>
      </c>
      <c r="J87" s="68">
        <f>'Calendario B'!V146</f>
        <v/>
      </c>
      <c r="K87" s="68">
        <f>'Calendario B'!W146</f>
        <v/>
      </c>
      <c r="L87" s="68">
        <f>'Calendario B'!X146</f>
        <v/>
      </c>
      <c r="M87" s="68">
        <f>'Calendario B'!Y146</f>
        <v/>
      </c>
      <c r="N87" s="68">
        <f>'Calendario B'!Z146</f>
        <v/>
      </c>
    </row>
    <row r="88">
      <c r="A88" s="68">
        <f>'Calendario B'!M149</f>
        <v/>
      </c>
      <c r="B88" s="68">
        <f>'Calendario B'!N149</f>
        <v/>
      </c>
      <c r="C88" s="68">
        <f>'Calendario B'!O149</f>
        <v/>
      </c>
      <c r="D88" s="68">
        <f>'Calendario B'!P149</f>
        <v/>
      </c>
      <c r="E88" s="68">
        <f>'Calendario B'!Q149</f>
        <v/>
      </c>
      <c r="F88" s="68">
        <f>'Calendario B'!R149</f>
        <v/>
      </c>
      <c r="G88" s="68">
        <f>'Calendario B'!S149</f>
        <v/>
      </c>
      <c r="H88" s="68">
        <f>'Calendario B'!T149</f>
        <v/>
      </c>
      <c r="I88" s="68">
        <f>'Calendario B'!U149</f>
        <v/>
      </c>
      <c r="J88" s="68">
        <f>'Calendario B'!V149</f>
        <v/>
      </c>
      <c r="K88" s="68">
        <f>'Calendario B'!W149</f>
        <v/>
      </c>
      <c r="L88" s="68">
        <f>'Calendario B'!X149</f>
        <v/>
      </c>
      <c r="M88" s="68">
        <f>'Calendario B'!Y149</f>
        <v/>
      </c>
      <c r="N88" s="68">
        <f>'Calendario B'!Z149</f>
        <v/>
      </c>
    </row>
    <row r="89">
      <c r="A89" s="68">
        <f>'Calendario B'!M152</f>
        <v/>
      </c>
      <c r="B89" s="68">
        <f>'Calendario B'!N152</f>
        <v/>
      </c>
      <c r="C89" s="68">
        <f>'Calendario B'!O152</f>
        <v/>
      </c>
      <c r="D89" s="68">
        <f>'Calendario B'!P152</f>
        <v/>
      </c>
      <c r="E89" s="68">
        <f>'Calendario B'!Q152</f>
        <v/>
      </c>
      <c r="F89" s="68">
        <f>'Calendario B'!R152</f>
        <v/>
      </c>
      <c r="G89" s="68">
        <f>'Calendario B'!S152</f>
        <v/>
      </c>
      <c r="H89" s="68">
        <f>'Calendario B'!T152</f>
        <v/>
      </c>
      <c r="I89" s="68">
        <f>'Calendario B'!U152</f>
        <v/>
      </c>
      <c r="J89" s="68">
        <f>'Calendario B'!V152</f>
        <v/>
      </c>
      <c r="K89" s="68">
        <f>'Calendario B'!W152</f>
        <v/>
      </c>
      <c r="L89" s="68">
        <f>'Calendario B'!X152</f>
        <v/>
      </c>
      <c r="M89" s="68">
        <f>'Calendario B'!Y152</f>
        <v/>
      </c>
      <c r="N89" s="68">
        <f>'Calendario B'!Z152</f>
        <v/>
      </c>
    </row>
    <row r="90">
      <c r="A90" s="68">
        <f>'Calendario B'!M155</f>
        <v/>
      </c>
      <c r="B90" s="68">
        <f>'Calendario B'!N155</f>
        <v/>
      </c>
      <c r="C90" s="68">
        <f>'Calendario B'!O155</f>
        <v/>
      </c>
      <c r="D90" s="68">
        <f>'Calendario B'!P155</f>
        <v/>
      </c>
      <c r="E90" s="68">
        <f>'Calendario B'!Q155</f>
        <v/>
      </c>
      <c r="F90" s="68">
        <f>'Calendario B'!R155</f>
        <v/>
      </c>
      <c r="G90" s="68">
        <f>'Calendario B'!S155</f>
        <v/>
      </c>
      <c r="H90" s="68">
        <f>'Calendario B'!T155</f>
        <v/>
      </c>
      <c r="I90" s="68">
        <f>'Calendario B'!U155</f>
        <v/>
      </c>
      <c r="J90" s="68">
        <f>'Calendario B'!V155</f>
        <v/>
      </c>
      <c r="K90" s="68">
        <f>'Calendario B'!W155</f>
        <v/>
      </c>
      <c r="L90" s="68">
        <f>'Calendario B'!X155</f>
        <v/>
      </c>
      <c r="M90" s="68">
        <f>'Calendario B'!Y155</f>
        <v/>
      </c>
      <c r="N90" s="68">
        <f>'Calendario B'!Z155</f>
        <v/>
      </c>
    </row>
    <row r="91">
      <c r="A91" s="68">
        <f>'Calendario B'!M158</f>
        <v/>
      </c>
      <c r="B91" s="68">
        <f>'Calendario B'!N158</f>
        <v/>
      </c>
      <c r="C91" s="68">
        <f>'Calendario B'!O158</f>
        <v/>
      </c>
      <c r="D91" s="68">
        <f>'Calendario B'!P158</f>
        <v/>
      </c>
      <c r="E91" s="68">
        <f>'Calendario B'!Q158</f>
        <v/>
      </c>
      <c r="F91" s="68">
        <f>'Calendario B'!R158</f>
        <v/>
      </c>
      <c r="G91" s="68">
        <f>'Calendario B'!S158</f>
        <v/>
      </c>
      <c r="H91" s="68">
        <f>'Calendario B'!T158</f>
        <v/>
      </c>
      <c r="I91" s="68">
        <f>'Calendario B'!U158</f>
        <v/>
      </c>
      <c r="J91" s="68">
        <f>'Calendario B'!V158</f>
        <v/>
      </c>
      <c r="K91" s="68">
        <f>'Calendario B'!W158</f>
        <v/>
      </c>
      <c r="L91" s="68">
        <f>'Calendario B'!X158</f>
        <v/>
      </c>
      <c r="M91" s="68">
        <f>'Calendario B'!Y158</f>
        <v/>
      </c>
      <c r="N91" s="68">
        <f>'Calendario B'!Z158</f>
        <v/>
      </c>
    </row>
    <row r="92">
      <c r="A92" s="68">
        <f>'Calendario C'!M10</f>
        <v/>
      </c>
      <c r="B92" s="68">
        <f>'Calendario C'!N10</f>
        <v/>
      </c>
      <c r="C92" s="68">
        <f>'Calendario C'!O10</f>
        <v/>
      </c>
      <c r="D92" s="68">
        <f>'Calendario C'!P10</f>
        <v/>
      </c>
      <c r="E92" s="68">
        <f>'Calendario C'!Q10</f>
        <v/>
      </c>
      <c r="F92" s="68">
        <f>'Calendario C'!R10</f>
        <v/>
      </c>
      <c r="G92" s="68">
        <f>'Calendario C'!S10</f>
        <v/>
      </c>
      <c r="H92" s="68">
        <f>'Calendario C'!T10</f>
        <v/>
      </c>
      <c r="I92" s="68">
        <f>'Calendario C'!U10</f>
        <v/>
      </c>
      <c r="J92" s="68">
        <f>'Calendario C'!V10</f>
        <v/>
      </c>
      <c r="K92" s="68">
        <f>'Calendario C'!W10</f>
        <v/>
      </c>
      <c r="L92" s="68">
        <f>'Calendario C'!X10</f>
        <v/>
      </c>
      <c r="M92" s="68">
        <f>'Calendario C'!Y10</f>
        <v/>
      </c>
      <c r="N92" s="68">
        <f>'Calendario C'!Z10</f>
        <v/>
      </c>
    </row>
    <row r="93">
      <c r="A93" s="68">
        <f>'Calendario C'!M13</f>
        <v/>
      </c>
      <c r="B93" s="68">
        <f>'Calendario C'!N13</f>
        <v/>
      </c>
      <c r="C93" s="68">
        <f>'Calendario C'!O13</f>
        <v/>
      </c>
      <c r="D93" s="68">
        <f>'Calendario C'!P13</f>
        <v/>
      </c>
      <c r="E93" s="68">
        <f>'Calendario C'!Q13</f>
        <v/>
      </c>
      <c r="F93" s="68">
        <f>'Calendario C'!R13</f>
        <v/>
      </c>
      <c r="G93" s="68">
        <f>'Calendario C'!S13</f>
        <v/>
      </c>
      <c r="H93" s="68">
        <f>'Calendario C'!T13</f>
        <v/>
      </c>
      <c r="I93" s="68">
        <f>'Calendario C'!U13</f>
        <v/>
      </c>
      <c r="J93" s="68">
        <f>'Calendario C'!V13</f>
        <v/>
      </c>
      <c r="K93" s="68">
        <f>'Calendario C'!W13</f>
        <v/>
      </c>
      <c r="L93" s="68">
        <f>'Calendario C'!X13</f>
        <v/>
      </c>
      <c r="M93" s="68">
        <f>'Calendario C'!Y13</f>
        <v/>
      </c>
      <c r="N93" s="68">
        <f>'Calendario C'!Z13</f>
        <v/>
      </c>
    </row>
    <row r="94">
      <c r="A94" s="68">
        <f>'Calendario C'!M16</f>
        <v/>
      </c>
      <c r="B94" s="68">
        <f>'Calendario C'!N16</f>
        <v/>
      </c>
      <c r="C94" s="68">
        <f>'Calendario C'!O16</f>
        <v/>
      </c>
      <c r="D94" s="68">
        <f>'Calendario C'!P16</f>
        <v/>
      </c>
      <c r="E94" s="68">
        <f>'Calendario C'!Q16</f>
        <v/>
      </c>
      <c r="F94" s="68">
        <f>'Calendario C'!R16</f>
        <v/>
      </c>
      <c r="G94" s="68">
        <f>'Calendario C'!S16</f>
        <v/>
      </c>
      <c r="H94" s="68">
        <f>'Calendario C'!T16</f>
        <v/>
      </c>
      <c r="I94" s="68">
        <f>'Calendario C'!U16</f>
        <v/>
      </c>
      <c r="J94" s="68">
        <f>'Calendario C'!V16</f>
        <v/>
      </c>
      <c r="K94" s="68">
        <f>'Calendario C'!W16</f>
        <v/>
      </c>
      <c r="L94" s="68">
        <f>'Calendario C'!X16</f>
        <v/>
      </c>
      <c r="M94" s="68">
        <f>'Calendario C'!Y16</f>
        <v/>
      </c>
      <c r="N94" s="68">
        <f>'Calendario C'!Z16</f>
        <v/>
      </c>
    </row>
    <row r="95">
      <c r="A95" s="68">
        <f>'Calendario C'!M19</f>
        <v/>
      </c>
      <c r="B95" s="68">
        <f>'Calendario C'!N19</f>
        <v/>
      </c>
      <c r="C95" s="68">
        <f>'Calendario C'!O19</f>
        <v/>
      </c>
      <c r="D95" s="68">
        <f>'Calendario C'!P19</f>
        <v/>
      </c>
      <c r="E95" s="68">
        <f>'Calendario C'!Q19</f>
        <v/>
      </c>
      <c r="F95" s="68">
        <f>'Calendario C'!R19</f>
        <v/>
      </c>
      <c r="G95" s="68">
        <f>'Calendario C'!S19</f>
        <v/>
      </c>
      <c r="H95" s="68">
        <f>'Calendario C'!T19</f>
        <v/>
      </c>
      <c r="I95" s="68">
        <f>'Calendario C'!U19</f>
        <v/>
      </c>
      <c r="J95" s="68">
        <f>'Calendario C'!V19</f>
        <v/>
      </c>
      <c r="K95" s="68">
        <f>'Calendario C'!W19</f>
        <v/>
      </c>
      <c r="L95" s="68">
        <f>'Calendario C'!X19</f>
        <v/>
      </c>
      <c r="M95" s="68">
        <f>'Calendario C'!Y19</f>
        <v/>
      </c>
      <c r="N95" s="68">
        <f>'Calendario C'!Z19</f>
        <v/>
      </c>
    </row>
    <row r="96">
      <c r="A96" s="68">
        <f>'Calendario C'!M22</f>
        <v/>
      </c>
      <c r="B96" s="68">
        <f>'Calendario C'!N22</f>
        <v/>
      </c>
      <c r="C96" s="68">
        <f>'Calendario C'!O22</f>
        <v/>
      </c>
      <c r="D96" s="68">
        <f>'Calendario C'!P22</f>
        <v/>
      </c>
      <c r="E96" s="68">
        <f>'Calendario C'!Q22</f>
        <v/>
      </c>
      <c r="F96" s="68">
        <f>'Calendario C'!R22</f>
        <v/>
      </c>
      <c r="G96" s="68">
        <f>'Calendario C'!S22</f>
        <v/>
      </c>
      <c r="H96" s="68">
        <f>'Calendario C'!T22</f>
        <v/>
      </c>
      <c r="I96" s="68">
        <f>'Calendario C'!U22</f>
        <v/>
      </c>
      <c r="J96" s="68">
        <f>'Calendario C'!V22</f>
        <v/>
      </c>
      <c r="K96" s="68">
        <f>'Calendario C'!W22</f>
        <v/>
      </c>
      <c r="L96" s="68">
        <f>'Calendario C'!X22</f>
        <v/>
      </c>
      <c r="M96" s="68">
        <f>'Calendario C'!Y22</f>
        <v/>
      </c>
      <c r="N96" s="68">
        <f>'Calendario C'!Z22</f>
        <v/>
      </c>
    </row>
    <row r="97">
      <c r="A97" s="68">
        <f>'Calendario C'!M27</f>
        <v/>
      </c>
      <c r="B97" s="68">
        <f>'Calendario C'!N27</f>
        <v/>
      </c>
      <c r="C97" s="68">
        <f>'Calendario C'!O27</f>
        <v/>
      </c>
      <c r="D97" s="68">
        <f>'Calendario C'!P27</f>
        <v/>
      </c>
      <c r="E97" s="68">
        <f>'Calendario C'!Q27</f>
        <v/>
      </c>
      <c r="F97" s="68">
        <f>'Calendario C'!R27</f>
        <v/>
      </c>
      <c r="G97" s="68">
        <f>'Calendario C'!S27</f>
        <v/>
      </c>
      <c r="H97" s="68">
        <f>'Calendario C'!T27</f>
        <v/>
      </c>
      <c r="I97" s="68">
        <f>'Calendario C'!U27</f>
        <v/>
      </c>
      <c r="J97" s="68">
        <f>'Calendario C'!V27</f>
        <v/>
      </c>
      <c r="K97" s="68">
        <f>'Calendario C'!W27</f>
        <v/>
      </c>
      <c r="L97" s="68">
        <f>'Calendario C'!X27</f>
        <v/>
      </c>
      <c r="M97" s="68">
        <f>'Calendario C'!Y27</f>
        <v/>
      </c>
      <c r="N97" s="68">
        <f>'Calendario C'!Z27</f>
        <v/>
      </c>
    </row>
    <row r="98">
      <c r="A98" s="68">
        <f>'Calendario C'!M30</f>
        <v/>
      </c>
      <c r="B98" s="68">
        <f>'Calendario C'!N30</f>
        <v/>
      </c>
      <c r="C98" s="68">
        <f>'Calendario C'!O30</f>
        <v/>
      </c>
      <c r="D98" s="68">
        <f>'Calendario C'!P30</f>
        <v/>
      </c>
      <c r="E98" s="68">
        <f>'Calendario C'!Q30</f>
        <v/>
      </c>
      <c r="F98" s="68">
        <f>'Calendario C'!R30</f>
        <v/>
      </c>
      <c r="G98" s="68">
        <f>'Calendario C'!S30</f>
        <v/>
      </c>
      <c r="H98" s="68">
        <f>'Calendario C'!T30</f>
        <v/>
      </c>
      <c r="I98" s="68">
        <f>'Calendario C'!U30</f>
        <v/>
      </c>
      <c r="J98" s="68">
        <f>'Calendario C'!V30</f>
        <v/>
      </c>
      <c r="K98" s="68">
        <f>'Calendario C'!W30</f>
        <v/>
      </c>
      <c r="L98" s="68">
        <f>'Calendario C'!X30</f>
        <v/>
      </c>
      <c r="M98" s="68">
        <f>'Calendario C'!Y30</f>
        <v/>
      </c>
      <c r="N98" s="68">
        <f>'Calendario C'!Z30</f>
        <v/>
      </c>
    </row>
    <row r="99">
      <c r="A99" s="68">
        <f>'Calendario C'!M33</f>
        <v/>
      </c>
      <c r="B99" s="68">
        <f>'Calendario C'!N33</f>
        <v/>
      </c>
      <c r="C99" s="68">
        <f>'Calendario C'!O33</f>
        <v/>
      </c>
      <c r="D99" s="68">
        <f>'Calendario C'!P33</f>
        <v/>
      </c>
      <c r="E99" s="68">
        <f>'Calendario C'!Q33</f>
        <v/>
      </c>
      <c r="F99" s="68">
        <f>'Calendario C'!R33</f>
        <v/>
      </c>
      <c r="G99" s="68">
        <f>'Calendario C'!S33</f>
        <v/>
      </c>
      <c r="H99" s="68">
        <f>'Calendario C'!T33</f>
        <v/>
      </c>
      <c r="I99" s="68">
        <f>'Calendario C'!U33</f>
        <v/>
      </c>
      <c r="J99" s="68">
        <f>'Calendario C'!V33</f>
        <v/>
      </c>
      <c r="K99" s="68">
        <f>'Calendario C'!W33</f>
        <v/>
      </c>
      <c r="L99" s="68">
        <f>'Calendario C'!X33</f>
        <v/>
      </c>
      <c r="M99" s="68">
        <f>'Calendario C'!Y33</f>
        <v/>
      </c>
      <c r="N99" s="68">
        <f>'Calendario C'!Z33</f>
        <v/>
      </c>
    </row>
    <row r="100">
      <c r="A100" s="68">
        <f>'Calendario C'!M36</f>
        <v/>
      </c>
      <c r="B100" s="68">
        <f>'Calendario C'!N36</f>
        <v/>
      </c>
      <c r="C100" s="68">
        <f>'Calendario C'!O36</f>
        <v/>
      </c>
      <c r="D100" s="68">
        <f>'Calendario C'!P36</f>
        <v/>
      </c>
      <c r="E100" s="68">
        <f>'Calendario C'!Q36</f>
        <v/>
      </c>
      <c r="F100" s="68">
        <f>'Calendario C'!R36</f>
        <v/>
      </c>
      <c r="G100" s="68">
        <f>'Calendario C'!S36</f>
        <v/>
      </c>
      <c r="H100" s="68">
        <f>'Calendario C'!T36</f>
        <v/>
      </c>
      <c r="I100" s="68">
        <f>'Calendario C'!U36</f>
        <v/>
      </c>
      <c r="J100" s="68">
        <f>'Calendario C'!V36</f>
        <v/>
      </c>
      <c r="K100" s="68">
        <f>'Calendario C'!W36</f>
        <v/>
      </c>
      <c r="L100" s="68">
        <f>'Calendario C'!X36</f>
        <v/>
      </c>
      <c r="M100" s="68">
        <f>'Calendario C'!Y36</f>
        <v/>
      </c>
      <c r="N100" s="68">
        <f>'Calendario C'!Z36</f>
        <v/>
      </c>
    </row>
    <row r="101">
      <c r="A101" s="68">
        <f>'Calendario C'!M39</f>
        <v/>
      </c>
      <c r="B101" s="68">
        <f>'Calendario C'!N39</f>
        <v/>
      </c>
      <c r="C101" s="68">
        <f>'Calendario C'!O39</f>
        <v/>
      </c>
      <c r="D101" s="68">
        <f>'Calendario C'!P39</f>
        <v/>
      </c>
      <c r="E101" s="68">
        <f>'Calendario C'!Q39</f>
        <v/>
      </c>
      <c r="F101" s="68">
        <f>'Calendario C'!R39</f>
        <v/>
      </c>
      <c r="G101" s="68">
        <f>'Calendario C'!S39</f>
        <v/>
      </c>
      <c r="H101" s="68">
        <f>'Calendario C'!T39</f>
        <v/>
      </c>
      <c r="I101" s="68">
        <f>'Calendario C'!U39</f>
        <v/>
      </c>
      <c r="J101" s="68">
        <f>'Calendario C'!V39</f>
        <v/>
      </c>
      <c r="K101" s="68">
        <f>'Calendario C'!W39</f>
        <v/>
      </c>
      <c r="L101" s="68">
        <f>'Calendario C'!X39</f>
        <v/>
      </c>
      <c r="M101" s="68">
        <f>'Calendario C'!Y39</f>
        <v/>
      </c>
      <c r="N101" s="68">
        <f>'Calendario C'!Z39</f>
        <v/>
      </c>
    </row>
    <row r="102">
      <c r="A102" s="68">
        <f>'Calendario C'!M44</f>
        <v/>
      </c>
      <c r="B102" s="68">
        <f>'Calendario C'!N44</f>
        <v/>
      </c>
      <c r="C102" s="68">
        <f>'Calendario C'!O44</f>
        <v/>
      </c>
      <c r="D102" s="68">
        <f>'Calendario C'!P44</f>
        <v/>
      </c>
      <c r="E102" s="68">
        <f>'Calendario C'!Q44</f>
        <v/>
      </c>
      <c r="F102" s="68">
        <f>'Calendario C'!R44</f>
        <v/>
      </c>
      <c r="G102" s="68">
        <f>'Calendario C'!S44</f>
        <v/>
      </c>
      <c r="H102" s="68">
        <f>'Calendario C'!T44</f>
        <v/>
      </c>
      <c r="I102" s="68">
        <f>'Calendario C'!U44</f>
        <v/>
      </c>
      <c r="J102" s="68">
        <f>'Calendario C'!V44</f>
        <v/>
      </c>
      <c r="K102" s="68">
        <f>'Calendario C'!W44</f>
        <v/>
      </c>
      <c r="L102" s="68">
        <f>'Calendario C'!X44</f>
        <v/>
      </c>
      <c r="M102" s="68">
        <f>'Calendario C'!Y44</f>
        <v/>
      </c>
      <c r="N102" s="68">
        <f>'Calendario C'!Z44</f>
        <v/>
      </c>
    </row>
    <row r="103">
      <c r="A103" s="68">
        <f>'Calendario C'!M47</f>
        <v/>
      </c>
      <c r="B103" s="68">
        <f>'Calendario C'!N47</f>
        <v/>
      </c>
      <c r="C103" s="68">
        <f>'Calendario C'!O47</f>
        <v/>
      </c>
      <c r="D103" s="68">
        <f>'Calendario C'!P47</f>
        <v/>
      </c>
      <c r="E103" s="68">
        <f>'Calendario C'!Q47</f>
        <v/>
      </c>
      <c r="F103" s="68">
        <f>'Calendario C'!R47</f>
        <v/>
      </c>
      <c r="G103" s="68">
        <f>'Calendario C'!S47</f>
        <v/>
      </c>
      <c r="H103" s="68">
        <f>'Calendario C'!T47</f>
        <v/>
      </c>
      <c r="I103" s="68">
        <f>'Calendario C'!U47</f>
        <v/>
      </c>
      <c r="J103" s="68">
        <f>'Calendario C'!V47</f>
        <v/>
      </c>
      <c r="K103" s="68">
        <f>'Calendario C'!W47</f>
        <v/>
      </c>
      <c r="L103" s="68">
        <f>'Calendario C'!X47</f>
        <v/>
      </c>
      <c r="M103" s="68">
        <f>'Calendario C'!Y47</f>
        <v/>
      </c>
      <c r="N103" s="68">
        <f>'Calendario C'!Z47</f>
        <v/>
      </c>
    </row>
    <row r="104">
      <c r="A104" s="68">
        <f>'Calendario C'!M50</f>
        <v/>
      </c>
      <c r="B104" s="68">
        <f>'Calendario C'!N50</f>
        <v/>
      </c>
      <c r="C104" s="68">
        <f>'Calendario C'!O50</f>
        <v/>
      </c>
      <c r="D104" s="68">
        <f>'Calendario C'!P50</f>
        <v/>
      </c>
      <c r="E104" s="68">
        <f>'Calendario C'!Q50</f>
        <v/>
      </c>
      <c r="F104" s="68">
        <f>'Calendario C'!R50</f>
        <v/>
      </c>
      <c r="G104" s="68">
        <f>'Calendario C'!S50</f>
        <v/>
      </c>
      <c r="H104" s="68">
        <f>'Calendario C'!T50</f>
        <v/>
      </c>
      <c r="I104" s="68">
        <f>'Calendario C'!U50</f>
        <v/>
      </c>
      <c r="J104" s="68">
        <f>'Calendario C'!V50</f>
        <v/>
      </c>
      <c r="K104" s="68">
        <f>'Calendario C'!W50</f>
        <v/>
      </c>
      <c r="L104" s="68">
        <f>'Calendario C'!X50</f>
        <v/>
      </c>
      <c r="M104" s="68">
        <f>'Calendario C'!Y50</f>
        <v/>
      </c>
      <c r="N104" s="68">
        <f>'Calendario C'!Z50</f>
        <v/>
      </c>
    </row>
    <row r="105">
      <c r="A105" s="68">
        <f>'Calendario C'!M53</f>
        <v/>
      </c>
      <c r="B105" s="68">
        <f>'Calendario C'!N53</f>
        <v/>
      </c>
      <c r="C105" s="68">
        <f>'Calendario C'!O53</f>
        <v/>
      </c>
      <c r="D105" s="68">
        <f>'Calendario C'!P53</f>
        <v/>
      </c>
      <c r="E105" s="68">
        <f>'Calendario C'!Q53</f>
        <v/>
      </c>
      <c r="F105" s="68">
        <f>'Calendario C'!R53</f>
        <v/>
      </c>
      <c r="G105" s="68">
        <f>'Calendario C'!S53</f>
        <v/>
      </c>
      <c r="H105" s="68">
        <f>'Calendario C'!T53</f>
        <v/>
      </c>
      <c r="I105" s="68">
        <f>'Calendario C'!U53</f>
        <v/>
      </c>
      <c r="J105" s="68">
        <f>'Calendario C'!V53</f>
        <v/>
      </c>
      <c r="K105" s="68">
        <f>'Calendario C'!W53</f>
        <v/>
      </c>
      <c r="L105" s="68">
        <f>'Calendario C'!X53</f>
        <v/>
      </c>
      <c r="M105" s="68">
        <f>'Calendario C'!Y53</f>
        <v/>
      </c>
      <c r="N105" s="68">
        <f>'Calendario C'!Z53</f>
        <v/>
      </c>
    </row>
    <row r="106">
      <c r="A106" s="68">
        <f>'Calendario C'!M56</f>
        <v/>
      </c>
      <c r="B106" s="68">
        <f>'Calendario C'!N56</f>
        <v/>
      </c>
      <c r="C106" s="68">
        <f>'Calendario C'!O56</f>
        <v/>
      </c>
      <c r="D106" s="68">
        <f>'Calendario C'!P56</f>
        <v/>
      </c>
      <c r="E106" s="68">
        <f>'Calendario C'!Q56</f>
        <v/>
      </c>
      <c r="F106" s="68">
        <f>'Calendario C'!R56</f>
        <v/>
      </c>
      <c r="G106" s="68">
        <f>'Calendario C'!S56</f>
        <v/>
      </c>
      <c r="H106" s="68">
        <f>'Calendario C'!T56</f>
        <v/>
      </c>
      <c r="I106" s="68">
        <f>'Calendario C'!U56</f>
        <v/>
      </c>
      <c r="J106" s="68">
        <f>'Calendario C'!V56</f>
        <v/>
      </c>
      <c r="K106" s="68">
        <f>'Calendario C'!W56</f>
        <v/>
      </c>
      <c r="L106" s="68">
        <f>'Calendario C'!X56</f>
        <v/>
      </c>
      <c r="M106" s="68">
        <f>'Calendario C'!Y56</f>
        <v/>
      </c>
      <c r="N106" s="68">
        <f>'Calendario C'!Z56</f>
        <v/>
      </c>
    </row>
    <row r="107">
      <c r="A107" s="68">
        <f>'Calendario C'!M61</f>
        <v/>
      </c>
      <c r="B107" s="68">
        <f>'Calendario C'!N61</f>
        <v/>
      </c>
      <c r="C107" s="68">
        <f>'Calendario C'!O61</f>
        <v/>
      </c>
      <c r="D107" s="68">
        <f>'Calendario C'!P61</f>
        <v/>
      </c>
      <c r="E107" s="68">
        <f>'Calendario C'!Q61</f>
        <v/>
      </c>
      <c r="F107" s="68">
        <f>'Calendario C'!R61</f>
        <v/>
      </c>
      <c r="G107" s="68">
        <f>'Calendario C'!S61</f>
        <v/>
      </c>
      <c r="H107" s="68">
        <f>'Calendario C'!T61</f>
        <v/>
      </c>
      <c r="I107" s="68">
        <f>'Calendario C'!U61</f>
        <v/>
      </c>
      <c r="J107" s="68">
        <f>'Calendario C'!V61</f>
        <v/>
      </c>
      <c r="K107" s="68">
        <f>'Calendario C'!W61</f>
        <v/>
      </c>
      <c r="L107" s="68">
        <f>'Calendario C'!X61</f>
        <v/>
      </c>
      <c r="M107" s="68">
        <f>'Calendario C'!Y61</f>
        <v/>
      </c>
      <c r="N107" s="68">
        <f>'Calendario C'!Z61</f>
        <v/>
      </c>
    </row>
    <row r="108">
      <c r="A108" s="68">
        <f>'Calendario C'!M64</f>
        <v/>
      </c>
      <c r="B108" s="68">
        <f>'Calendario C'!N64</f>
        <v/>
      </c>
      <c r="C108" s="68">
        <f>'Calendario C'!O64</f>
        <v/>
      </c>
      <c r="D108" s="68">
        <f>'Calendario C'!P64</f>
        <v/>
      </c>
      <c r="E108" s="68">
        <f>'Calendario C'!Q64</f>
        <v/>
      </c>
      <c r="F108" s="68">
        <f>'Calendario C'!R64</f>
        <v/>
      </c>
      <c r="G108" s="68">
        <f>'Calendario C'!S64</f>
        <v/>
      </c>
      <c r="H108" s="68">
        <f>'Calendario C'!T64</f>
        <v/>
      </c>
      <c r="I108" s="68">
        <f>'Calendario C'!U64</f>
        <v/>
      </c>
      <c r="J108" s="68">
        <f>'Calendario C'!V64</f>
        <v/>
      </c>
      <c r="K108" s="68">
        <f>'Calendario C'!W64</f>
        <v/>
      </c>
      <c r="L108" s="68">
        <f>'Calendario C'!X64</f>
        <v/>
      </c>
      <c r="M108" s="68">
        <f>'Calendario C'!Y64</f>
        <v/>
      </c>
      <c r="N108" s="68">
        <f>'Calendario C'!Z64</f>
        <v/>
      </c>
    </row>
    <row r="109">
      <c r="A109" s="68">
        <f>'Calendario C'!M67</f>
        <v/>
      </c>
      <c r="B109" s="68">
        <f>'Calendario C'!N67</f>
        <v/>
      </c>
      <c r="C109" s="68">
        <f>'Calendario C'!O67</f>
        <v/>
      </c>
      <c r="D109" s="68">
        <f>'Calendario C'!P67</f>
        <v/>
      </c>
      <c r="E109" s="68">
        <f>'Calendario C'!Q67</f>
        <v/>
      </c>
      <c r="F109" s="68">
        <f>'Calendario C'!R67</f>
        <v/>
      </c>
      <c r="G109" s="68">
        <f>'Calendario C'!S67</f>
        <v/>
      </c>
      <c r="H109" s="68">
        <f>'Calendario C'!T67</f>
        <v/>
      </c>
      <c r="I109" s="68">
        <f>'Calendario C'!U67</f>
        <v/>
      </c>
      <c r="J109" s="68">
        <f>'Calendario C'!V67</f>
        <v/>
      </c>
      <c r="K109" s="68">
        <f>'Calendario C'!W67</f>
        <v/>
      </c>
      <c r="L109" s="68">
        <f>'Calendario C'!X67</f>
        <v/>
      </c>
      <c r="M109" s="68">
        <f>'Calendario C'!Y67</f>
        <v/>
      </c>
      <c r="N109" s="68">
        <f>'Calendario C'!Z67</f>
        <v/>
      </c>
    </row>
    <row r="110">
      <c r="A110" s="68">
        <f>'Calendario C'!M70</f>
        <v/>
      </c>
      <c r="B110" s="68">
        <f>'Calendario C'!N70</f>
        <v/>
      </c>
      <c r="C110" s="68">
        <f>'Calendario C'!O70</f>
        <v/>
      </c>
      <c r="D110" s="68">
        <f>'Calendario C'!P70</f>
        <v/>
      </c>
      <c r="E110" s="68">
        <f>'Calendario C'!Q70</f>
        <v/>
      </c>
      <c r="F110" s="68">
        <f>'Calendario C'!R70</f>
        <v/>
      </c>
      <c r="G110" s="68">
        <f>'Calendario C'!S70</f>
        <v/>
      </c>
      <c r="H110" s="68">
        <f>'Calendario C'!T70</f>
        <v/>
      </c>
      <c r="I110" s="68">
        <f>'Calendario C'!U70</f>
        <v/>
      </c>
      <c r="J110" s="68">
        <f>'Calendario C'!V70</f>
        <v/>
      </c>
      <c r="K110" s="68">
        <f>'Calendario C'!W70</f>
        <v/>
      </c>
      <c r="L110" s="68">
        <f>'Calendario C'!X70</f>
        <v/>
      </c>
      <c r="M110" s="68">
        <f>'Calendario C'!Y70</f>
        <v/>
      </c>
      <c r="N110" s="68">
        <f>'Calendario C'!Z70</f>
        <v/>
      </c>
    </row>
    <row r="111">
      <c r="A111" s="68">
        <f>'Calendario C'!M73</f>
        <v/>
      </c>
      <c r="B111" s="68">
        <f>'Calendario C'!N73</f>
        <v/>
      </c>
      <c r="C111" s="68">
        <f>'Calendario C'!O73</f>
        <v/>
      </c>
      <c r="D111" s="68">
        <f>'Calendario C'!P73</f>
        <v/>
      </c>
      <c r="E111" s="68">
        <f>'Calendario C'!Q73</f>
        <v/>
      </c>
      <c r="F111" s="68">
        <f>'Calendario C'!R73</f>
        <v/>
      </c>
      <c r="G111" s="68">
        <f>'Calendario C'!S73</f>
        <v/>
      </c>
      <c r="H111" s="68">
        <f>'Calendario C'!T73</f>
        <v/>
      </c>
      <c r="I111" s="68">
        <f>'Calendario C'!U73</f>
        <v/>
      </c>
      <c r="J111" s="68">
        <f>'Calendario C'!V73</f>
        <v/>
      </c>
      <c r="K111" s="68">
        <f>'Calendario C'!W73</f>
        <v/>
      </c>
      <c r="L111" s="68">
        <f>'Calendario C'!X73</f>
        <v/>
      </c>
      <c r="M111" s="68">
        <f>'Calendario C'!Y73</f>
        <v/>
      </c>
      <c r="N111" s="68">
        <f>'Calendario C'!Z73</f>
        <v/>
      </c>
    </row>
    <row r="112">
      <c r="A112" s="68">
        <f>'Calendario C'!M78</f>
        <v/>
      </c>
      <c r="B112" s="68">
        <f>'Calendario C'!N78</f>
        <v/>
      </c>
      <c r="C112" s="68">
        <f>'Calendario C'!O78</f>
        <v/>
      </c>
      <c r="D112" s="68">
        <f>'Calendario C'!P78</f>
        <v/>
      </c>
      <c r="E112" s="68">
        <f>'Calendario C'!Q78</f>
        <v/>
      </c>
      <c r="F112" s="68">
        <f>'Calendario C'!R78</f>
        <v/>
      </c>
      <c r="G112" s="68">
        <f>'Calendario C'!S78</f>
        <v/>
      </c>
      <c r="H112" s="68">
        <f>'Calendario C'!T78</f>
        <v/>
      </c>
      <c r="I112" s="68">
        <f>'Calendario C'!U78</f>
        <v/>
      </c>
      <c r="J112" s="68">
        <f>'Calendario C'!V78</f>
        <v/>
      </c>
      <c r="K112" s="68">
        <f>'Calendario C'!W78</f>
        <v/>
      </c>
      <c r="L112" s="68">
        <f>'Calendario C'!X78</f>
        <v/>
      </c>
      <c r="M112" s="68">
        <f>'Calendario C'!Y78</f>
        <v/>
      </c>
      <c r="N112" s="68">
        <f>'Calendario C'!Z78</f>
        <v/>
      </c>
    </row>
    <row r="113">
      <c r="A113" s="68">
        <f>'Calendario C'!M81</f>
        <v/>
      </c>
      <c r="B113" s="68">
        <f>'Calendario C'!N81</f>
        <v/>
      </c>
      <c r="C113" s="68">
        <f>'Calendario C'!O81</f>
        <v/>
      </c>
      <c r="D113" s="68">
        <f>'Calendario C'!P81</f>
        <v/>
      </c>
      <c r="E113" s="68">
        <f>'Calendario C'!Q81</f>
        <v/>
      </c>
      <c r="F113" s="68">
        <f>'Calendario C'!R81</f>
        <v/>
      </c>
      <c r="G113" s="68">
        <f>'Calendario C'!S81</f>
        <v/>
      </c>
      <c r="H113" s="68">
        <f>'Calendario C'!T81</f>
        <v/>
      </c>
      <c r="I113" s="68">
        <f>'Calendario C'!U81</f>
        <v/>
      </c>
      <c r="J113" s="68">
        <f>'Calendario C'!V81</f>
        <v/>
      </c>
      <c r="K113" s="68">
        <f>'Calendario C'!W81</f>
        <v/>
      </c>
      <c r="L113" s="68">
        <f>'Calendario C'!X81</f>
        <v/>
      </c>
      <c r="M113" s="68">
        <f>'Calendario C'!Y81</f>
        <v/>
      </c>
      <c r="N113" s="68">
        <f>'Calendario C'!Z81</f>
        <v/>
      </c>
    </row>
    <row r="114">
      <c r="A114" s="68">
        <f>'Calendario C'!M84</f>
        <v/>
      </c>
      <c r="B114" s="68">
        <f>'Calendario C'!N84</f>
        <v/>
      </c>
      <c r="C114" s="68">
        <f>'Calendario C'!O84</f>
        <v/>
      </c>
      <c r="D114" s="68">
        <f>'Calendario C'!P84</f>
        <v/>
      </c>
      <c r="E114" s="68">
        <f>'Calendario C'!Q84</f>
        <v/>
      </c>
      <c r="F114" s="68">
        <f>'Calendario C'!R84</f>
        <v/>
      </c>
      <c r="G114" s="68">
        <f>'Calendario C'!S84</f>
        <v/>
      </c>
      <c r="H114" s="68">
        <f>'Calendario C'!T84</f>
        <v/>
      </c>
      <c r="I114" s="68">
        <f>'Calendario C'!U84</f>
        <v/>
      </c>
      <c r="J114" s="68">
        <f>'Calendario C'!V84</f>
        <v/>
      </c>
      <c r="K114" s="68">
        <f>'Calendario C'!W84</f>
        <v/>
      </c>
      <c r="L114" s="68">
        <f>'Calendario C'!X84</f>
        <v/>
      </c>
      <c r="M114" s="68">
        <f>'Calendario C'!Y84</f>
        <v/>
      </c>
      <c r="N114" s="68">
        <f>'Calendario C'!Z84</f>
        <v/>
      </c>
    </row>
    <row r="115">
      <c r="A115" s="68">
        <f>'Calendario C'!M87</f>
        <v/>
      </c>
      <c r="B115" s="68">
        <f>'Calendario C'!N87</f>
        <v/>
      </c>
      <c r="C115" s="68">
        <f>'Calendario C'!O87</f>
        <v/>
      </c>
      <c r="D115" s="68">
        <f>'Calendario C'!P87</f>
        <v/>
      </c>
      <c r="E115" s="68">
        <f>'Calendario C'!Q87</f>
        <v/>
      </c>
      <c r="F115" s="68">
        <f>'Calendario C'!R87</f>
        <v/>
      </c>
      <c r="G115" s="68">
        <f>'Calendario C'!S87</f>
        <v/>
      </c>
      <c r="H115" s="68">
        <f>'Calendario C'!T87</f>
        <v/>
      </c>
      <c r="I115" s="68">
        <f>'Calendario C'!U87</f>
        <v/>
      </c>
      <c r="J115" s="68">
        <f>'Calendario C'!V87</f>
        <v/>
      </c>
      <c r="K115" s="68">
        <f>'Calendario C'!W87</f>
        <v/>
      </c>
      <c r="L115" s="68">
        <f>'Calendario C'!X87</f>
        <v/>
      </c>
      <c r="M115" s="68">
        <f>'Calendario C'!Y87</f>
        <v/>
      </c>
      <c r="N115" s="68">
        <f>'Calendario C'!Z87</f>
        <v/>
      </c>
    </row>
    <row r="116">
      <c r="A116" s="68">
        <f>'Calendario C'!M90</f>
        <v/>
      </c>
      <c r="B116" s="68">
        <f>'Calendario C'!N90</f>
        <v/>
      </c>
      <c r="C116" s="68">
        <f>'Calendario C'!O90</f>
        <v/>
      </c>
      <c r="D116" s="68">
        <f>'Calendario C'!P90</f>
        <v/>
      </c>
      <c r="E116" s="68">
        <f>'Calendario C'!Q90</f>
        <v/>
      </c>
      <c r="F116" s="68">
        <f>'Calendario C'!R90</f>
        <v/>
      </c>
      <c r="G116" s="68">
        <f>'Calendario C'!S90</f>
        <v/>
      </c>
      <c r="H116" s="68">
        <f>'Calendario C'!T90</f>
        <v/>
      </c>
      <c r="I116" s="68">
        <f>'Calendario C'!U90</f>
        <v/>
      </c>
      <c r="J116" s="68">
        <f>'Calendario C'!V90</f>
        <v/>
      </c>
      <c r="K116" s="68">
        <f>'Calendario C'!W90</f>
        <v/>
      </c>
      <c r="L116" s="68">
        <f>'Calendario C'!X90</f>
        <v/>
      </c>
      <c r="M116" s="68">
        <f>'Calendario C'!Y90</f>
        <v/>
      </c>
      <c r="N116" s="68">
        <f>'Calendario C'!Z90</f>
        <v/>
      </c>
    </row>
    <row r="117">
      <c r="A117" s="68">
        <f>'Calendario C'!M95</f>
        <v/>
      </c>
      <c r="B117" s="68">
        <f>'Calendario C'!N95</f>
        <v/>
      </c>
      <c r="C117" s="68">
        <f>'Calendario C'!O95</f>
        <v/>
      </c>
      <c r="D117" s="68">
        <f>'Calendario C'!P95</f>
        <v/>
      </c>
      <c r="E117" s="68">
        <f>'Calendario C'!Q95</f>
        <v/>
      </c>
      <c r="F117" s="68">
        <f>'Calendario C'!R95</f>
        <v/>
      </c>
      <c r="G117" s="68">
        <f>'Calendario C'!S95</f>
        <v/>
      </c>
      <c r="H117" s="68">
        <f>'Calendario C'!T95</f>
        <v/>
      </c>
      <c r="I117" s="68">
        <f>'Calendario C'!U95</f>
        <v/>
      </c>
      <c r="J117" s="68">
        <f>'Calendario C'!V95</f>
        <v/>
      </c>
      <c r="K117" s="68">
        <f>'Calendario C'!W95</f>
        <v/>
      </c>
      <c r="L117" s="68">
        <f>'Calendario C'!X95</f>
        <v/>
      </c>
      <c r="M117" s="68">
        <f>'Calendario C'!Y95</f>
        <v/>
      </c>
      <c r="N117" s="68">
        <f>'Calendario C'!Z95</f>
        <v/>
      </c>
    </row>
    <row r="118">
      <c r="A118" s="68">
        <f>'Calendario C'!M98</f>
        <v/>
      </c>
      <c r="B118" s="68">
        <f>'Calendario C'!N98</f>
        <v/>
      </c>
      <c r="C118" s="68">
        <f>'Calendario C'!O98</f>
        <v/>
      </c>
      <c r="D118" s="68">
        <f>'Calendario C'!P98</f>
        <v/>
      </c>
      <c r="E118" s="68">
        <f>'Calendario C'!Q98</f>
        <v/>
      </c>
      <c r="F118" s="68">
        <f>'Calendario C'!R98</f>
        <v/>
      </c>
      <c r="G118" s="68">
        <f>'Calendario C'!S98</f>
        <v/>
      </c>
      <c r="H118" s="68">
        <f>'Calendario C'!T98</f>
        <v/>
      </c>
      <c r="I118" s="68">
        <f>'Calendario C'!U98</f>
        <v/>
      </c>
      <c r="J118" s="68">
        <f>'Calendario C'!V98</f>
        <v/>
      </c>
      <c r="K118" s="68">
        <f>'Calendario C'!W98</f>
        <v/>
      </c>
      <c r="L118" s="68">
        <f>'Calendario C'!X98</f>
        <v/>
      </c>
      <c r="M118" s="68">
        <f>'Calendario C'!Y98</f>
        <v/>
      </c>
      <c r="N118" s="68">
        <f>'Calendario C'!Z98</f>
        <v/>
      </c>
    </row>
    <row r="119">
      <c r="A119" s="68">
        <f>'Calendario C'!M101</f>
        <v/>
      </c>
      <c r="B119" s="68">
        <f>'Calendario C'!N101</f>
        <v/>
      </c>
      <c r="C119" s="68">
        <f>'Calendario C'!O101</f>
        <v/>
      </c>
      <c r="D119" s="68">
        <f>'Calendario C'!P101</f>
        <v/>
      </c>
      <c r="E119" s="68">
        <f>'Calendario C'!Q101</f>
        <v/>
      </c>
      <c r="F119" s="68">
        <f>'Calendario C'!R101</f>
        <v/>
      </c>
      <c r="G119" s="68">
        <f>'Calendario C'!S101</f>
        <v/>
      </c>
      <c r="H119" s="68">
        <f>'Calendario C'!T101</f>
        <v/>
      </c>
      <c r="I119" s="68">
        <f>'Calendario C'!U101</f>
        <v/>
      </c>
      <c r="J119" s="68">
        <f>'Calendario C'!V101</f>
        <v/>
      </c>
      <c r="K119" s="68">
        <f>'Calendario C'!W101</f>
        <v/>
      </c>
      <c r="L119" s="68">
        <f>'Calendario C'!X101</f>
        <v/>
      </c>
      <c r="M119" s="68">
        <f>'Calendario C'!Y101</f>
        <v/>
      </c>
      <c r="N119" s="68">
        <f>'Calendario C'!Z101</f>
        <v/>
      </c>
    </row>
    <row r="120">
      <c r="A120" s="68">
        <f>'Calendario C'!M104</f>
        <v/>
      </c>
      <c r="B120" s="68">
        <f>'Calendario C'!N104</f>
        <v/>
      </c>
      <c r="C120" s="68">
        <f>'Calendario C'!O104</f>
        <v/>
      </c>
      <c r="D120" s="68">
        <f>'Calendario C'!P104</f>
        <v/>
      </c>
      <c r="E120" s="68">
        <f>'Calendario C'!Q104</f>
        <v/>
      </c>
      <c r="F120" s="68">
        <f>'Calendario C'!R104</f>
        <v/>
      </c>
      <c r="G120" s="68">
        <f>'Calendario C'!S104</f>
        <v/>
      </c>
      <c r="H120" s="68">
        <f>'Calendario C'!T104</f>
        <v/>
      </c>
      <c r="I120" s="68">
        <f>'Calendario C'!U104</f>
        <v/>
      </c>
      <c r="J120" s="68">
        <f>'Calendario C'!V104</f>
        <v/>
      </c>
      <c r="K120" s="68">
        <f>'Calendario C'!W104</f>
        <v/>
      </c>
      <c r="L120" s="68">
        <f>'Calendario C'!X104</f>
        <v/>
      </c>
      <c r="M120" s="68">
        <f>'Calendario C'!Y104</f>
        <v/>
      </c>
      <c r="N120" s="68">
        <f>'Calendario C'!Z104</f>
        <v/>
      </c>
    </row>
    <row r="121">
      <c r="A121" s="68">
        <f>'Calendario C'!M107</f>
        <v/>
      </c>
      <c r="B121" s="68">
        <f>'Calendario C'!N107</f>
        <v/>
      </c>
      <c r="C121" s="68">
        <f>'Calendario C'!O107</f>
        <v/>
      </c>
      <c r="D121" s="68">
        <f>'Calendario C'!P107</f>
        <v/>
      </c>
      <c r="E121" s="68">
        <f>'Calendario C'!Q107</f>
        <v/>
      </c>
      <c r="F121" s="68">
        <f>'Calendario C'!R107</f>
        <v/>
      </c>
      <c r="G121" s="68">
        <f>'Calendario C'!S107</f>
        <v/>
      </c>
      <c r="H121" s="68">
        <f>'Calendario C'!T107</f>
        <v/>
      </c>
      <c r="I121" s="68">
        <f>'Calendario C'!U107</f>
        <v/>
      </c>
      <c r="J121" s="68">
        <f>'Calendario C'!V107</f>
        <v/>
      </c>
      <c r="K121" s="68">
        <f>'Calendario C'!W107</f>
        <v/>
      </c>
      <c r="L121" s="68">
        <f>'Calendario C'!X107</f>
        <v/>
      </c>
      <c r="M121" s="68">
        <f>'Calendario C'!Y107</f>
        <v/>
      </c>
      <c r="N121" s="68">
        <f>'Calendario C'!Z107</f>
        <v/>
      </c>
    </row>
    <row r="122">
      <c r="A122" s="68">
        <f>'Calendario C'!M112</f>
        <v/>
      </c>
      <c r="B122" s="68">
        <f>'Calendario C'!N112</f>
        <v/>
      </c>
      <c r="C122" s="68">
        <f>'Calendario C'!O112</f>
        <v/>
      </c>
      <c r="D122" s="68">
        <f>'Calendario C'!P112</f>
        <v/>
      </c>
      <c r="E122" s="68">
        <f>'Calendario C'!Q112</f>
        <v/>
      </c>
      <c r="F122" s="68">
        <f>'Calendario C'!R112</f>
        <v/>
      </c>
      <c r="G122" s="68">
        <f>'Calendario C'!S112</f>
        <v/>
      </c>
      <c r="H122" s="68">
        <f>'Calendario C'!T112</f>
        <v/>
      </c>
      <c r="I122" s="68">
        <f>'Calendario C'!U112</f>
        <v/>
      </c>
      <c r="J122" s="68">
        <f>'Calendario C'!V112</f>
        <v/>
      </c>
      <c r="K122" s="68">
        <f>'Calendario C'!W112</f>
        <v/>
      </c>
      <c r="L122" s="68">
        <f>'Calendario C'!X112</f>
        <v/>
      </c>
      <c r="M122" s="68">
        <f>'Calendario C'!Y112</f>
        <v/>
      </c>
      <c r="N122" s="68">
        <f>'Calendario C'!Z112</f>
        <v/>
      </c>
    </row>
    <row r="123">
      <c r="A123" s="68">
        <f>'Calendario C'!M115</f>
        <v/>
      </c>
      <c r="B123" s="68">
        <f>'Calendario C'!N115</f>
        <v/>
      </c>
      <c r="C123" s="68">
        <f>'Calendario C'!O115</f>
        <v/>
      </c>
      <c r="D123" s="68">
        <f>'Calendario C'!P115</f>
        <v/>
      </c>
      <c r="E123" s="68">
        <f>'Calendario C'!Q115</f>
        <v/>
      </c>
      <c r="F123" s="68">
        <f>'Calendario C'!R115</f>
        <v/>
      </c>
      <c r="G123" s="68">
        <f>'Calendario C'!S115</f>
        <v/>
      </c>
      <c r="H123" s="68">
        <f>'Calendario C'!T115</f>
        <v/>
      </c>
      <c r="I123" s="68">
        <f>'Calendario C'!U115</f>
        <v/>
      </c>
      <c r="J123" s="68">
        <f>'Calendario C'!V115</f>
        <v/>
      </c>
      <c r="K123" s="68">
        <f>'Calendario C'!W115</f>
        <v/>
      </c>
      <c r="L123" s="68">
        <f>'Calendario C'!X115</f>
        <v/>
      </c>
      <c r="M123" s="68">
        <f>'Calendario C'!Y115</f>
        <v/>
      </c>
      <c r="N123" s="68">
        <f>'Calendario C'!Z115</f>
        <v/>
      </c>
    </row>
    <row r="124">
      <c r="A124" s="68">
        <f>'Calendario C'!M118</f>
        <v/>
      </c>
      <c r="B124" s="68">
        <f>'Calendario C'!N118</f>
        <v/>
      </c>
      <c r="C124" s="68">
        <f>'Calendario C'!O118</f>
        <v/>
      </c>
      <c r="D124" s="68">
        <f>'Calendario C'!P118</f>
        <v/>
      </c>
      <c r="E124" s="68">
        <f>'Calendario C'!Q118</f>
        <v/>
      </c>
      <c r="F124" s="68">
        <f>'Calendario C'!R118</f>
        <v/>
      </c>
      <c r="G124" s="68">
        <f>'Calendario C'!S118</f>
        <v/>
      </c>
      <c r="H124" s="68">
        <f>'Calendario C'!T118</f>
        <v/>
      </c>
      <c r="I124" s="68">
        <f>'Calendario C'!U118</f>
        <v/>
      </c>
      <c r="J124" s="68">
        <f>'Calendario C'!V118</f>
        <v/>
      </c>
      <c r="K124" s="68">
        <f>'Calendario C'!W118</f>
        <v/>
      </c>
      <c r="L124" s="68">
        <f>'Calendario C'!X118</f>
        <v/>
      </c>
      <c r="M124" s="68">
        <f>'Calendario C'!Y118</f>
        <v/>
      </c>
      <c r="N124" s="68">
        <f>'Calendario C'!Z118</f>
        <v/>
      </c>
    </row>
    <row r="125">
      <c r="A125" s="68">
        <f>'Calendario C'!M121</f>
        <v/>
      </c>
      <c r="B125" s="68">
        <f>'Calendario C'!N121</f>
        <v/>
      </c>
      <c r="C125" s="68">
        <f>'Calendario C'!O121</f>
        <v/>
      </c>
      <c r="D125" s="68">
        <f>'Calendario C'!P121</f>
        <v/>
      </c>
      <c r="E125" s="68">
        <f>'Calendario C'!Q121</f>
        <v/>
      </c>
      <c r="F125" s="68">
        <f>'Calendario C'!R121</f>
        <v/>
      </c>
      <c r="G125" s="68">
        <f>'Calendario C'!S121</f>
        <v/>
      </c>
      <c r="H125" s="68">
        <f>'Calendario C'!T121</f>
        <v/>
      </c>
      <c r="I125" s="68">
        <f>'Calendario C'!U121</f>
        <v/>
      </c>
      <c r="J125" s="68">
        <f>'Calendario C'!V121</f>
        <v/>
      </c>
      <c r="K125" s="68">
        <f>'Calendario C'!W121</f>
        <v/>
      </c>
      <c r="L125" s="68">
        <f>'Calendario C'!X121</f>
        <v/>
      </c>
      <c r="M125" s="68">
        <f>'Calendario C'!Y121</f>
        <v/>
      </c>
      <c r="N125" s="68">
        <f>'Calendario C'!Z121</f>
        <v/>
      </c>
    </row>
    <row r="126">
      <c r="A126" s="68">
        <f>'Calendario C'!M124</f>
        <v/>
      </c>
      <c r="B126" s="68">
        <f>'Calendario C'!N124</f>
        <v/>
      </c>
      <c r="C126" s="68">
        <f>'Calendario C'!O124</f>
        <v/>
      </c>
      <c r="D126" s="68">
        <f>'Calendario C'!P124</f>
        <v/>
      </c>
      <c r="E126" s="68">
        <f>'Calendario C'!Q124</f>
        <v/>
      </c>
      <c r="F126" s="68">
        <f>'Calendario C'!R124</f>
        <v/>
      </c>
      <c r="G126" s="68">
        <f>'Calendario C'!S124</f>
        <v/>
      </c>
      <c r="H126" s="68">
        <f>'Calendario C'!T124</f>
        <v/>
      </c>
      <c r="I126" s="68">
        <f>'Calendario C'!U124</f>
        <v/>
      </c>
      <c r="J126" s="68">
        <f>'Calendario C'!V124</f>
        <v/>
      </c>
      <c r="K126" s="68">
        <f>'Calendario C'!W124</f>
        <v/>
      </c>
      <c r="L126" s="68">
        <f>'Calendario C'!X124</f>
        <v/>
      </c>
      <c r="M126" s="68">
        <f>'Calendario C'!Y124</f>
        <v/>
      </c>
      <c r="N126" s="68">
        <f>'Calendario C'!Z124</f>
        <v/>
      </c>
    </row>
    <row r="127">
      <c r="A127" s="68">
        <f>'Calendario C'!M129</f>
        <v/>
      </c>
      <c r="B127" s="68">
        <f>'Calendario C'!N129</f>
        <v/>
      </c>
      <c r="C127" s="68">
        <f>'Calendario C'!O129</f>
        <v/>
      </c>
      <c r="D127" s="68">
        <f>'Calendario C'!P129</f>
        <v/>
      </c>
      <c r="E127" s="68">
        <f>'Calendario C'!Q129</f>
        <v/>
      </c>
      <c r="F127" s="68">
        <f>'Calendario C'!R129</f>
        <v/>
      </c>
      <c r="G127" s="68">
        <f>'Calendario C'!S129</f>
        <v/>
      </c>
      <c r="H127" s="68">
        <f>'Calendario C'!T129</f>
        <v/>
      </c>
      <c r="I127" s="68">
        <f>'Calendario C'!U129</f>
        <v/>
      </c>
      <c r="J127" s="68">
        <f>'Calendario C'!V129</f>
        <v/>
      </c>
      <c r="K127" s="68">
        <f>'Calendario C'!W129</f>
        <v/>
      </c>
      <c r="L127" s="68">
        <f>'Calendario C'!X129</f>
        <v/>
      </c>
      <c r="M127" s="68">
        <f>'Calendario C'!Y129</f>
        <v/>
      </c>
      <c r="N127" s="68">
        <f>'Calendario C'!Z129</f>
        <v/>
      </c>
    </row>
    <row r="128">
      <c r="A128" s="68">
        <f>'Calendario C'!M132</f>
        <v/>
      </c>
      <c r="B128" s="68">
        <f>'Calendario C'!N132</f>
        <v/>
      </c>
      <c r="C128" s="68">
        <f>'Calendario C'!O132</f>
        <v/>
      </c>
      <c r="D128" s="68">
        <f>'Calendario C'!P132</f>
        <v/>
      </c>
      <c r="E128" s="68">
        <f>'Calendario C'!Q132</f>
        <v/>
      </c>
      <c r="F128" s="68">
        <f>'Calendario C'!R132</f>
        <v/>
      </c>
      <c r="G128" s="68">
        <f>'Calendario C'!S132</f>
        <v/>
      </c>
      <c r="H128" s="68">
        <f>'Calendario C'!T132</f>
        <v/>
      </c>
      <c r="I128" s="68">
        <f>'Calendario C'!U132</f>
        <v/>
      </c>
      <c r="J128" s="68">
        <f>'Calendario C'!V132</f>
        <v/>
      </c>
      <c r="K128" s="68">
        <f>'Calendario C'!W132</f>
        <v/>
      </c>
      <c r="L128" s="68">
        <f>'Calendario C'!X132</f>
        <v/>
      </c>
      <c r="M128" s="68">
        <f>'Calendario C'!Y132</f>
        <v/>
      </c>
      <c r="N128" s="68">
        <f>'Calendario C'!Z132</f>
        <v/>
      </c>
    </row>
    <row r="129">
      <c r="A129" s="68">
        <f>'Calendario C'!M135</f>
        <v/>
      </c>
      <c r="B129" s="68">
        <f>'Calendario C'!N135</f>
        <v/>
      </c>
      <c r="C129" s="68">
        <f>'Calendario C'!O135</f>
        <v/>
      </c>
      <c r="D129" s="68">
        <f>'Calendario C'!P135</f>
        <v/>
      </c>
      <c r="E129" s="68">
        <f>'Calendario C'!Q135</f>
        <v/>
      </c>
      <c r="F129" s="68">
        <f>'Calendario C'!R135</f>
        <v/>
      </c>
      <c r="G129" s="68">
        <f>'Calendario C'!S135</f>
        <v/>
      </c>
      <c r="H129" s="68">
        <f>'Calendario C'!T135</f>
        <v/>
      </c>
      <c r="I129" s="68">
        <f>'Calendario C'!U135</f>
        <v/>
      </c>
      <c r="J129" s="68">
        <f>'Calendario C'!V135</f>
        <v/>
      </c>
      <c r="K129" s="68">
        <f>'Calendario C'!W135</f>
        <v/>
      </c>
      <c r="L129" s="68">
        <f>'Calendario C'!X135</f>
        <v/>
      </c>
      <c r="M129" s="68">
        <f>'Calendario C'!Y135</f>
        <v/>
      </c>
      <c r="N129" s="68">
        <f>'Calendario C'!Z135</f>
        <v/>
      </c>
    </row>
    <row r="130">
      <c r="A130" s="68">
        <f>'Calendario C'!M138</f>
        <v/>
      </c>
      <c r="B130" s="68">
        <f>'Calendario C'!N138</f>
        <v/>
      </c>
      <c r="C130" s="68">
        <f>'Calendario C'!O138</f>
        <v/>
      </c>
      <c r="D130" s="68">
        <f>'Calendario C'!P138</f>
        <v/>
      </c>
      <c r="E130" s="68">
        <f>'Calendario C'!Q138</f>
        <v/>
      </c>
      <c r="F130" s="68">
        <f>'Calendario C'!R138</f>
        <v/>
      </c>
      <c r="G130" s="68">
        <f>'Calendario C'!S138</f>
        <v/>
      </c>
      <c r="H130" s="68">
        <f>'Calendario C'!T138</f>
        <v/>
      </c>
      <c r="I130" s="68">
        <f>'Calendario C'!U138</f>
        <v/>
      </c>
      <c r="J130" s="68">
        <f>'Calendario C'!V138</f>
        <v/>
      </c>
      <c r="K130" s="68">
        <f>'Calendario C'!W138</f>
        <v/>
      </c>
      <c r="L130" s="68">
        <f>'Calendario C'!X138</f>
        <v/>
      </c>
      <c r="M130" s="68">
        <f>'Calendario C'!Y138</f>
        <v/>
      </c>
      <c r="N130" s="68">
        <f>'Calendario C'!Z138</f>
        <v/>
      </c>
    </row>
    <row r="131">
      <c r="A131" s="68">
        <f>'Calendario C'!M141</f>
        <v/>
      </c>
      <c r="B131" s="68">
        <f>'Calendario C'!N141</f>
        <v/>
      </c>
      <c r="C131" s="68">
        <f>'Calendario C'!O141</f>
        <v/>
      </c>
      <c r="D131" s="68">
        <f>'Calendario C'!P141</f>
        <v/>
      </c>
      <c r="E131" s="68">
        <f>'Calendario C'!Q141</f>
        <v/>
      </c>
      <c r="F131" s="68">
        <f>'Calendario C'!R141</f>
        <v/>
      </c>
      <c r="G131" s="68">
        <f>'Calendario C'!S141</f>
        <v/>
      </c>
      <c r="H131" s="68">
        <f>'Calendario C'!T141</f>
        <v/>
      </c>
      <c r="I131" s="68">
        <f>'Calendario C'!U141</f>
        <v/>
      </c>
      <c r="J131" s="68">
        <f>'Calendario C'!V141</f>
        <v/>
      </c>
      <c r="K131" s="68">
        <f>'Calendario C'!W141</f>
        <v/>
      </c>
      <c r="L131" s="68">
        <f>'Calendario C'!X141</f>
        <v/>
      </c>
      <c r="M131" s="68">
        <f>'Calendario C'!Y141</f>
        <v/>
      </c>
      <c r="N131" s="68">
        <f>'Calendario C'!Z141</f>
        <v/>
      </c>
    </row>
    <row r="132">
      <c r="A132" s="68">
        <f>'Calendario C'!M146</f>
        <v/>
      </c>
      <c r="B132" s="68">
        <f>'Calendario C'!N146</f>
        <v/>
      </c>
      <c r="C132" s="68">
        <f>'Calendario C'!O146</f>
        <v/>
      </c>
      <c r="D132" s="68">
        <f>'Calendario C'!P146</f>
        <v/>
      </c>
      <c r="E132" s="68">
        <f>'Calendario C'!Q146</f>
        <v/>
      </c>
      <c r="F132" s="68">
        <f>'Calendario C'!R146</f>
        <v/>
      </c>
      <c r="G132" s="68">
        <f>'Calendario C'!S146</f>
        <v/>
      </c>
      <c r="H132" s="68">
        <f>'Calendario C'!T146</f>
        <v/>
      </c>
      <c r="I132" s="68">
        <f>'Calendario C'!U146</f>
        <v/>
      </c>
      <c r="J132" s="68">
        <f>'Calendario C'!V146</f>
        <v/>
      </c>
      <c r="K132" s="68">
        <f>'Calendario C'!W146</f>
        <v/>
      </c>
      <c r="L132" s="68">
        <f>'Calendario C'!X146</f>
        <v/>
      </c>
      <c r="M132" s="68">
        <f>'Calendario C'!Y146</f>
        <v/>
      </c>
      <c r="N132" s="68">
        <f>'Calendario C'!Z146</f>
        <v/>
      </c>
    </row>
    <row r="133">
      <c r="A133" s="68">
        <f>'Calendario C'!M149</f>
        <v/>
      </c>
      <c r="B133" s="68">
        <f>'Calendario C'!N149</f>
        <v/>
      </c>
      <c r="C133" s="68">
        <f>'Calendario C'!O149</f>
        <v/>
      </c>
      <c r="D133" s="68">
        <f>'Calendario C'!P149</f>
        <v/>
      </c>
      <c r="E133" s="68">
        <f>'Calendario C'!Q149</f>
        <v/>
      </c>
      <c r="F133" s="68">
        <f>'Calendario C'!R149</f>
        <v/>
      </c>
      <c r="G133" s="68">
        <f>'Calendario C'!S149</f>
        <v/>
      </c>
      <c r="H133" s="68">
        <f>'Calendario C'!T149</f>
        <v/>
      </c>
      <c r="I133" s="68">
        <f>'Calendario C'!U149</f>
        <v/>
      </c>
      <c r="J133" s="68">
        <f>'Calendario C'!V149</f>
        <v/>
      </c>
      <c r="K133" s="68">
        <f>'Calendario C'!W149</f>
        <v/>
      </c>
      <c r="L133" s="68">
        <f>'Calendario C'!X149</f>
        <v/>
      </c>
      <c r="M133" s="68">
        <f>'Calendario C'!Y149</f>
        <v/>
      </c>
      <c r="N133" s="68">
        <f>'Calendario C'!Z149</f>
        <v/>
      </c>
    </row>
    <row r="134">
      <c r="A134" s="68">
        <f>'Calendario C'!M152</f>
        <v/>
      </c>
      <c r="B134" s="68">
        <f>'Calendario C'!N152</f>
        <v/>
      </c>
      <c r="C134" s="68">
        <f>'Calendario C'!O152</f>
        <v/>
      </c>
      <c r="D134" s="68">
        <f>'Calendario C'!P152</f>
        <v/>
      </c>
      <c r="E134" s="68">
        <f>'Calendario C'!Q152</f>
        <v/>
      </c>
      <c r="F134" s="68">
        <f>'Calendario C'!R152</f>
        <v/>
      </c>
      <c r="G134" s="68">
        <f>'Calendario C'!S152</f>
        <v/>
      </c>
      <c r="H134" s="68">
        <f>'Calendario C'!T152</f>
        <v/>
      </c>
      <c r="I134" s="68">
        <f>'Calendario C'!U152</f>
        <v/>
      </c>
      <c r="J134" s="68">
        <f>'Calendario C'!V152</f>
        <v/>
      </c>
      <c r="K134" s="68">
        <f>'Calendario C'!W152</f>
        <v/>
      </c>
      <c r="L134" s="68">
        <f>'Calendario C'!X152</f>
        <v/>
      </c>
      <c r="M134" s="68">
        <f>'Calendario C'!Y152</f>
        <v/>
      </c>
      <c r="N134" s="68">
        <f>'Calendario C'!Z152</f>
        <v/>
      </c>
    </row>
    <row r="135">
      <c r="A135" s="68">
        <f>'Calendario C'!M155</f>
        <v/>
      </c>
      <c r="B135" s="68">
        <f>'Calendario C'!N155</f>
        <v/>
      </c>
      <c r="C135" s="68">
        <f>'Calendario C'!O155</f>
        <v/>
      </c>
      <c r="D135" s="68">
        <f>'Calendario C'!P155</f>
        <v/>
      </c>
      <c r="E135" s="68">
        <f>'Calendario C'!Q155</f>
        <v/>
      </c>
      <c r="F135" s="68">
        <f>'Calendario C'!R155</f>
        <v/>
      </c>
      <c r="G135" s="68">
        <f>'Calendario C'!S155</f>
        <v/>
      </c>
      <c r="H135" s="68">
        <f>'Calendario C'!T155</f>
        <v/>
      </c>
      <c r="I135" s="68">
        <f>'Calendario C'!U155</f>
        <v/>
      </c>
      <c r="J135" s="68">
        <f>'Calendario C'!V155</f>
        <v/>
      </c>
      <c r="K135" s="68">
        <f>'Calendario C'!W155</f>
        <v/>
      </c>
      <c r="L135" s="68">
        <f>'Calendario C'!X155</f>
        <v/>
      </c>
      <c r="M135" s="68">
        <f>'Calendario C'!Y155</f>
        <v/>
      </c>
      <c r="N135" s="68">
        <f>'Calendario C'!Z155</f>
        <v/>
      </c>
    </row>
    <row r="136">
      <c r="A136" s="68">
        <f>'Calendario C'!M158</f>
        <v/>
      </c>
      <c r="B136" s="68">
        <f>'Calendario C'!N158</f>
        <v/>
      </c>
      <c r="C136" s="68">
        <f>'Calendario C'!O158</f>
        <v/>
      </c>
      <c r="D136" s="68">
        <f>'Calendario C'!P158</f>
        <v/>
      </c>
      <c r="E136" s="68">
        <f>'Calendario C'!Q158</f>
        <v/>
      </c>
      <c r="F136" s="68">
        <f>'Calendario C'!R158</f>
        <v/>
      </c>
      <c r="G136" s="68">
        <f>'Calendario C'!S158</f>
        <v/>
      </c>
      <c r="H136" s="68">
        <f>'Calendario C'!T158</f>
        <v/>
      </c>
      <c r="I136" s="68">
        <f>'Calendario C'!U158</f>
        <v/>
      </c>
      <c r="J136" s="68">
        <f>'Calendario C'!V158</f>
        <v/>
      </c>
      <c r="K136" s="68">
        <f>'Calendario C'!W158</f>
        <v/>
      </c>
      <c r="L136" s="68">
        <f>'Calendario C'!X158</f>
        <v/>
      </c>
      <c r="M136" s="68">
        <f>'Calendario C'!Y158</f>
        <v/>
      </c>
      <c r="N136" s="68">
        <f>'Calendario C'!Z158</f>
        <v/>
      </c>
    </row>
    <row r="137">
      <c r="A137" s="68">
        <f>'Calendario D'!M10</f>
        <v/>
      </c>
      <c r="B137" s="68">
        <f>'Calendario D'!N10</f>
        <v/>
      </c>
      <c r="C137" s="68">
        <f>'Calendario D'!O10</f>
        <v/>
      </c>
      <c r="D137" s="68">
        <f>'Calendario D'!P10</f>
        <v/>
      </c>
      <c r="E137" s="68">
        <f>'Calendario D'!Q10</f>
        <v/>
      </c>
      <c r="F137" s="68">
        <f>'Calendario D'!R10</f>
        <v/>
      </c>
      <c r="G137" s="68">
        <f>'Calendario D'!S10</f>
        <v/>
      </c>
      <c r="H137" s="68">
        <f>'Calendario D'!T10</f>
        <v/>
      </c>
      <c r="I137" s="68">
        <f>'Calendario D'!U10</f>
        <v/>
      </c>
      <c r="J137" s="68">
        <f>'Calendario D'!V10</f>
        <v/>
      </c>
      <c r="K137" s="68">
        <f>'Calendario D'!W10</f>
        <v/>
      </c>
      <c r="L137" s="68">
        <f>'Calendario D'!X10</f>
        <v/>
      </c>
      <c r="M137" s="68">
        <f>'Calendario D'!Y10</f>
        <v/>
      </c>
      <c r="N137" s="68">
        <f>'Calendario D'!Z10</f>
        <v/>
      </c>
    </row>
    <row r="138">
      <c r="A138" s="68">
        <f>'Calendario D'!M13</f>
        <v/>
      </c>
      <c r="B138" s="68">
        <f>'Calendario D'!N13</f>
        <v/>
      </c>
      <c r="C138" s="68">
        <f>'Calendario D'!O13</f>
        <v/>
      </c>
      <c r="D138" s="68">
        <f>'Calendario D'!P13</f>
        <v/>
      </c>
      <c r="E138" s="68">
        <f>'Calendario D'!Q13</f>
        <v/>
      </c>
      <c r="F138" s="68">
        <f>'Calendario D'!R13</f>
        <v/>
      </c>
      <c r="G138" s="68">
        <f>'Calendario D'!S13</f>
        <v/>
      </c>
      <c r="H138" s="68">
        <f>'Calendario D'!T13</f>
        <v/>
      </c>
      <c r="I138" s="68">
        <f>'Calendario D'!U13</f>
        <v/>
      </c>
      <c r="J138" s="68">
        <f>'Calendario D'!V13</f>
        <v/>
      </c>
      <c r="K138" s="68">
        <f>'Calendario D'!W13</f>
        <v/>
      </c>
      <c r="L138" s="68">
        <f>'Calendario D'!X13</f>
        <v/>
      </c>
      <c r="M138" s="68">
        <f>'Calendario D'!Y13</f>
        <v/>
      </c>
      <c r="N138" s="68">
        <f>'Calendario D'!Z13</f>
        <v/>
      </c>
    </row>
    <row r="139">
      <c r="A139" s="68">
        <f>'Calendario D'!M16</f>
        <v/>
      </c>
      <c r="B139" s="68">
        <f>'Calendario D'!N16</f>
        <v/>
      </c>
      <c r="C139" s="68">
        <f>'Calendario D'!O16</f>
        <v/>
      </c>
      <c r="D139" s="68">
        <f>'Calendario D'!P16</f>
        <v/>
      </c>
      <c r="E139" s="68">
        <f>'Calendario D'!Q16</f>
        <v/>
      </c>
      <c r="F139" s="68">
        <f>'Calendario D'!R16</f>
        <v/>
      </c>
      <c r="G139" s="68">
        <f>'Calendario D'!S16</f>
        <v/>
      </c>
      <c r="H139" s="68">
        <f>'Calendario D'!T16</f>
        <v/>
      </c>
      <c r="I139" s="68">
        <f>'Calendario D'!U16</f>
        <v/>
      </c>
      <c r="J139" s="68">
        <f>'Calendario D'!V16</f>
        <v/>
      </c>
      <c r="K139" s="68">
        <f>'Calendario D'!W16</f>
        <v/>
      </c>
      <c r="L139" s="68">
        <f>'Calendario D'!X16</f>
        <v/>
      </c>
      <c r="M139" s="68">
        <f>'Calendario D'!Y16</f>
        <v/>
      </c>
      <c r="N139" s="68">
        <f>'Calendario D'!Z16</f>
        <v/>
      </c>
    </row>
    <row r="140">
      <c r="A140" s="68">
        <f>'Calendario D'!M19</f>
        <v/>
      </c>
      <c r="B140" s="68">
        <f>'Calendario D'!N19</f>
        <v/>
      </c>
      <c r="C140" s="68">
        <f>'Calendario D'!O19</f>
        <v/>
      </c>
      <c r="D140" s="68">
        <f>'Calendario D'!P19</f>
        <v/>
      </c>
      <c r="E140" s="68">
        <f>'Calendario D'!Q19</f>
        <v/>
      </c>
      <c r="F140" s="68">
        <f>'Calendario D'!R19</f>
        <v/>
      </c>
      <c r="G140" s="68">
        <f>'Calendario D'!S19</f>
        <v/>
      </c>
      <c r="H140" s="68">
        <f>'Calendario D'!T19</f>
        <v/>
      </c>
      <c r="I140" s="68">
        <f>'Calendario D'!U19</f>
        <v/>
      </c>
      <c r="J140" s="68">
        <f>'Calendario D'!V19</f>
        <v/>
      </c>
      <c r="K140" s="68">
        <f>'Calendario D'!W19</f>
        <v/>
      </c>
      <c r="L140" s="68">
        <f>'Calendario D'!X19</f>
        <v/>
      </c>
      <c r="M140" s="68">
        <f>'Calendario D'!Y19</f>
        <v/>
      </c>
      <c r="N140" s="68">
        <f>'Calendario D'!Z19</f>
        <v/>
      </c>
    </row>
    <row r="141">
      <c r="A141" s="68">
        <f>'Calendario D'!M22</f>
        <v/>
      </c>
      <c r="B141" s="68">
        <f>'Calendario D'!N22</f>
        <v/>
      </c>
      <c r="C141" s="68">
        <f>'Calendario D'!O22</f>
        <v/>
      </c>
      <c r="D141" s="68">
        <f>'Calendario D'!P22</f>
        <v/>
      </c>
      <c r="E141" s="68">
        <f>'Calendario D'!Q22</f>
        <v/>
      </c>
      <c r="F141" s="68">
        <f>'Calendario D'!R22</f>
        <v/>
      </c>
      <c r="G141" s="68">
        <f>'Calendario D'!S22</f>
        <v/>
      </c>
      <c r="H141" s="68">
        <f>'Calendario D'!T22</f>
        <v/>
      </c>
      <c r="I141" s="68">
        <f>'Calendario D'!U22</f>
        <v/>
      </c>
      <c r="J141" s="68">
        <f>'Calendario D'!V22</f>
        <v/>
      </c>
      <c r="K141" s="68">
        <f>'Calendario D'!W22</f>
        <v/>
      </c>
      <c r="L141" s="68">
        <f>'Calendario D'!X22</f>
        <v/>
      </c>
      <c r="M141" s="68">
        <f>'Calendario D'!Y22</f>
        <v/>
      </c>
      <c r="N141" s="68">
        <f>'Calendario D'!Z22</f>
        <v/>
      </c>
    </row>
    <row r="142">
      <c r="A142" s="68">
        <f>'Calendario D'!M27</f>
        <v/>
      </c>
      <c r="B142" s="68">
        <f>'Calendario D'!N27</f>
        <v/>
      </c>
      <c r="C142" s="68">
        <f>'Calendario D'!O27</f>
        <v/>
      </c>
      <c r="D142" s="68">
        <f>'Calendario D'!P27</f>
        <v/>
      </c>
      <c r="E142" s="68">
        <f>'Calendario D'!Q27</f>
        <v/>
      </c>
      <c r="F142" s="68">
        <f>'Calendario D'!R27</f>
        <v/>
      </c>
      <c r="G142" s="68">
        <f>'Calendario D'!S27</f>
        <v/>
      </c>
      <c r="H142" s="68">
        <f>'Calendario D'!T27</f>
        <v/>
      </c>
      <c r="I142" s="68">
        <f>'Calendario D'!U27</f>
        <v/>
      </c>
      <c r="J142" s="68">
        <f>'Calendario D'!V27</f>
        <v/>
      </c>
      <c r="K142" s="68">
        <f>'Calendario D'!W27</f>
        <v/>
      </c>
      <c r="L142" s="68">
        <f>'Calendario D'!X27</f>
        <v/>
      </c>
      <c r="M142" s="68">
        <f>'Calendario D'!Y27</f>
        <v/>
      </c>
      <c r="N142" s="68">
        <f>'Calendario D'!Z27</f>
        <v/>
      </c>
    </row>
    <row r="143">
      <c r="A143" s="68">
        <f>'Calendario D'!M30</f>
        <v/>
      </c>
      <c r="B143" s="68">
        <f>'Calendario D'!N30</f>
        <v/>
      </c>
      <c r="C143" s="68">
        <f>'Calendario D'!O30</f>
        <v/>
      </c>
      <c r="D143" s="68">
        <f>'Calendario D'!P30</f>
        <v/>
      </c>
      <c r="E143" s="68">
        <f>'Calendario D'!Q30</f>
        <v/>
      </c>
      <c r="F143" s="68">
        <f>'Calendario D'!R30</f>
        <v/>
      </c>
      <c r="G143" s="68">
        <f>'Calendario D'!S30</f>
        <v/>
      </c>
      <c r="H143" s="68">
        <f>'Calendario D'!T30</f>
        <v/>
      </c>
      <c r="I143" s="68">
        <f>'Calendario D'!U30</f>
        <v/>
      </c>
      <c r="J143" s="68">
        <f>'Calendario D'!V30</f>
        <v/>
      </c>
      <c r="K143" s="68">
        <f>'Calendario D'!W30</f>
        <v/>
      </c>
      <c r="L143" s="68">
        <f>'Calendario D'!X30</f>
        <v/>
      </c>
      <c r="M143" s="68">
        <f>'Calendario D'!Y30</f>
        <v/>
      </c>
      <c r="N143" s="68">
        <f>'Calendario D'!Z30</f>
        <v/>
      </c>
    </row>
    <row r="144">
      <c r="A144" s="68">
        <f>'Calendario D'!M33</f>
        <v/>
      </c>
      <c r="B144" s="68">
        <f>'Calendario D'!N33</f>
        <v/>
      </c>
      <c r="C144" s="68">
        <f>'Calendario D'!O33</f>
        <v/>
      </c>
      <c r="D144" s="68">
        <f>'Calendario D'!P33</f>
        <v/>
      </c>
      <c r="E144" s="68">
        <f>'Calendario D'!Q33</f>
        <v/>
      </c>
      <c r="F144" s="68">
        <f>'Calendario D'!R33</f>
        <v/>
      </c>
      <c r="G144" s="68">
        <f>'Calendario D'!S33</f>
        <v/>
      </c>
      <c r="H144" s="68">
        <f>'Calendario D'!T33</f>
        <v/>
      </c>
      <c r="I144" s="68">
        <f>'Calendario D'!U33</f>
        <v/>
      </c>
      <c r="J144" s="68">
        <f>'Calendario D'!V33</f>
        <v/>
      </c>
      <c r="K144" s="68">
        <f>'Calendario D'!W33</f>
        <v/>
      </c>
      <c r="L144" s="68">
        <f>'Calendario D'!X33</f>
        <v/>
      </c>
      <c r="M144" s="68">
        <f>'Calendario D'!Y33</f>
        <v/>
      </c>
      <c r="N144" s="68">
        <f>'Calendario D'!Z33</f>
        <v/>
      </c>
    </row>
    <row r="145">
      <c r="A145" s="68">
        <f>'Calendario D'!M36</f>
        <v/>
      </c>
      <c r="B145" s="68">
        <f>'Calendario D'!N36</f>
        <v/>
      </c>
      <c r="C145" s="68">
        <f>'Calendario D'!O36</f>
        <v/>
      </c>
      <c r="D145" s="68">
        <f>'Calendario D'!P36</f>
        <v/>
      </c>
      <c r="E145" s="68">
        <f>'Calendario D'!Q36</f>
        <v/>
      </c>
      <c r="F145" s="68">
        <f>'Calendario D'!R36</f>
        <v/>
      </c>
      <c r="G145" s="68">
        <f>'Calendario D'!S36</f>
        <v/>
      </c>
      <c r="H145" s="68">
        <f>'Calendario D'!T36</f>
        <v/>
      </c>
      <c r="I145" s="68">
        <f>'Calendario D'!U36</f>
        <v/>
      </c>
      <c r="J145" s="68">
        <f>'Calendario D'!V36</f>
        <v/>
      </c>
      <c r="K145" s="68">
        <f>'Calendario D'!W36</f>
        <v/>
      </c>
      <c r="L145" s="68">
        <f>'Calendario D'!X36</f>
        <v/>
      </c>
      <c r="M145" s="68">
        <f>'Calendario D'!Y36</f>
        <v/>
      </c>
      <c r="N145" s="68">
        <f>'Calendario D'!Z36</f>
        <v/>
      </c>
    </row>
    <row r="146">
      <c r="A146" s="68">
        <f>'Calendario D'!M39</f>
        <v/>
      </c>
      <c r="B146" s="68">
        <f>'Calendario D'!N39</f>
        <v/>
      </c>
      <c r="C146" s="68">
        <f>'Calendario D'!O39</f>
        <v/>
      </c>
      <c r="D146" s="68">
        <f>'Calendario D'!P39</f>
        <v/>
      </c>
      <c r="E146" s="68">
        <f>'Calendario D'!Q39</f>
        <v/>
      </c>
      <c r="F146" s="68">
        <f>'Calendario D'!R39</f>
        <v/>
      </c>
      <c r="G146" s="68">
        <f>'Calendario D'!S39</f>
        <v/>
      </c>
      <c r="H146" s="68">
        <f>'Calendario D'!T39</f>
        <v/>
      </c>
      <c r="I146" s="68">
        <f>'Calendario D'!U39</f>
        <v/>
      </c>
      <c r="J146" s="68">
        <f>'Calendario D'!V39</f>
        <v/>
      </c>
      <c r="K146" s="68">
        <f>'Calendario D'!W39</f>
        <v/>
      </c>
      <c r="L146" s="68">
        <f>'Calendario D'!X39</f>
        <v/>
      </c>
      <c r="M146" s="68">
        <f>'Calendario D'!Y39</f>
        <v/>
      </c>
      <c r="N146" s="68">
        <f>'Calendario D'!Z39</f>
        <v/>
      </c>
    </row>
    <row r="147">
      <c r="A147" s="68">
        <f>'Calendario D'!M44</f>
        <v/>
      </c>
      <c r="B147" s="68">
        <f>'Calendario D'!N44</f>
        <v/>
      </c>
      <c r="C147" s="68">
        <f>'Calendario D'!O44</f>
        <v/>
      </c>
      <c r="D147" s="68">
        <f>'Calendario D'!P44</f>
        <v/>
      </c>
      <c r="E147" s="68">
        <f>'Calendario D'!Q44</f>
        <v/>
      </c>
      <c r="F147" s="68">
        <f>'Calendario D'!R44</f>
        <v/>
      </c>
      <c r="G147" s="68">
        <f>'Calendario D'!S44</f>
        <v/>
      </c>
      <c r="H147" s="68">
        <f>'Calendario D'!T44</f>
        <v/>
      </c>
      <c r="I147" s="68">
        <f>'Calendario D'!U44</f>
        <v/>
      </c>
      <c r="J147" s="68">
        <f>'Calendario D'!V44</f>
        <v/>
      </c>
      <c r="K147" s="68">
        <f>'Calendario D'!W44</f>
        <v/>
      </c>
      <c r="L147" s="68">
        <f>'Calendario D'!X44</f>
        <v/>
      </c>
      <c r="M147" s="68">
        <f>'Calendario D'!Y44</f>
        <v/>
      </c>
      <c r="N147" s="68">
        <f>'Calendario D'!Z44</f>
        <v/>
      </c>
    </row>
    <row r="148">
      <c r="A148" s="68">
        <f>'Calendario D'!M47</f>
        <v/>
      </c>
      <c r="B148" s="68">
        <f>'Calendario D'!N47</f>
        <v/>
      </c>
      <c r="C148" s="68">
        <f>'Calendario D'!O47</f>
        <v/>
      </c>
      <c r="D148" s="68">
        <f>'Calendario D'!P47</f>
        <v/>
      </c>
      <c r="E148" s="68">
        <f>'Calendario D'!Q47</f>
        <v/>
      </c>
      <c r="F148" s="68">
        <f>'Calendario D'!R47</f>
        <v/>
      </c>
      <c r="G148" s="68">
        <f>'Calendario D'!S47</f>
        <v/>
      </c>
      <c r="H148" s="68">
        <f>'Calendario D'!T47</f>
        <v/>
      </c>
      <c r="I148" s="68">
        <f>'Calendario D'!U47</f>
        <v/>
      </c>
      <c r="J148" s="68">
        <f>'Calendario D'!V47</f>
        <v/>
      </c>
      <c r="K148" s="68">
        <f>'Calendario D'!W47</f>
        <v/>
      </c>
      <c r="L148" s="68">
        <f>'Calendario D'!X47</f>
        <v/>
      </c>
      <c r="M148" s="68">
        <f>'Calendario D'!Y47</f>
        <v/>
      </c>
      <c r="N148" s="68">
        <f>'Calendario D'!Z47</f>
        <v/>
      </c>
    </row>
    <row r="149">
      <c r="A149" s="68">
        <f>'Calendario D'!M50</f>
        <v/>
      </c>
      <c r="B149" s="68">
        <f>'Calendario D'!N50</f>
        <v/>
      </c>
      <c r="C149" s="68">
        <f>'Calendario D'!O50</f>
        <v/>
      </c>
      <c r="D149" s="68">
        <f>'Calendario D'!P50</f>
        <v/>
      </c>
      <c r="E149" s="68">
        <f>'Calendario D'!Q50</f>
        <v/>
      </c>
      <c r="F149" s="68">
        <f>'Calendario D'!R50</f>
        <v/>
      </c>
      <c r="G149" s="68">
        <f>'Calendario D'!S50</f>
        <v/>
      </c>
      <c r="H149" s="68">
        <f>'Calendario D'!T50</f>
        <v/>
      </c>
      <c r="I149" s="68">
        <f>'Calendario D'!U50</f>
        <v/>
      </c>
      <c r="J149" s="68">
        <f>'Calendario D'!V50</f>
        <v/>
      </c>
      <c r="K149" s="68">
        <f>'Calendario D'!W50</f>
        <v/>
      </c>
      <c r="L149" s="68">
        <f>'Calendario D'!X50</f>
        <v/>
      </c>
      <c r="M149" s="68">
        <f>'Calendario D'!Y50</f>
        <v/>
      </c>
      <c r="N149" s="68">
        <f>'Calendario D'!Z50</f>
        <v/>
      </c>
    </row>
    <row r="150">
      <c r="A150" s="68">
        <f>'Calendario D'!M53</f>
        <v/>
      </c>
      <c r="B150" s="68">
        <f>'Calendario D'!N53</f>
        <v/>
      </c>
      <c r="C150" s="68">
        <f>'Calendario D'!O53</f>
        <v/>
      </c>
      <c r="D150" s="68">
        <f>'Calendario D'!P53</f>
        <v/>
      </c>
      <c r="E150" s="68">
        <f>'Calendario D'!Q53</f>
        <v/>
      </c>
      <c r="F150" s="68">
        <f>'Calendario D'!R53</f>
        <v/>
      </c>
      <c r="G150" s="68">
        <f>'Calendario D'!S53</f>
        <v/>
      </c>
      <c r="H150" s="68">
        <f>'Calendario D'!T53</f>
        <v/>
      </c>
      <c r="I150" s="68">
        <f>'Calendario D'!U53</f>
        <v/>
      </c>
      <c r="J150" s="68">
        <f>'Calendario D'!V53</f>
        <v/>
      </c>
      <c r="K150" s="68">
        <f>'Calendario D'!W53</f>
        <v/>
      </c>
      <c r="L150" s="68">
        <f>'Calendario D'!X53</f>
        <v/>
      </c>
      <c r="M150" s="68">
        <f>'Calendario D'!Y53</f>
        <v/>
      </c>
      <c r="N150" s="68">
        <f>'Calendario D'!Z53</f>
        <v/>
      </c>
    </row>
    <row r="151">
      <c r="A151" s="68">
        <f>'Calendario D'!M56</f>
        <v/>
      </c>
      <c r="B151" s="68">
        <f>'Calendario D'!N56</f>
        <v/>
      </c>
      <c r="C151" s="68">
        <f>'Calendario D'!O56</f>
        <v/>
      </c>
      <c r="D151" s="68">
        <f>'Calendario D'!P56</f>
        <v/>
      </c>
      <c r="E151" s="68">
        <f>'Calendario D'!Q56</f>
        <v/>
      </c>
      <c r="F151" s="68">
        <f>'Calendario D'!R56</f>
        <v/>
      </c>
      <c r="G151" s="68">
        <f>'Calendario D'!S56</f>
        <v/>
      </c>
      <c r="H151" s="68">
        <f>'Calendario D'!T56</f>
        <v/>
      </c>
      <c r="I151" s="68">
        <f>'Calendario D'!U56</f>
        <v/>
      </c>
      <c r="J151" s="68">
        <f>'Calendario D'!V56</f>
        <v/>
      </c>
      <c r="K151" s="68">
        <f>'Calendario D'!W56</f>
        <v/>
      </c>
      <c r="L151" s="68">
        <f>'Calendario D'!X56</f>
        <v/>
      </c>
      <c r="M151" s="68">
        <f>'Calendario D'!Y56</f>
        <v/>
      </c>
      <c r="N151" s="68">
        <f>'Calendario D'!Z56</f>
        <v/>
      </c>
    </row>
    <row r="152">
      <c r="A152" s="68">
        <f>'Calendario D'!M61</f>
        <v/>
      </c>
      <c r="B152" s="68">
        <f>'Calendario D'!N61</f>
        <v/>
      </c>
      <c r="C152" s="68">
        <f>'Calendario D'!O61</f>
        <v/>
      </c>
      <c r="D152" s="68">
        <f>'Calendario D'!P61</f>
        <v/>
      </c>
      <c r="E152" s="68">
        <f>'Calendario D'!Q61</f>
        <v/>
      </c>
      <c r="F152" s="68">
        <f>'Calendario D'!R61</f>
        <v/>
      </c>
      <c r="G152" s="68">
        <f>'Calendario D'!S61</f>
        <v/>
      </c>
      <c r="H152" s="68">
        <f>'Calendario D'!T61</f>
        <v/>
      </c>
      <c r="I152" s="68">
        <f>'Calendario D'!U61</f>
        <v/>
      </c>
      <c r="J152" s="68">
        <f>'Calendario D'!V61</f>
        <v/>
      </c>
      <c r="K152" s="68">
        <f>'Calendario D'!W61</f>
        <v/>
      </c>
      <c r="L152" s="68">
        <f>'Calendario D'!X61</f>
        <v/>
      </c>
      <c r="M152" s="68">
        <f>'Calendario D'!Y61</f>
        <v/>
      </c>
      <c r="N152" s="68">
        <f>'Calendario D'!Z61</f>
        <v/>
      </c>
    </row>
    <row r="153">
      <c r="A153" s="68">
        <f>'Calendario D'!M64</f>
        <v/>
      </c>
      <c r="B153" s="68">
        <f>'Calendario D'!N64</f>
        <v/>
      </c>
      <c r="C153" s="68">
        <f>'Calendario D'!O64</f>
        <v/>
      </c>
      <c r="D153" s="68">
        <f>'Calendario D'!P64</f>
        <v/>
      </c>
      <c r="E153" s="68">
        <f>'Calendario D'!Q64</f>
        <v/>
      </c>
      <c r="F153" s="68">
        <f>'Calendario D'!R64</f>
        <v/>
      </c>
      <c r="G153" s="68">
        <f>'Calendario D'!S64</f>
        <v/>
      </c>
      <c r="H153" s="68">
        <f>'Calendario D'!T64</f>
        <v/>
      </c>
      <c r="I153" s="68">
        <f>'Calendario D'!U64</f>
        <v/>
      </c>
      <c r="J153" s="68">
        <f>'Calendario D'!V64</f>
        <v/>
      </c>
      <c r="K153" s="68">
        <f>'Calendario D'!W64</f>
        <v/>
      </c>
      <c r="L153" s="68">
        <f>'Calendario D'!X64</f>
        <v/>
      </c>
      <c r="M153" s="68">
        <f>'Calendario D'!Y64</f>
        <v/>
      </c>
      <c r="N153" s="68">
        <f>'Calendario D'!Z64</f>
        <v/>
      </c>
    </row>
    <row r="154">
      <c r="A154" s="68">
        <f>'Calendario D'!M67</f>
        <v/>
      </c>
      <c r="B154" s="68">
        <f>'Calendario D'!N67</f>
        <v/>
      </c>
      <c r="C154" s="68">
        <f>'Calendario D'!O67</f>
        <v/>
      </c>
      <c r="D154" s="68">
        <f>'Calendario D'!P67</f>
        <v/>
      </c>
      <c r="E154" s="68">
        <f>'Calendario D'!Q67</f>
        <v/>
      </c>
      <c r="F154" s="68">
        <f>'Calendario D'!R67</f>
        <v/>
      </c>
      <c r="G154" s="68">
        <f>'Calendario D'!S67</f>
        <v/>
      </c>
      <c r="H154" s="68">
        <f>'Calendario D'!T67</f>
        <v/>
      </c>
      <c r="I154" s="68">
        <f>'Calendario D'!U67</f>
        <v/>
      </c>
      <c r="J154" s="68">
        <f>'Calendario D'!V67</f>
        <v/>
      </c>
      <c r="K154" s="68">
        <f>'Calendario D'!W67</f>
        <v/>
      </c>
      <c r="L154" s="68">
        <f>'Calendario D'!X67</f>
        <v/>
      </c>
      <c r="M154" s="68">
        <f>'Calendario D'!Y67</f>
        <v/>
      </c>
      <c r="N154" s="68">
        <f>'Calendario D'!Z67</f>
        <v/>
      </c>
    </row>
    <row r="155">
      <c r="A155" s="68">
        <f>'Calendario D'!M70</f>
        <v/>
      </c>
      <c r="B155" s="68">
        <f>'Calendario D'!N70</f>
        <v/>
      </c>
      <c r="C155" s="68">
        <f>'Calendario D'!O70</f>
        <v/>
      </c>
      <c r="D155" s="68">
        <f>'Calendario D'!P70</f>
        <v/>
      </c>
      <c r="E155" s="68">
        <f>'Calendario D'!Q70</f>
        <v/>
      </c>
      <c r="F155" s="68">
        <f>'Calendario D'!R70</f>
        <v/>
      </c>
      <c r="G155" s="68">
        <f>'Calendario D'!S70</f>
        <v/>
      </c>
      <c r="H155" s="68">
        <f>'Calendario D'!T70</f>
        <v/>
      </c>
      <c r="I155" s="68">
        <f>'Calendario D'!U70</f>
        <v/>
      </c>
      <c r="J155" s="68">
        <f>'Calendario D'!V70</f>
        <v/>
      </c>
      <c r="K155" s="68">
        <f>'Calendario D'!W70</f>
        <v/>
      </c>
      <c r="L155" s="68">
        <f>'Calendario D'!X70</f>
        <v/>
      </c>
      <c r="M155" s="68">
        <f>'Calendario D'!Y70</f>
        <v/>
      </c>
      <c r="N155" s="68">
        <f>'Calendario D'!Z70</f>
        <v/>
      </c>
    </row>
    <row r="156">
      <c r="A156" s="68">
        <f>'Calendario D'!M73</f>
        <v/>
      </c>
      <c r="B156" s="68">
        <f>'Calendario D'!N73</f>
        <v/>
      </c>
      <c r="C156" s="68">
        <f>'Calendario D'!O73</f>
        <v/>
      </c>
      <c r="D156" s="68">
        <f>'Calendario D'!P73</f>
        <v/>
      </c>
      <c r="E156" s="68">
        <f>'Calendario D'!Q73</f>
        <v/>
      </c>
      <c r="F156" s="68">
        <f>'Calendario D'!R73</f>
        <v/>
      </c>
      <c r="G156" s="68">
        <f>'Calendario D'!S73</f>
        <v/>
      </c>
      <c r="H156" s="68">
        <f>'Calendario D'!T73</f>
        <v/>
      </c>
      <c r="I156" s="68">
        <f>'Calendario D'!U73</f>
        <v/>
      </c>
      <c r="J156" s="68">
        <f>'Calendario D'!V73</f>
        <v/>
      </c>
      <c r="K156" s="68">
        <f>'Calendario D'!W73</f>
        <v/>
      </c>
      <c r="L156" s="68">
        <f>'Calendario D'!X73</f>
        <v/>
      </c>
      <c r="M156" s="68">
        <f>'Calendario D'!Y73</f>
        <v/>
      </c>
      <c r="N156" s="68">
        <f>'Calendario D'!Z73</f>
        <v/>
      </c>
    </row>
    <row r="157">
      <c r="A157" s="68">
        <f>'Calendario D'!M78</f>
        <v/>
      </c>
      <c r="B157" s="68">
        <f>'Calendario D'!N78</f>
        <v/>
      </c>
      <c r="C157" s="68">
        <f>'Calendario D'!O78</f>
        <v/>
      </c>
      <c r="D157" s="68">
        <f>'Calendario D'!P78</f>
        <v/>
      </c>
      <c r="E157" s="68">
        <f>'Calendario D'!Q78</f>
        <v/>
      </c>
      <c r="F157" s="68">
        <f>'Calendario D'!R78</f>
        <v/>
      </c>
      <c r="G157" s="68">
        <f>'Calendario D'!S78</f>
        <v/>
      </c>
      <c r="H157" s="68">
        <f>'Calendario D'!T78</f>
        <v/>
      </c>
      <c r="I157" s="68">
        <f>'Calendario D'!U78</f>
        <v/>
      </c>
      <c r="J157" s="68">
        <f>'Calendario D'!V78</f>
        <v/>
      </c>
      <c r="K157" s="68">
        <f>'Calendario D'!W78</f>
        <v/>
      </c>
      <c r="L157" s="68">
        <f>'Calendario D'!X78</f>
        <v/>
      </c>
      <c r="M157" s="68">
        <f>'Calendario D'!Y78</f>
        <v/>
      </c>
      <c r="N157" s="68">
        <f>'Calendario D'!Z78</f>
        <v/>
      </c>
    </row>
    <row r="158">
      <c r="A158" s="68">
        <f>'Calendario D'!M81</f>
        <v/>
      </c>
      <c r="B158" s="68">
        <f>'Calendario D'!N81</f>
        <v/>
      </c>
      <c r="C158" s="68">
        <f>'Calendario D'!O81</f>
        <v/>
      </c>
      <c r="D158" s="68">
        <f>'Calendario D'!P81</f>
        <v/>
      </c>
      <c r="E158" s="68">
        <f>'Calendario D'!Q81</f>
        <v/>
      </c>
      <c r="F158" s="68">
        <f>'Calendario D'!R81</f>
        <v/>
      </c>
      <c r="G158" s="68">
        <f>'Calendario D'!S81</f>
        <v/>
      </c>
      <c r="H158" s="68">
        <f>'Calendario D'!T81</f>
        <v/>
      </c>
      <c r="I158" s="68">
        <f>'Calendario D'!U81</f>
        <v/>
      </c>
      <c r="J158" s="68">
        <f>'Calendario D'!V81</f>
        <v/>
      </c>
      <c r="K158" s="68">
        <f>'Calendario D'!W81</f>
        <v/>
      </c>
      <c r="L158" s="68">
        <f>'Calendario D'!X81</f>
        <v/>
      </c>
      <c r="M158" s="68">
        <f>'Calendario D'!Y81</f>
        <v/>
      </c>
      <c r="N158" s="68">
        <f>'Calendario D'!Z81</f>
        <v/>
      </c>
    </row>
    <row r="159">
      <c r="A159" s="68">
        <f>'Calendario D'!M84</f>
        <v/>
      </c>
      <c r="B159" s="68">
        <f>'Calendario D'!N84</f>
        <v/>
      </c>
      <c r="C159" s="68">
        <f>'Calendario D'!O84</f>
        <v/>
      </c>
      <c r="D159" s="68">
        <f>'Calendario D'!P84</f>
        <v/>
      </c>
      <c r="E159" s="68">
        <f>'Calendario D'!Q84</f>
        <v/>
      </c>
      <c r="F159" s="68">
        <f>'Calendario D'!R84</f>
        <v/>
      </c>
      <c r="G159" s="68">
        <f>'Calendario D'!S84</f>
        <v/>
      </c>
      <c r="H159" s="68">
        <f>'Calendario D'!T84</f>
        <v/>
      </c>
      <c r="I159" s="68">
        <f>'Calendario D'!U84</f>
        <v/>
      </c>
      <c r="J159" s="68">
        <f>'Calendario D'!V84</f>
        <v/>
      </c>
      <c r="K159" s="68">
        <f>'Calendario D'!W84</f>
        <v/>
      </c>
      <c r="L159" s="68">
        <f>'Calendario D'!X84</f>
        <v/>
      </c>
      <c r="M159" s="68">
        <f>'Calendario D'!Y84</f>
        <v/>
      </c>
      <c r="N159" s="68">
        <f>'Calendario D'!Z84</f>
        <v/>
      </c>
    </row>
    <row r="160">
      <c r="A160" s="68">
        <f>'Calendario D'!M87</f>
        <v/>
      </c>
      <c r="B160" s="68">
        <f>'Calendario D'!N87</f>
        <v/>
      </c>
      <c r="C160" s="68">
        <f>'Calendario D'!O87</f>
        <v/>
      </c>
      <c r="D160" s="68">
        <f>'Calendario D'!P87</f>
        <v/>
      </c>
      <c r="E160" s="68">
        <f>'Calendario D'!Q87</f>
        <v/>
      </c>
      <c r="F160" s="68">
        <f>'Calendario D'!R87</f>
        <v/>
      </c>
      <c r="G160" s="68">
        <f>'Calendario D'!S87</f>
        <v/>
      </c>
      <c r="H160" s="68">
        <f>'Calendario D'!T87</f>
        <v/>
      </c>
      <c r="I160" s="68">
        <f>'Calendario D'!U87</f>
        <v/>
      </c>
      <c r="J160" s="68">
        <f>'Calendario D'!V87</f>
        <v/>
      </c>
      <c r="K160" s="68">
        <f>'Calendario D'!W87</f>
        <v/>
      </c>
      <c r="L160" s="68">
        <f>'Calendario D'!X87</f>
        <v/>
      </c>
      <c r="M160" s="68">
        <f>'Calendario D'!Y87</f>
        <v/>
      </c>
      <c r="N160" s="68">
        <f>'Calendario D'!Z87</f>
        <v/>
      </c>
    </row>
    <row r="161">
      <c r="A161" s="68">
        <f>'Calendario D'!M90</f>
        <v/>
      </c>
      <c r="B161" s="68">
        <f>'Calendario D'!N90</f>
        <v/>
      </c>
      <c r="C161" s="68">
        <f>'Calendario D'!O90</f>
        <v/>
      </c>
      <c r="D161" s="68">
        <f>'Calendario D'!P90</f>
        <v/>
      </c>
      <c r="E161" s="68">
        <f>'Calendario D'!Q90</f>
        <v/>
      </c>
      <c r="F161" s="68">
        <f>'Calendario D'!R90</f>
        <v/>
      </c>
      <c r="G161" s="68">
        <f>'Calendario D'!S90</f>
        <v/>
      </c>
      <c r="H161" s="68">
        <f>'Calendario D'!T90</f>
        <v/>
      </c>
      <c r="I161" s="68">
        <f>'Calendario D'!U90</f>
        <v/>
      </c>
      <c r="J161" s="68">
        <f>'Calendario D'!V90</f>
        <v/>
      </c>
      <c r="K161" s="68">
        <f>'Calendario D'!W90</f>
        <v/>
      </c>
      <c r="L161" s="68">
        <f>'Calendario D'!X90</f>
        <v/>
      </c>
      <c r="M161" s="68">
        <f>'Calendario D'!Y90</f>
        <v/>
      </c>
      <c r="N161" s="68">
        <f>'Calendario D'!Z90</f>
        <v/>
      </c>
    </row>
    <row r="162">
      <c r="A162" s="68">
        <f>'Calendario D'!M95</f>
        <v/>
      </c>
      <c r="B162" s="68">
        <f>'Calendario D'!N95</f>
        <v/>
      </c>
      <c r="C162" s="68">
        <f>'Calendario D'!O95</f>
        <v/>
      </c>
      <c r="D162" s="68">
        <f>'Calendario D'!P95</f>
        <v/>
      </c>
      <c r="E162" s="68">
        <f>'Calendario D'!Q95</f>
        <v/>
      </c>
      <c r="F162" s="68">
        <f>'Calendario D'!R95</f>
        <v/>
      </c>
      <c r="G162" s="68">
        <f>'Calendario D'!S95</f>
        <v/>
      </c>
      <c r="H162" s="68">
        <f>'Calendario D'!T95</f>
        <v/>
      </c>
      <c r="I162" s="68">
        <f>'Calendario D'!U95</f>
        <v/>
      </c>
      <c r="J162" s="68">
        <f>'Calendario D'!V95</f>
        <v/>
      </c>
      <c r="K162" s="68">
        <f>'Calendario D'!W95</f>
        <v/>
      </c>
      <c r="L162" s="68">
        <f>'Calendario D'!X95</f>
        <v/>
      </c>
      <c r="M162" s="68">
        <f>'Calendario D'!Y95</f>
        <v/>
      </c>
      <c r="N162" s="68">
        <f>'Calendario D'!Z95</f>
        <v/>
      </c>
    </row>
    <row r="163">
      <c r="A163" s="68">
        <f>'Calendario D'!M98</f>
        <v/>
      </c>
      <c r="B163" s="68">
        <f>'Calendario D'!N98</f>
        <v/>
      </c>
      <c r="C163" s="68">
        <f>'Calendario D'!O98</f>
        <v/>
      </c>
      <c r="D163" s="68">
        <f>'Calendario D'!P98</f>
        <v/>
      </c>
      <c r="E163" s="68">
        <f>'Calendario D'!Q98</f>
        <v/>
      </c>
      <c r="F163" s="68">
        <f>'Calendario D'!R98</f>
        <v/>
      </c>
      <c r="G163" s="68">
        <f>'Calendario D'!S98</f>
        <v/>
      </c>
      <c r="H163" s="68">
        <f>'Calendario D'!T98</f>
        <v/>
      </c>
      <c r="I163" s="68">
        <f>'Calendario D'!U98</f>
        <v/>
      </c>
      <c r="J163" s="68">
        <f>'Calendario D'!V98</f>
        <v/>
      </c>
      <c r="K163" s="68">
        <f>'Calendario D'!W98</f>
        <v/>
      </c>
      <c r="L163" s="68">
        <f>'Calendario D'!X98</f>
        <v/>
      </c>
      <c r="M163" s="68">
        <f>'Calendario D'!Y98</f>
        <v/>
      </c>
      <c r="N163" s="68">
        <f>'Calendario D'!Z98</f>
        <v/>
      </c>
    </row>
    <row r="164">
      <c r="A164" s="68">
        <f>'Calendario D'!M101</f>
        <v/>
      </c>
      <c r="B164" s="68">
        <f>'Calendario D'!N101</f>
        <v/>
      </c>
      <c r="C164" s="68">
        <f>'Calendario D'!O101</f>
        <v/>
      </c>
      <c r="D164" s="68">
        <f>'Calendario D'!P101</f>
        <v/>
      </c>
      <c r="E164" s="68">
        <f>'Calendario D'!Q101</f>
        <v/>
      </c>
      <c r="F164" s="68">
        <f>'Calendario D'!R101</f>
        <v/>
      </c>
      <c r="G164" s="68">
        <f>'Calendario D'!S101</f>
        <v/>
      </c>
      <c r="H164" s="68">
        <f>'Calendario D'!T101</f>
        <v/>
      </c>
      <c r="I164" s="68">
        <f>'Calendario D'!U101</f>
        <v/>
      </c>
      <c r="J164" s="68">
        <f>'Calendario D'!V101</f>
        <v/>
      </c>
      <c r="K164" s="68">
        <f>'Calendario D'!W101</f>
        <v/>
      </c>
      <c r="L164" s="68">
        <f>'Calendario D'!X101</f>
        <v/>
      </c>
      <c r="M164" s="68">
        <f>'Calendario D'!Y101</f>
        <v/>
      </c>
      <c r="N164" s="68">
        <f>'Calendario D'!Z101</f>
        <v/>
      </c>
    </row>
    <row r="165">
      <c r="A165" s="68">
        <f>'Calendario D'!M104</f>
        <v/>
      </c>
      <c r="B165" s="68">
        <f>'Calendario D'!N104</f>
        <v/>
      </c>
      <c r="C165" s="68">
        <f>'Calendario D'!O104</f>
        <v/>
      </c>
      <c r="D165" s="68">
        <f>'Calendario D'!P104</f>
        <v/>
      </c>
      <c r="E165" s="68">
        <f>'Calendario D'!Q104</f>
        <v/>
      </c>
      <c r="F165" s="68">
        <f>'Calendario D'!R104</f>
        <v/>
      </c>
      <c r="G165" s="68">
        <f>'Calendario D'!S104</f>
        <v/>
      </c>
      <c r="H165" s="68">
        <f>'Calendario D'!T104</f>
        <v/>
      </c>
      <c r="I165" s="68">
        <f>'Calendario D'!U104</f>
        <v/>
      </c>
      <c r="J165" s="68">
        <f>'Calendario D'!V104</f>
        <v/>
      </c>
      <c r="K165" s="68">
        <f>'Calendario D'!W104</f>
        <v/>
      </c>
      <c r="L165" s="68">
        <f>'Calendario D'!X104</f>
        <v/>
      </c>
      <c r="M165" s="68">
        <f>'Calendario D'!Y104</f>
        <v/>
      </c>
      <c r="N165" s="68">
        <f>'Calendario D'!Z104</f>
        <v/>
      </c>
    </row>
    <row r="166">
      <c r="A166" s="68">
        <f>'Calendario D'!M107</f>
        <v/>
      </c>
      <c r="B166" s="68">
        <f>'Calendario D'!N107</f>
        <v/>
      </c>
      <c r="C166" s="68">
        <f>'Calendario D'!O107</f>
        <v/>
      </c>
      <c r="D166" s="68">
        <f>'Calendario D'!P107</f>
        <v/>
      </c>
      <c r="E166" s="68">
        <f>'Calendario D'!Q107</f>
        <v/>
      </c>
      <c r="F166" s="68">
        <f>'Calendario D'!R107</f>
        <v/>
      </c>
      <c r="G166" s="68">
        <f>'Calendario D'!S107</f>
        <v/>
      </c>
      <c r="H166" s="68">
        <f>'Calendario D'!T107</f>
        <v/>
      </c>
      <c r="I166" s="68">
        <f>'Calendario D'!U107</f>
        <v/>
      </c>
      <c r="J166" s="68">
        <f>'Calendario D'!V107</f>
        <v/>
      </c>
      <c r="K166" s="68">
        <f>'Calendario D'!W107</f>
        <v/>
      </c>
      <c r="L166" s="68">
        <f>'Calendario D'!X107</f>
        <v/>
      </c>
      <c r="M166" s="68">
        <f>'Calendario D'!Y107</f>
        <v/>
      </c>
      <c r="N166" s="68">
        <f>'Calendario D'!Z107</f>
        <v/>
      </c>
    </row>
    <row r="167">
      <c r="A167" s="68">
        <f>'Calendario D'!M112</f>
        <v/>
      </c>
      <c r="B167" s="68">
        <f>'Calendario D'!N112</f>
        <v/>
      </c>
      <c r="C167" s="68">
        <f>'Calendario D'!O112</f>
        <v/>
      </c>
      <c r="D167" s="68">
        <f>'Calendario D'!P112</f>
        <v/>
      </c>
      <c r="E167" s="68">
        <f>'Calendario D'!Q112</f>
        <v/>
      </c>
      <c r="F167" s="68">
        <f>'Calendario D'!R112</f>
        <v/>
      </c>
      <c r="G167" s="68">
        <f>'Calendario D'!S112</f>
        <v/>
      </c>
      <c r="H167" s="68">
        <f>'Calendario D'!T112</f>
        <v/>
      </c>
      <c r="I167" s="68">
        <f>'Calendario D'!U112</f>
        <v/>
      </c>
      <c r="J167" s="68">
        <f>'Calendario D'!V112</f>
        <v/>
      </c>
      <c r="K167" s="68">
        <f>'Calendario D'!W112</f>
        <v/>
      </c>
      <c r="L167" s="68">
        <f>'Calendario D'!X112</f>
        <v/>
      </c>
      <c r="M167" s="68">
        <f>'Calendario D'!Y112</f>
        <v/>
      </c>
      <c r="N167" s="68">
        <f>'Calendario D'!Z112</f>
        <v/>
      </c>
    </row>
    <row r="168">
      <c r="A168" s="68">
        <f>'Calendario D'!M115</f>
        <v/>
      </c>
      <c r="B168" s="68">
        <f>'Calendario D'!N115</f>
        <v/>
      </c>
      <c r="C168" s="68">
        <f>'Calendario D'!O115</f>
        <v/>
      </c>
      <c r="D168" s="68">
        <f>'Calendario D'!P115</f>
        <v/>
      </c>
      <c r="E168" s="68">
        <f>'Calendario D'!Q115</f>
        <v/>
      </c>
      <c r="F168" s="68">
        <f>'Calendario D'!R115</f>
        <v/>
      </c>
      <c r="G168" s="68">
        <f>'Calendario D'!S115</f>
        <v/>
      </c>
      <c r="H168" s="68">
        <f>'Calendario D'!T115</f>
        <v/>
      </c>
      <c r="I168" s="68">
        <f>'Calendario D'!U115</f>
        <v/>
      </c>
      <c r="J168" s="68">
        <f>'Calendario D'!V115</f>
        <v/>
      </c>
      <c r="K168" s="68">
        <f>'Calendario D'!W115</f>
        <v/>
      </c>
      <c r="L168" s="68">
        <f>'Calendario D'!X115</f>
        <v/>
      </c>
      <c r="M168" s="68">
        <f>'Calendario D'!Y115</f>
        <v/>
      </c>
      <c r="N168" s="68">
        <f>'Calendario D'!Z115</f>
        <v/>
      </c>
    </row>
    <row r="169">
      <c r="A169" s="68">
        <f>'Calendario D'!M118</f>
        <v/>
      </c>
      <c r="B169" s="68">
        <f>'Calendario D'!N118</f>
        <v/>
      </c>
      <c r="C169" s="68">
        <f>'Calendario D'!O118</f>
        <v/>
      </c>
      <c r="D169" s="68">
        <f>'Calendario D'!P118</f>
        <v/>
      </c>
      <c r="E169" s="68">
        <f>'Calendario D'!Q118</f>
        <v/>
      </c>
      <c r="F169" s="68">
        <f>'Calendario D'!R118</f>
        <v/>
      </c>
      <c r="G169" s="68">
        <f>'Calendario D'!S118</f>
        <v/>
      </c>
      <c r="H169" s="68">
        <f>'Calendario D'!T118</f>
        <v/>
      </c>
      <c r="I169" s="68">
        <f>'Calendario D'!U118</f>
        <v/>
      </c>
      <c r="J169" s="68">
        <f>'Calendario D'!V118</f>
        <v/>
      </c>
      <c r="K169" s="68">
        <f>'Calendario D'!W118</f>
        <v/>
      </c>
      <c r="L169" s="68">
        <f>'Calendario D'!X118</f>
        <v/>
      </c>
      <c r="M169" s="68">
        <f>'Calendario D'!Y118</f>
        <v/>
      </c>
      <c r="N169" s="68">
        <f>'Calendario D'!Z118</f>
        <v/>
      </c>
    </row>
    <row r="170">
      <c r="A170" s="68">
        <f>'Calendario D'!M121</f>
        <v/>
      </c>
      <c r="B170" s="68">
        <f>'Calendario D'!N121</f>
        <v/>
      </c>
      <c r="C170" s="68">
        <f>'Calendario D'!O121</f>
        <v/>
      </c>
      <c r="D170" s="68">
        <f>'Calendario D'!P121</f>
        <v/>
      </c>
      <c r="E170" s="68">
        <f>'Calendario D'!Q121</f>
        <v/>
      </c>
      <c r="F170" s="68">
        <f>'Calendario D'!R121</f>
        <v/>
      </c>
      <c r="G170" s="68">
        <f>'Calendario D'!S121</f>
        <v/>
      </c>
      <c r="H170" s="68">
        <f>'Calendario D'!T121</f>
        <v/>
      </c>
      <c r="I170" s="68">
        <f>'Calendario D'!U121</f>
        <v/>
      </c>
      <c r="J170" s="68">
        <f>'Calendario D'!V121</f>
        <v/>
      </c>
      <c r="K170" s="68">
        <f>'Calendario D'!W121</f>
        <v/>
      </c>
      <c r="L170" s="68">
        <f>'Calendario D'!X121</f>
        <v/>
      </c>
      <c r="M170" s="68">
        <f>'Calendario D'!Y121</f>
        <v/>
      </c>
      <c r="N170" s="68">
        <f>'Calendario D'!Z121</f>
        <v/>
      </c>
    </row>
    <row r="171">
      <c r="A171" s="68">
        <f>'Calendario D'!M124</f>
        <v/>
      </c>
      <c r="B171" s="68">
        <f>'Calendario D'!N124</f>
        <v/>
      </c>
      <c r="C171" s="68">
        <f>'Calendario D'!O124</f>
        <v/>
      </c>
      <c r="D171" s="68">
        <f>'Calendario D'!P124</f>
        <v/>
      </c>
      <c r="E171" s="68">
        <f>'Calendario D'!Q124</f>
        <v/>
      </c>
      <c r="F171" s="68">
        <f>'Calendario D'!R124</f>
        <v/>
      </c>
      <c r="G171" s="68">
        <f>'Calendario D'!S124</f>
        <v/>
      </c>
      <c r="H171" s="68">
        <f>'Calendario D'!T124</f>
        <v/>
      </c>
      <c r="I171" s="68">
        <f>'Calendario D'!U124</f>
        <v/>
      </c>
      <c r="J171" s="68">
        <f>'Calendario D'!V124</f>
        <v/>
      </c>
      <c r="K171" s="68">
        <f>'Calendario D'!W124</f>
        <v/>
      </c>
      <c r="L171" s="68">
        <f>'Calendario D'!X124</f>
        <v/>
      </c>
      <c r="M171" s="68">
        <f>'Calendario D'!Y124</f>
        <v/>
      </c>
      <c r="N171" s="68">
        <f>'Calendario D'!Z124</f>
        <v/>
      </c>
    </row>
    <row r="172">
      <c r="A172" s="68">
        <f>'Calendario D'!M129</f>
        <v/>
      </c>
      <c r="B172" s="68">
        <f>'Calendario D'!N129</f>
        <v/>
      </c>
      <c r="C172" s="68">
        <f>'Calendario D'!O129</f>
        <v/>
      </c>
      <c r="D172" s="68">
        <f>'Calendario D'!P129</f>
        <v/>
      </c>
      <c r="E172" s="68">
        <f>'Calendario D'!Q129</f>
        <v/>
      </c>
      <c r="F172" s="68">
        <f>'Calendario D'!R129</f>
        <v/>
      </c>
      <c r="G172" s="68">
        <f>'Calendario D'!S129</f>
        <v/>
      </c>
      <c r="H172" s="68">
        <f>'Calendario D'!T129</f>
        <v/>
      </c>
      <c r="I172" s="68">
        <f>'Calendario D'!U129</f>
        <v/>
      </c>
      <c r="J172" s="68">
        <f>'Calendario D'!V129</f>
        <v/>
      </c>
      <c r="K172" s="68">
        <f>'Calendario D'!W129</f>
        <v/>
      </c>
      <c r="L172" s="68">
        <f>'Calendario D'!X129</f>
        <v/>
      </c>
      <c r="M172" s="68">
        <f>'Calendario D'!Y129</f>
        <v/>
      </c>
      <c r="N172" s="68">
        <f>'Calendario D'!Z129</f>
        <v/>
      </c>
    </row>
    <row r="173">
      <c r="A173" s="68">
        <f>'Calendario D'!M132</f>
        <v/>
      </c>
      <c r="B173" s="68">
        <f>'Calendario D'!N132</f>
        <v/>
      </c>
      <c r="C173" s="68">
        <f>'Calendario D'!O132</f>
        <v/>
      </c>
      <c r="D173" s="68">
        <f>'Calendario D'!P132</f>
        <v/>
      </c>
      <c r="E173" s="68">
        <f>'Calendario D'!Q132</f>
        <v/>
      </c>
      <c r="F173" s="68">
        <f>'Calendario D'!R132</f>
        <v/>
      </c>
      <c r="G173" s="68">
        <f>'Calendario D'!S132</f>
        <v/>
      </c>
      <c r="H173" s="68">
        <f>'Calendario D'!T132</f>
        <v/>
      </c>
      <c r="I173" s="68">
        <f>'Calendario D'!U132</f>
        <v/>
      </c>
      <c r="J173" s="68">
        <f>'Calendario D'!V132</f>
        <v/>
      </c>
      <c r="K173" s="68">
        <f>'Calendario D'!W132</f>
        <v/>
      </c>
      <c r="L173" s="68">
        <f>'Calendario D'!X132</f>
        <v/>
      </c>
      <c r="M173" s="68">
        <f>'Calendario D'!Y132</f>
        <v/>
      </c>
      <c r="N173" s="68">
        <f>'Calendario D'!Z132</f>
        <v/>
      </c>
    </row>
    <row r="174">
      <c r="A174" s="68">
        <f>'Calendario D'!M135</f>
        <v/>
      </c>
      <c r="B174" s="68">
        <f>'Calendario D'!N135</f>
        <v/>
      </c>
      <c r="C174" s="68">
        <f>'Calendario D'!O135</f>
        <v/>
      </c>
      <c r="D174" s="68">
        <f>'Calendario D'!P135</f>
        <v/>
      </c>
      <c r="E174" s="68">
        <f>'Calendario D'!Q135</f>
        <v/>
      </c>
      <c r="F174" s="68">
        <f>'Calendario D'!R135</f>
        <v/>
      </c>
      <c r="G174" s="68">
        <f>'Calendario D'!S135</f>
        <v/>
      </c>
      <c r="H174" s="68">
        <f>'Calendario D'!T135</f>
        <v/>
      </c>
      <c r="I174" s="68">
        <f>'Calendario D'!U135</f>
        <v/>
      </c>
      <c r="J174" s="68">
        <f>'Calendario D'!V135</f>
        <v/>
      </c>
      <c r="K174" s="68">
        <f>'Calendario D'!W135</f>
        <v/>
      </c>
      <c r="L174" s="68">
        <f>'Calendario D'!X135</f>
        <v/>
      </c>
      <c r="M174" s="68">
        <f>'Calendario D'!Y135</f>
        <v/>
      </c>
      <c r="N174" s="68">
        <f>'Calendario D'!Z135</f>
        <v/>
      </c>
    </row>
    <row r="175">
      <c r="A175" s="68">
        <f>'Calendario D'!M138</f>
        <v/>
      </c>
      <c r="B175" s="68">
        <f>'Calendario D'!N138</f>
        <v/>
      </c>
      <c r="C175" s="68">
        <f>'Calendario D'!O138</f>
        <v/>
      </c>
      <c r="D175" s="68">
        <f>'Calendario D'!P138</f>
        <v/>
      </c>
      <c r="E175" s="68">
        <f>'Calendario D'!Q138</f>
        <v/>
      </c>
      <c r="F175" s="68">
        <f>'Calendario D'!R138</f>
        <v/>
      </c>
      <c r="G175" s="68">
        <f>'Calendario D'!S138</f>
        <v/>
      </c>
      <c r="H175" s="68">
        <f>'Calendario D'!T138</f>
        <v/>
      </c>
      <c r="I175" s="68">
        <f>'Calendario D'!U138</f>
        <v/>
      </c>
      <c r="J175" s="68">
        <f>'Calendario D'!V138</f>
        <v/>
      </c>
      <c r="K175" s="68">
        <f>'Calendario D'!W138</f>
        <v/>
      </c>
      <c r="L175" s="68">
        <f>'Calendario D'!X138</f>
        <v/>
      </c>
      <c r="M175" s="68">
        <f>'Calendario D'!Y138</f>
        <v/>
      </c>
      <c r="N175" s="68">
        <f>'Calendario D'!Z138</f>
        <v/>
      </c>
    </row>
    <row r="176">
      <c r="A176" s="68">
        <f>'Calendario D'!M141</f>
        <v/>
      </c>
      <c r="B176" s="68">
        <f>'Calendario D'!N141</f>
        <v/>
      </c>
      <c r="C176" s="68">
        <f>'Calendario D'!O141</f>
        <v/>
      </c>
      <c r="D176" s="68">
        <f>'Calendario D'!P141</f>
        <v/>
      </c>
      <c r="E176" s="68">
        <f>'Calendario D'!Q141</f>
        <v/>
      </c>
      <c r="F176" s="68">
        <f>'Calendario D'!R141</f>
        <v/>
      </c>
      <c r="G176" s="68">
        <f>'Calendario D'!S141</f>
        <v/>
      </c>
      <c r="H176" s="68">
        <f>'Calendario D'!T141</f>
        <v/>
      </c>
      <c r="I176" s="68">
        <f>'Calendario D'!U141</f>
        <v/>
      </c>
      <c r="J176" s="68">
        <f>'Calendario D'!V141</f>
        <v/>
      </c>
      <c r="K176" s="68">
        <f>'Calendario D'!W141</f>
        <v/>
      </c>
      <c r="L176" s="68">
        <f>'Calendario D'!X141</f>
        <v/>
      </c>
      <c r="M176" s="68">
        <f>'Calendario D'!Y141</f>
        <v/>
      </c>
      <c r="N176" s="68">
        <f>'Calendario D'!Z141</f>
        <v/>
      </c>
    </row>
    <row r="177">
      <c r="A177" s="68">
        <f>'Calendario D'!M146</f>
        <v/>
      </c>
      <c r="B177" s="68">
        <f>'Calendario D'!N146</f>
        <v/>
      </c>
      <c r="C177" s="68">
        <f>'Calendario D'!O146</f>
        <v/>
      </c>
      <c r="D177" s="68">
        <f>'Calendario D'!P146</f>
        <v/>
      </c>
      <c r="E177" s="68">
        <f>'Calendario D'!Q146</f>
        <v/>
      </c>
      <c r="F177" s="68">
        <f>'Calendario D'!R146</f>
        <v/>
      </c>
      <c r="G177" s="68">
        <f>'Calendario D'!S146</f>
        <v/>
      </c>
      <c r="H177" s="68">
        <f>'Calendario D'!T146</f>
        <v/>
      </c>
      <c r="I177" s="68">
        <f>'Calendario D'!U146</f>
        <v/>
      </c>
      <c r="J177" s="68">
        <f>'Calendario D'!V146</f>
        <v/>
      </c>
      <c r="K177" s="68">
        <f>'Calendario D'!W146</f>
        <v/>
      </c>
      <c r="L177" s="68">
        <f>'Calendario D'!X146</f>
        <v/>
      </c>
      <c r="M177" s="68">
        <f>'Calendario D'!Y146</f>
        <v/>
      </c>
      <c r="N177" s="68">
        <f>'Calendario D'!Z146</f>
        <v/>
      </c>
    </row>
    <row r="178">
      <c r="A178" s="68">
        <f>'Calendario D'!M149</f>
        <v/>
      </c>
      <c r="B178" s="68">
        <f>'Calendario D'!N149</f>
        <v/>
      </c>
      <c r="C178" s="68">
        <f>'Calendario D'!O149</f>
        <v/>
      </c>
      <c r="D178" s="68">
        <f>'Calendario D'!P149</f>
        <v/>
      </c>
      <c r="E178" s="68">
        <f>'Calendario D'!Q149</f>
        <v/>
      </c>
      <c r="F178" s="68">
        <f>'Calendario D'!R149</f>
        <v/>
      </c>
      <c r="G178" s="68">
        <f>'Calendario D'!S149</f>
        <v/>
      </c>
      <c r="H178" s="68">
        <f>'Calendario D'!T149</f>
        <v/>
      </c>
      <c r="I178" s="68">
        <f>'Calendario D'!U149</f>
        <v/>
      </c>
      <c r="J178" s="68">
        <f>'Calendario D'!V149</f>
        <v/>
      </c>
      <c r="K178" s="68">
        <f>'Calendario D'!W149</f>
        <v/>
      </c>
      <c r="L178" s="68">
        <f>'Calendario D'!X149</f>
        <v/>
      </c>
      <c r="M178" s="68">
        <f>'Calendario D'!Y149</f>
        <v/>
      </c>
      <c r="N178" s="68">
        <f>'Calendario D'!Z149</f>
        <v/>
      </c>
    </row>
    <row r="179">
      <c r="A179" s="68">
        <f>'Calendario D'!M152</f>
        <v/>
      </c>
      <c r="B179" s="68">
        <f>'Calendario D'!N152</f>
        <v/>
      </c>
      <c r="C179" s="68">
        <f>'Calendario D'!O152</f>
        <v/>
      </c>
      <c r="D179" s="68">
        <f>'Calendario D'!P152</f>
        <v/>
      </c>
      <c r="E179" s="68">
        <f>'Calendario D'!Q152</f>
        <v/>
      </c>
      <c r="F179" s="68">
        <f>'Calendario D'!R152</f>
        <v/>
      </c>
      <c r="G179" s="68">
        <f>'Calendario D'!S152</f>
        <v/>
      </c>
      <c r="H179" s="68">
        <f>'Calendario D'!T152</f>
        <v/>
      </c>
      <c r="I179" s="68">
        <f>'Calendario D'!U152</f>
        <v/>
      </c>
      <c r="J179" s="68">
        <f>'Calendario D'!V152</f>
        <v/>
      </c>
      <c r="K179" s="68">
        <f>'Calendario D'!W152</f>
        <v/>
      </c>
      <c r="L179" s="68">
        <f>'Calendario D'!X152</f>
        <v/>
      </c>
      <c r="M179" s="68">
        <f>'Calendario D'!Y152</f>
        <v/>
      </c>
      <c r="N179" s="68">
        <f>'Calendario D'!Z152</f>
        <v/>
      </c>
    </row>
    <row r="180">
      <c r="A180" s="68">
        <f>'Calendario D'!M155</f>
        <v/>
      </c>
      <c r="B180" s="68">
        <f>'Calendario D'!N155</f>
        <v/>
      </c>
      <c r="C180" s="68">
        <f>'Calendario D'!O155</f>
        <v/>
      </c>
      <c r="D180" s="68">
        <f>'Calendario D'!P155</f>
        <v/>
      </c>
      <c r="E180" s="68">
        <f>'Calendario D'!Q155</f>
        <v/>
      </c>
      <c r="F180" s="68">
        <f>'Calendario D'!R155</f>
        <v/>
      </c>
      <c r="G180" s="68">
        <f>'Calendario D'!S155</f>
        <v/>
      </c>
      <c r="H180" s="68">
        <f>'Calendario D'!T155</f>
        <v/>
      </c>
      <c r="I180" s="68">
        <f>'Calendario D'!U155</f>
        <v/>
      </c>
      <c r="J180" s="68">
        <f>'Calendario D'!V155</f>
        <v/>
      </c>
      <c r="K180" s="68">
        <f>'Calendario D'!W155</f>
        <v/>
      </c>
      <c r="L180" s="68">
        <f>'Calendario D'!X155</f>
        <v/>
      </c>
      <c r="M180" s="68">
        <f>'Calendario D'!Y155</f>
        <v/>
      </c>
      <c r="N180" s="68">
        <f>'Calendario D'!Z155</f>
        <v/>
      </c>
    </row>
    <row r="181">
      <c r="A181" s="68">
        <f>'Calendario D'!M158</f>
        <v/>
      </c>
      <c r="B181" s="68">
        <f>'Calendario D'!N158</f>
        <v/>
      </c>
      <c r="C181" s="68">
        <f>'Calendario D'!O158</f>
        <v/>
      </c>
      <c r="D181" s="68">
        <f>'Calendario D'!P158</f>
        <v/>
      </c>
      <c r="E181" s="68">
        <f>'Calendario D'!Q158</f>
        <v/>
      </c>
      <c r="F181" s="68">
        <f>'Calendario D'!R158</f>
        <v/>
      </c>
      <c r="G181" s="68">
        <f>'Calendario D'!S158</f>
        <v/>
      </c>
      <c r="H181" s="68">
        <f>'Calendario D'!T158</f>
        <v/>
      </c>
      <c r="I181" s="68">
        <f>'Calendario D'!U158</f>
        <v/>
      </c>
      <c r="J181" s="68">
        <f>'Calendario D'!V158</f>
        <v/>
      </c>
      <c r="K181" s="68">
        <f>'Calendario D'!W158</f>
        <v/>
      </c>
      <c r="L181" s="68">
        <f>'Calendario D'!X158</f>
        <v/>
      </c>
      <c r="M181" s="68">
        <f>'Calendario D'!Y158</f>
        <v/>
      </c>
      <c r="N181" s="68">
        <f>'Calendario D'!Z158</f>
        <v/>
      </c>
    </row>
    <row r="182">
      <c r="A182" s="68">
        <f>'Calendario E'!M10</f>
        <v/>
      </c>
      <c r="B182" s="68">
        <f>'Calendario E'!N10</f>
        <v/>
      </c>
      <c r="C182" s="68">
        <f>'Calendario E'!O10</f>
        <v/>
      </c>
      <c r="D182" s="68">
        <f>'Calendario E'!P10</f>
        <v/>
      </c>
      <c r="E182" s="68">
        <f>'Calendario E'!Q10</f>
        <v/>
      </c>
      <c r="F182" s="68">
        <f>'Calendario E'!R10</f>
        <v/>
      </c>
      <c r="G182" s="68">
        <f>'Calendario E'!S10</f>
        <v/>
      </c>
      <c r="H182" s="68">
        <f>'Calendario E'!T10</f>
        <v/>
      </c>
      <c r="I182" s="68">
        <f>'Calendario E'!U10</f>
        <v/>
      </c>
      <c r="J182" s="68">
        <f>'Calendario E'!V10</f>
        <v/>
      </c>
      <c r="K182" s="68">
        <f>'Calendario E'!W10</f>
        <v/>
      </c>
      <c r="L182" s="68">
        <f>'Calendario E'!X10</f>
        <v/>
      </c>
      <c r="M182" s="68">
        <f>'Calendario E'!Y10</f>
        <v/>
      </c>
      <c r="N182" s="68">
        <f>'Calendario E'!Z10</f>
        <v/>
      </c>
    </row>
    <row r="183">
      <c r="A183" s="68">
        <f>'Calendario E'!M13</f>
        <v/>
      </c>
      <c r="B183" s="68">
        <f>'Calendario E'!N13</f>
        <v/>
      </c>
      <c r="C183" s="68">
        <f>'Calendario E'!O13</f>
        <v/>
      </c>
      <c r="D183" s="68">
        <f>'Calendario E'!P13</f>
        <v/>
      </c>
      <c r="E183" s="68">
        <f>'Calendario E'!Q13</f>
        <v/>
      </c>
      <c r="F183" s="68">
        <f>'Calendario E'!R13</f>
        <v/>
      </c>
      <c r="G183" s="68">
        <f>'Calendario E'!S13</f>
        <v/>
      </c>
      <c r="H183" s="68">
        <f>'Calendario E'!T13</f>
        <v/>
      </c>
      <c r="I183" s="68">
        <f>'Calendario E'!U13</f>
        <v/>
      </c>
      <c r="J183" s="68">
        <f>'Calendario E'!V13</f>
        <v/>
      </c>
      <c r="K183" s="68">
        <f>'Calendario E'!W13</f>
        <v/>
      </c>
      <c r="L183" s="68">
        <f>'Calendario E'!X13</f>
        <v/>
      </c>
      <c r="M183" s="68">
        <f>'Calendario E'!Y13</f>
        <v/>
      </c>
      <c r="N183" s="68">
        <f>'Calendario E'!Z13</f>
        <v/>
      </c>
    </row>
    <row r="184">
      <c r="A184" s="68">
        <f>'Calendario E'!M16</f>
        <v/>
      </c>
      <c r="B184" s="68">
        <f>'Calendario E'!N16</f>
        <v/>
      </c>
      <c r="C184" s="68">
        <f>'Calendario E'!O16</f>
        <v/>
      </c>
      <c r="D184" s="68">
        <f>'Calendario E'!P16</f>
        <v/>
      </c>
      <c r="E184" s="68">
        <f>'Calendario E'!Q16</f>
        <v/>
      </c>
      <c r="F184" s="68">
        <f>'Calendario E'!R16</f>
        <v/>
      </c>
      <c r="G184" s="68">
        <f>'Calendario E'!S16</f>
        <v/>
      </c>
      <c r="H184" s="68">
        <f>'Calendario E'!T16</f>
        <v/>
      </c>
      <c r="I184" s="68">
        <f>'Calendario E'!U16</f>
        <v/>
      </c>
      <c r="J184" s="68">
        <f>'Calendario E'!V16</f>
        <v/>
      </c>
      <c r="K184" s="68">
        <f>'Calendario E'!W16</f>
        <v/>
      </c>
      <c r="L184" s="68">
        <f>'Calendario E'!X16</f>
        <v/>
      </c>
      <c r="M184" s="68">
        <f>'Calendario E'!Y16</f>
        <v/>
      </c>
      <c r="N184" s="68">
        <f>'Calendario E'!Z16</f>
        <v/>
      </c>
    </row>
    <row r="185">
      <c r="A185" s="68">
        <f>'Calendario E'!M19</f>
        <v/>
      </c>
      <c r="B185" s="68">
        <f>'Calendario E'!N19</f>
        <v/>
      </c>
      <c r="C185" s="68">
        <f>'Calendario E'!O19</f>
        <v/>
      </c>
      <c r="D185" s="68">
        <f>'Calendario E'!P19</f>
        <v/>
      </c>
      <c r="E185" s="68">
        <f>'Calendario E'!Q19</f>
        <v/>
      </c>
      <c r="F185" s="68">
        <f>'Calendario E'!R19</f>
        <v/>
      </c>
      <c r="G185" s="68">
        <f>'Calendario E'!S19</f>
        <v/>
      </c>
      <c r="H185" s="68">
        <f>'Calendario E'!T19</f>
        <v/>
      </c>
      <c r="I185" s="68">
        <f>'Calendario E'!U19</f>
        <v/>
      </c>
      <c r="J185" s="68">
        <f>'Calendario E'!V19</f>
        <v/>
      </c>
      <c r="K185" s="68">
        <f>'Calendario E'!W19</f>
        <v/>
      </c>
      <c r="L185" s="68">
        <f>'Calendario E'!X19</f>
        <v/>
      </c>
      <c r="M185" s="68">
        <f>'Calendario E'!Y19</f>
        <v/>
      </c>
      <c r="N185" s="68">
        <f>'Calendario E'!Z19</f>
        <v/>
      </c>
    </row>
    <row r="186">
      <c r="A186" s="68">
        <f>'Calendario E'!M22</f>
        <v/>
      </c>
      <c r="B186" s="68">
        <f>'Calendario E'!N22</f>
        <v/>
      </c>
      <c r="C186" s="68">
        <f>'Calendario E'!O22</f>
        <v/>
      </c>
      <c r="D186" s="68">
        <f>'Calendario E'!P22</f>
        <v/>
      </c>
      <c r="E186" s="68">
        <f>'Calendario E'!Q22</f>
        <v/>
      </c>
      <c r="F186" s="68">
        <f>'Calendario E'!R22</f>
        <v/>
      </c>
      <c r="G186" s="68">
        <f>'Calendario E'!S22</f>
        <v/>
      </c>
      <c r="H186" s="68">
        <f>'Calendario E'!T22</f>
        <v/>
      </c>
      <c r="I186" s="68">
        <f>'Calendario E'!U22</f>
        <v/>
      </c>
      <c r="J186" s="68">
        <f>'Calendario E'!V22</f>
        <v/>
      </c>
      <c r="K186" s="68">
        <f>'Calendario E'!W22</f>
        <v/>
      </c>
      <c r="L186" s="68">
        <f>'Calendario E'!X22</f>
        <v/>
      </c>
      <c r="M186" s="68">
        <f>'Calendario E'!Y22</f>
        <v/>
      </c>
      <c r="N186" s="68">
        <f>'Calendario E'!Z22</f>
        <v/>
      </c>
    </row>
    <row r="187">
      <c r="A187" s="68">
        <f>'Calendario E'!M27</f>
        <v/>
      </c>
      <c r="B187" s="68">
        <f>'Calendario E'!N27</f>
        <v/>
      </c>
      <c r="C187" s="68">
        <f>'Calendario E'!O27</f>
        <v/>
      </c>
      <c r="D187" s="68">
        <f>'Calendario E'!P27</f>
        <v/>
      </c>
      <c r="E187" s="68">
        <f>'Calendario E'!Q27</f>
        <v/>
      </c>
      <c r="F187" s="68">
        <f>'Calendario E'!R27</f>
        <v/>
      </c>
      <c r="G187" s="68">
        <f>'Calendario E'!S27</f>
        <v/>
      </c>
      <c r="H187" s="68">
        <f>'Calendario E'!T27</f>
        <v/>
      </c>
      <c r="I187" s="68">
        <f>'Calendario E'!U27</f>
        <v/>
      </c>
      <c r="J187" s="68">
        <f>'Calendario E'!V27</f>
        <v/>
      </c>
      <c r="K187" s="68">
        <f>'Calendario E'!W27</f>
        <v/>
      </c>
      <c r="L187" s="68">
        <f>'Calendario E'!X27</f>
        <v/>
      </c>
      <c r="M187" s="68">
        <f>'Calendario E'!Y27</f>
        <v/>
      </c>
      <c r="N187" s="68">
        <f>'Calendario E'!Z27</f>
        <v/>
      </c>
    </row>
    <row r="188">
      <c r="A188" s="68">
        <f>'Calendario E'!M30</f>
        <v/>
      </c>
      <c r="B188" s="68">
        <f>'Calendario E'!N30</f>
        <v/>
      </c>
      <c r="C188" s="68">
        <f>'Calendario E'!O30</f>
        <v/>
      </c>
      <c r="D188" s="68">
        <f>'Calendario E'!P30</f>
        <v/>
      </c>
      <c r="E188" s="68">
        <f>'Calendario E'!Q30</f>
        <v/>
      </c>
      <c r="F188" s="68">
        <f>'Calendario E'!R30</f>
        <v/>
      </c>
      <c r="G188" s="68">
        <f>'Calendario E'!S30</f>
        <v/>
      </c>
      <c r="H188" s="68">
        <f>'Calendario E'!T30</f>
        <v/>
      </c>
      <c r="I188" s="68">
        <f>'Calendario E'!U30</f>
        <v/>
      </c>
      <c r="J188" s="68">
        <f>'Calendario E'!V30</f>
        <v/>
      </c>
      <c r="K188" s="68">
        <f>'Calendario E'!W30</f>
        <v/>
      </c>
      <c r="L188" s="68">
        <f>'Calendario E'!X30</f>
        <v/>
      </c>
      <c r="M188" s="68">
        <f>'Calendario E'!Y30</f>
        <v/>
      </c>
      <c r="N188" s="68">
        <f>'Calendario E'!Z30</f>
        <v/>
      </c>
    </row>
    <row r="189">
      <c r="A189" s="68">
        <f>'Calendario E'!M33</f>
        <v/>
      </c>
      <c r="B189" s="68">
        <f>'Calendario E'!N33</f>
        <v/>
      </c>
      <c r="C189" s="68">
        <f>'Calendario E'!O33</f>
        <v/>
      </c>
      <c r="D189" s="68">
        <f>'Calendario E'!P33</f>
        <v/>
      </c>
      <c r="E189" s="68">
        <f>'Calendario E'!Q33</f>
        <v/>
      </c>
      <c r="F189" s="68">
        <f>'Calendario E'!R33</f>
        <v/>
      </c>
      <c r="G189" s="68">
        <f>'Calendario E'!S33</f>
        <v/>
      </c>
      <c r="H189" s="68">
        <f>'Calendario E'!T33</f>
        <v/>
      </c>
      <c r="I189" s="68">
        <f>'Calendario E'!U33</f>
        <v/>
      </c>
      <c r="J189" s="68">
        <f>'Calendario E'!V33</f>
        <v/>
      </c>
      <c r="K189" s="68">
        <f>'Calendario E'!W33</f>
        <v/>
      </c>
      <c r="L189" s="68">
        <f>'Calendario E'!X33</f>
        <v/>
      </c>
      <c r="M189" s="68">
        <f>'Calendario E'!Y33</f>
        <v/>
      </c>
      <c r="N189" s="68">
        <f>'Calendario E'!Z33</f>
        <v/>
      </c>
    </row>
    <row r="190">
      <c r="A190" s="68">
        <f>'Calendario E'!M36</f>
        <v/>
      </c>
      <c r="B190" s="68">
        <f>'Calendario E'!N36</f>
        <v/>
      </c>
      <c r="C190" s="68">
        <f>'Calendario E'!O36</f>
        <v/>
      </c>
      <c r="D190" s="68">
        <f>'Calendario E'!P36</f>
        <v/>
      </c>
      <c r="E190" s="68">
        <f>'Calendario E'!Q36</f>
        <v/>
      </c>
      <c r="F190" s="68">
        <f>'Calendario E'!R36</f>
        <v/>
      </c>
      <c r="G190" s="68">
        <f>'Calendario E'!S36</f>
        <v/>
      </c>
      <c r="H190" s="68">
        <f>'Calendario E'!T36</f>
        <v/>
      </c>
      <c r="I190" s="68">
        <f>'Calendario E'!U36</f>
        <v/>
      </c>
      <c r="J190" s="68">
        <f>'Calendario E'!V36</f>
        <v/>
      </c>
      <c r="K190" s="68">
        <f>'Calendario E'!W36</f>
        <v/>
      </c>
      <c r="L190" s="68">
        <f>'Calendario E'!X36</f>
        <v/>
      </c>
      <c r="M190" s="68">
        <f>'Calendario E'!Y36</f>
        <v/>
      </c>
      <c r="N190" s="68">
        <f>'Calendario E'!Z36</f>
        <v/>
      </c>
    </row>
    <row r="191">
      <c r="A191" s="68">
        <f>'Calendario E'!M39</f>
        <v/>
      </c>
      <c r="B191" s="68">
        <f>'Calendario E'!N39</f>
        <v/>
      </c>
      <c r="C191" s="68">
        <f>'Calendario E'!O39</f>
        <v/>
      </c>
      <c r="D191" s="68">
        <f>'Calendario E'!P39</f>
        <v/>
      </c>
      <c r="E191" s="68">
        <f>'Calendario E'!Q39</f>
        <v/>
      </c>
      <c r="F191" s="68">
        <f>'Calendario E'!R39</f>
        <v/>
      </c>
      <c r="G191" s="68">
        <f>'Calendario E'!S39</f>
        <v/>
      </c>
      <c r="H191" s="68">
        <f>'Calendario E'!T39</f>
        <v/>
      </c>
      <c r="I191" s="68">
        <f>'Calendario E'!U39</f>
        <v/>
      </c>
      <c r="J191" s="68">
        <f>'Calendario E'!V39</f>
        <v/>
      </c>
      <c r="K191" s="68">
        <f>'Calendario E'!W39</f>
        <v/>
      </c>
      <c r="L191" s="68">
        <f>'Calendario E'!X39</f>
        <v/>
      </c>
      <c r="M191" s="68">
        <f>'Calendario E'!Y39</f>
        <v/>
      </c>
      <c r="N191" s="68">
        <f>'Calendario E'!Z39</f>
        <v/>
      </c>
    </row>
    <row r="192">
      <c r="A192" s="68">
        <f>'Calendario E'!M44</f>
        <v/>
      </c>
      <c r="B192" s="68">
        <f>'Calendario E'!N44</f>
        <v/>
      </c>
      <c r="C192" s="68">
        <f>'Calendario E'!O44</f>
        <v/>
      </c>
      <c r="D192" s="68">
        <f>'Calendario E'!P44</f>
        <v/>
      </c>
      <c r="E192" s="68">
        <f>'Calendario E'!Q44</f>
        <v/>
      </c>
      <c r="F192" s="68">
        <f>'Calendario E'!R44</f>
        <v/>
      </c>
      <c r="G192" s="68">
        <f>'Calendario E'!S44</f>
        <v/>
      </c>
      <c r="H192" s="68">
        <f>'Calendario E'!T44</f>
        <v/>
      </c>
      <c r="I192" s="68">
        <f>'Calendario E'!U44</f>
        <v/>
      </c>
      <c r="J192" s="68">
        <f>'Calendario E'!V44</f>
        <v/>
      </c>
      <c r="K192" s="68">
        <f>'Calendario E'!W44</f>
        <v/>
      </c>
      <c r="L192" s="68">
        <f>'Calendario E'!X44</f>
        <v/>
      </c>
      <c r="M192" s="68">
        <f>'Calendario E'!Y44</f>
        <v/>
      </c>
      <c r="N192" s="68">
        <f>'Calendario E'!Z44</f>
        <v/>
      </c>
    </row>
    <row r="193">
      <c r="A193" s="68">
        <f>'Calendario E'!M47</f>
        <v/>
      </c>
      <c r="B193" s="68">
        <f>'Calendario E'!N47</f>
        <v/>
      </c>
      <c r="C193" s="68">
        <f>'Calendario E'!O47</f>
        <v/>
      </c>
      <c r="D193" s="68">
        <f>'Calendario E'!P47</f>
        <v/>
      </c>
      <c r="E193" s="68">
        <f>'Calendario E'!Q47</f>
        <v/>
      </c>
      <c r="F193" s="68">
        <f>'Calendario E'!R47</f>
        <v/>
      </c>
      <c r="G193" s="68">
        <f>'Calendario E'!S47</f>
        <v/>
      </c>
      <c r="H193" s="68">
        <f>'Calendario E'!T47</f>
        <v/>
      </c>
      <c r="I193" s="68">
        <f>'Calendario E'!U47</f>
        <v/>
      </c>
      <c r="J193" s="68">
        <f>'Calendario E'!V47</f>
        <v/>
      </c>
      <c r="K193" s="68">
        <f>'Calendario E'!W47</f>
        <v/>
      </c>
      <c r="L193" s="68">
        <f>'Calendario E'!X47</f>
        <v/>
      </c>
      <c r="M193" s="68">
        <f>'Calendario E'!Y47</f>
        <v/>
      </c>
      <c r="N193" s="68">
        <f>'Calendario E'!Z47</f>
        <v/>
      </c>
    </row>
    <row r="194">
      <c r="A194" s="68">
        <f>'Calendario E'!M50</f>
        <v/>
      </c>
      <c r="B194" s="68">
        <f>'Calendario E'!N50</f>
        <v/>
      </c>
      <c r="C194" s="68">
        <f>'Calendario E'!O50</f>
        <v/>
      </c>
      <c r="D194" s="68">
        <f>'Calendario E'!P50</f>
        <v/>
      </c>
      <c r="E194" s="68">
        <f>'Calendario E'!Q50</f>
        <v/>
      </c>
      <c r="F194" s="68">
        <f>'Calendario E'!R50</f>
        <v/>
      </c>
      <c r="G194" s="68">
        <f>'Calendario E'!S50</f>
        <v/>
      </c>
      <c r="H194" s="68">
        <f>'Calendario E'!T50</f>
        <v/>
      </c>
      <c r="I194" s="68">
        <f>'Calendario E'!U50</f>
        <v/>
      </c>
      <c r="J194" s="68">
        <f>'Calendario E'!V50</f>
        <v/>
      </c>
      <c r="K194" s="68">
        <f>'Calendario E'!W50</f>
        <v/>
      </c>
      <c r="L194" s="68">
        <f>'Calendario E'!X50</f>
        <v/>
      </c>
      <c r="M194" s="68">
        <f>'Calendario E'!Y50</f>
        <v/>
      </c>
      <c r="N194" s="68">
        <f>'Calendario E'!Z50</f>
        <v/>
      </c>
    </row>
    <row r="195">
      <c r="A195" s="68">
        <f>'Calendario E'!M53</f>
        <v/>
      </c>
      <c r="B195" s="68">
        <f>'Calendario E'!N53</f>
        <v/>
      </c>
      <c r="C195" s="68">
        <f>'Calendario E'!O53</f>
        <v/>
      </c>
      <c r="D195" s="68">
        <f>'Calendario E'!P53</f>
        <v/>
      </c>
      <c r="E195" s="68">
        <f>'Calendario E'!Q53</f>
        <v/>
      </c>
      <c r="F195" s="68">
        <f>'Calendario E'!R53</f>
        <v/>
      </c>
      <c r="G195" s="68">
        <f>'Calendario E'!S53</f>
        <v/>
      </c>
      <c r="H195" s="68">
        <f>'Calendario E'!T53</f>
        <v/>
      </c>
      <c r="I195" s="68">
        <f>'Calendario E'!U53</f>
        <v/>
      </c>
      <c r="J195" s="68">
        <f>'Calendario E'!V53</f>
        <v/>
      </c>
      <c r="K195" s="68">
        <f>'Calendario E'!W53</f>
        <v/>
      </c>
      <c r="L195" s="68">
        <f>'Calendario E'!X53</f>
        <v/>
      </c>
      <c r="M195" s="68">
        <f>'Calendario E'!Y53</f>
        <v/>
      </c>
      <c r="N195" s="68">
        <f>'Calendario E'!Z53</f>
        <v/>
      </c>
    </row>
    <row r="196">
      <c r="A196" s="68">
        <f>'Calendario E'!M56</f>
        <v/>
      </c>
      <c r="B196" s="68">
        <f>'Calendario E'!N56</f>
        <v/>
      </c>
      <c r="C196" s="68">
        <f>'Calendario E'!O56</f>
        <v/>
      </c>
      <c r="D196" s="68">
        <f>'Calendario E'!P56</f>
        <v/>
      </c>
      <c r="E196" s="68">
        <f>'Calendario E'!Q56</f>
        <v/>
      </c>
      <c r="F196" s="68">
        <f>'Calendario E'!R56</f>
        <v/>
      </c>
      <c r="G196" s="68">
        <f>'Calendario E'!S56</f>
        <v/>
      </c>
      <c r="H196" s="68">
        <f>'Calendario E'!T56</f>
        <v/>
      </c>
      <c r="I196" s="68">
        <f>'Calendario E'!U56</f>
        <v/>
      </c>
      <c r="J196" s="68">
        <f>'Calendario E'!V56</f>
        <v/>
      </c>
      <c r="K196" s="68">
        <f>'Calendario E'!W56</f>
        <v/>
      </c>
      <c r="L196" s="68">
        <f>'Calendario E'!X56</f>
        <v/>
      </c>
      <c r="M196" s="68">
        <f>'Calendario E'!Y56</f>
        <v/>
      </c>
      <c r="N196" s="68">
        <f>'Calendario E'!Z56</f>
        <v/>
      </c>
    </row>
    <row r="197">
      <c r="A197" s="68">
        <f>'Calendario E'!M61</f>
        <v/>
      </c>
      <c r="B197" s="68">
        <f>'Calendario E'!N61</f>
        <v/>
      </c>
      <c r="C197" s="68">
        <f>'Calendario E'!O61</f>
        <v/>
      </c>
      <c r="D197" s="68">
        <f>'Calendario E'!P61</f>
        <v/>
      </c>
      <c r="E197" s="68">
        <f>'Calendario E'!Q61</f>
        <v/>
      </c>
      <c r="F197" s="68">
        <f>'Calendario E'!R61</f>
        <v/>
      </c>
      <c r="G197" s="68">
        <f>'Calendario E'!S61</f>
        <v/>
      </c>
      <c r="H197" s="68">
        <f>'Calendario E'!T61</f>
        <v/>
      </c>
      <c r="I197" s="68">
        <f>'Calendario E'!U61</f>
        <v/>
      </c>
      <c r="J197" s="68">
        <f>'Calendario E'!V61</f>
        <v/>
      </c>
      <c r="K197" s="68">
        <f>'Calendario E'!W61</f>
        <v/>
      </c>
      <c r="L197" s="68">
        <f>'Calendario E'!X61</f>
        <v/>
      </c>
      <c r="M197" s="68">
        <f>'Calendario E'!Y61</f>
        <v/>
      </c>
      <c r="N197" s="68">
        <f>'Calendario E'!Z61</f>
        <v/>
      </c>
    </row>
    <row r="198">
      <c r="A198" s="68">
        <f>'Calendario E'!M64</f>
        <v/>
      </c>
      <c r="B198" s="68">
        <f>'Calendario E'!N64</f>
        <v/>
      </c>
      <c r="C198" s="68">
        <f>'Calendario E'!O64</f>
        <v/>
      </c>
      <c r="D198" s="68">
        <f>'Calendario E'!P64</f>
        <v/>
      </c>
      <c r="E198" s="68">
        <f>'Calendario E'!Q64</f>
        <v/>
      </c>
      <c r="F198" s="68">
        <f>'Calendario E'!R64</f>
        <v/>
      </c>
      <c r="G198" s="68">
        <f>'Calendario E'!S64</f>
        <v/>
      </c>
      <c r="H198" s="68">
        <f>'Calendario E'!T64</f>
        <v/>
      </c>
      <c r="I198" s="68">
        <f>'Calendario E'!U64</f>
        <v/>
      </c>
      <c r="J198" s="68">
        <f>'Calendario E'!V64</f>
        <v/>
      </c>
      <c r="K198" s="68">
        <f>'Calendario E'!W64</f>
        <v/>
      </c>
      <c r="L198" s="68">
        <f>'Calendario E'!X64</f>
        <v/>
      </c>
      <c r="M198" s="68">
        <f>'Calendario E'!Y64</f>
        <v/>
      </c>
      <c r="N198" s="68">
        <f>'Calendario E'!Z64</f>
        <v/>
      </c>
    </row>
    <row r="199">
      <c r="A199" s="68">
        <f>'Calendario E'!M67</f>
        <v/>
      </c>
      <c r="B199" s="68">
        <f>'Calendario E'!N67</f>
        <v/>
      </c>
      <c r="C199" s="68">
        <f>'Calendario E'!O67</f>
        <v/>
      </c>
      <c r="D199" s="68">
        <f>'Calendario E'!P67</f>
        <v/>
      </c>
      <c r="E199" s="68">
        <f>'Calendario E'!Q67</f>
        <v/>
      </c>
      <c r="F199" s="68">
        <f>'Calendario E'!R67</f>
        <v/>
      </c>
      <c r="G199" s="68">
        <f>'Calendario E'!S67</f>
        <v/>
      </c>
      <c r="H199" s="68">
        <f>'Calendario E'!T67</f>
        <v/>
      </c>
      <c r="I199" s="68">
        <f>'Calendario E'!U67</f>
        <v/>
      </c>
      <c r="J199" s="68">
        <f>'Calendario E'!V67</f>
        <v/>
      </c>
      <c r="K199" s="68">
        <f>'Calendario E'!W67</f>
        <v/>
      </c>
      <c r="L199" s="68">
        <f>'Calendario E'!X67</f>
        <v/>
      </c>
      <c r="M199" s="68">
        <f>'Calendario E'!Y67</f>
        <v/>
      </c>
      <c r="N199" s="68">
        <f>'Calendario E'!Z67</f>
        <v/>
      </c>
    </row>
    <row r="200">
      <c r="A200" s="68">
        <f>'Calendario E'!M70</f>
        <v/>
      </c>
      <c r="B200" s="68">
        <f>'Calendario E'!N70</f>
        <v/>
      </c>
      <c r="C200" s="68">
        <f>'Calendario E'!O70</f>
        <v/>
      </c>
      <c r="D200" s="68">
        <f>'Calendario E'!P70</f>
        <v/>
      </c>
      <c r="E200" s="68">
        <f>'Calendario E'!Q70</f>
        <v/>
      </c>
      <c r="F200" s="68">
        <f>'Calendario E'!R70</f>
        <v/>
      </c>
      <c r="G200" s="68">
        <f>'Calendario E'!S70</f>
        <v/>
      </c>
      <c r="H200" s="68">
        <f>'Calendario E'!T70</f>
        <v/>
      </c>
      <c r="I200" s="68">
        <f>'Calendario E'!U70</f>
        <v/>
      </c>
      <c r="J200" s="68">
        <f>'Calendario E'!V70</f>
        <v/>
      </c>
      <c r="K200" s="68">
        <f>'Calendario E'!W70</f>
        <v/>
      </c>
      <c r="L200" s="68">
        <f>'Calendario E'!X70</f>
        <v/>
      </c>
      <c r="M200" s="68">
        <f>'Calendario E'!Y70</f>
        <v/>
      </c>
      <c r="N200" s="68">
        <f>'Calendario E'!Z70</f>
        <v/>
      </c>
    </row>
    <row r="201">
      <c r="A201" s="68">
        <f>'Calendario E'!M73</f>
        <v/>
      </c>
      <c r="B201" s="68">
        <f>'Calendario E'!N73</f>
        <v/>
      </c>
      <c r="C201" s="68">
        <f>'Calendario E'!O73</f>
        <v/>
      </c>
      <c r="D201" s="68">
        <f>'Calendario E'!P73</f>
        <v/>
      </c>
      <c r="E201" s="68">
        <f>'Calendario E'!Q73</f>
        <v/>
      </c>
      <c r="F201" s="68">
        <f>'Calendario E'!R73</f>
        <v/>
      </c>
      <c r="G201" s="68">
        <f>'Calendario E'!S73</f>
        <v/>
      </c>
      <c r="H201" s="68">
        <f>'Calendario E'!T73</f>
        <v/>
      </c>
      <c r="I201" s="68">
        <f>'Calendario E'!U73</f>
        <v/>
      </c>
      <c r="J201" s="68">
        <f>'Calendario E'!V73</f>
        <v/>
      </c>
      <c r="K201" s="68">
        <f>'Calendario E'!W73</f>
        <v/>
      </c>
      <c r="L201" s="68">
        <f>'Calendario E'!X73</f>
        <v/>
      </c>
      <c r="M201" s="68">
        <f>'Calendario E'!Y73</f>
        <v/>
      </c>
      <c r="N201" s="68">
        <f>'Calendario E'!Z73</f>
        <v/>
      </c>
    </row>
    <row r="202">
      <c r="A202" s="68">
        <f>'Calendario E'!M78</f>
        <v/>
      </c>
      <c r="B202" s="68">
        <f>'Calendario E'!N78</f>
        <v/>
      </c>
      <c r="C202" s="68">
        <f>'Calendario E'!O78</f>
        <v/>
      </c>
      <c r="D202" s="68">
        <f>'Calendario E'!P78</f>
        <v/>
      </c>
      <c r="E202" s="68">
        <f>'Calendario E'!Q78</f>
        <v/>
      </c>
      <c r="F202" s="68">
        <f>'Calendario E'!R78</f>
        <v/>
      </c>
      <c r="G202" s="68">
        <f>'Calendario E'!S78</f>
        <v/>
      </c>
      <c r="H202" s="68">
        <f>'Calendario E'!T78</f>
        <v/>
      </c>
      <c r="I202" s="68">
        <f>'Calendario E'!U78</f>
        <v/>
      </c>
      <c r="J202" s="68">
        <f>'Calendario E'!V78</f>
        <v/>
      </c>
      <c r="K202" s="68">
        <f>'Calendario E'!W78</f>
        <v/>
      </c>
      <c r="L202" s="68">
        <f>'Calendario E'!X78</f>
        <v/>
      </c>
      <c r="M202" s="68">
        <f>'Calendario E'!Y78</f>
        <v/>
      </c>
      <c r="N202" s="68">
        <f>'Calendario E'!Z78</f>
        <v/>
      </c>
    </row>
    <row r="203">
      <c r="A203" s="68">
        <f>'Calendario E'!M81</f>
        <v/>
      </c>
      <c r="B203" s="68">
        <f>'Calendario E'!N81</f>
        <v/>
      </c>
      <c r="C203" s="68">
        <f>'Calendario E'!O81</f>
        <v/>
      </c>
      <c r="D203" s="68">
        <f>'Calendario E'!P81</f>
        <v/>
      </c>
      <c r="E203" s="68">
        <f>'Calendario E'!Q81</f>
        <v/>
      </c>
      <c r="F203" s="68">
        <f>'Calendario E'!R81</f>
        <v/>
      </c>
      <c r="G203" s="68">
        <f>'Calendario E'!S81</f>
        <v/>
      </c>
      <c r="H203" s="68">
        <f>'Calendario E'!T81</f>
        <v/>
      </c>
      <c r="I203" s="68">
        <f>'Calendario E'!U81</f>
        <v/>
      </c>
      <c r="J203" s="68">
        <f>'Calendario E'!V81</f>
        <v/>
      </c>
      <c r="K203" s="68">
        <f>'Calendario E'!W81</f>
        <v/>
      </c>
      <c r="L203" s="68">
        <f>'Calendario E'!X81</f>
        <v/>
      </c>
      <c r="M203" s="68">
        <f>'Calendario E'!Y81</f>
        <v/>
      </c>
      <c r="N203" s="68">
        <f>'Calendario E'!Z81</f>
        <v/>
      </c>
    </row>
    <row r="204">
      <c r="A204" s="68">
        <f>'Calendario E'!M84</f>
        <v/>
      </c>
      <c r="B204" s="68">
        <f>'Calendario E'!N84</f>
        <v/>
      </c>
      <c r="C204" s="68">
        <f>'Calendario E'!O84</f>
        <v/>
      </c>
      <c r="D204" s="68">
        <f>'Calendario E'!P84</f>
        <v/>
      </c>
      <c r="E204" s="68">
        <f>'Calendario E'!Q84</f>
        <v/>
      </c>
      <c r="F204" s="68">
        <f>'Calendario E'!R84</f>
        <v/>
      </c>
      <c r="G204" s="68">
        <f>'Calendario E'!S84</f>
        <v/>
      </c>
      <c r="H204" s="68">
        <f>'Calendario E'!T84</f>
        <v/>
      </c>
      <c r="I204" s="68">
        <f>'Calendario E'!U84</f>
        <v/>
      </c>
      <c r="J204" s="68">
        <f>'Calendario E'!V84</f>
        <v/>
      </c>
      <c r="K204" s="68">
        <f>'Calendario E'!W84</f>
        <v/>
      </c>
      <c r="L204" s="68">
        <f>'Calendario E'!X84</f>
        <v/>
      </c>
      <c r="M204" s="68">
        <f>'Calendario E'!Y84</f>
        <v/>
      </c>
      <c r="N204" s="68">
        <f>'Calendario E'!Z84</f>
        <v/>
      </c>
    </row>
    <row r="205">
      <c r="A205" s="68">
        <f>'Calendario E'!M87</f>
        <v/>
      </c>
      <c r="B205" s="68">
        <f>'Calendario E'!N87</f>
        <v/>
      </c>
      <c r="C205" s="68">
        <f>'Calendario E'!O87</f>
        <v/>
      </c>
      <c r="D205" s="68">
        <f>'Calendario E'!P87</f>
        <v/>
      </c>
      <c r="E205" s="68">
        <f>'Calendario E'!Q87</f>
        <v/>
      </c>
      <c r="F205" s="68">
        <f>'Calendario E'!R87</f>
        <v/>
      </c>
      <c r="G205" s="68">
        <f>'Calendario E'!S87</f>
        <v/>
      </c>
      <c r="H205" s="68">
        <f>'Calendario E'!T87</f>
        <v/>
      </c>
      <c r="I205" s="68">
        <f>'Calendario E'!U87</f>
        <v/>
      </c>
      <c r="J205" s="68">
        <f>'Calendario E'!V87</f>
        <v/>
      </c>
      <c r="K205" s="68">
        <f>'Calendario E'!W87</f>
        <v/>
      </c>
      <c r="L205" s="68">
        <f>'Calendario E'!X87</f>
        <v/>
      </c>
      <c r="M205" s="68">
        <f>'Calendario E'!Y87</f>
        <v/>
      </c>
      <c r="N205" s="68">
        <f>'Calendario E'!Z87</f>
        <v/>
      </c>
    </row>
    <row r="206">
      <c r="A206" s="68">
        <f>'Calendario E'!M90</f>
        <v/>
      </c>
      <c r="B206" s="68">
        <f>'Calendario E'!N90</f>
        <v/>
      </c>
      <c r="C206" s="68">
        <f>'Calendario E'!O90</f>
        <v/>
      </c>
      <c r="D206" s="68">
        <f>'Calendario E'!P90</f>
        <v/>
      </c>
      <c r="E206" s="68">
        <f>'Calendario E'!Q90</f>
        <v/>
      </c>
      <c r="F206" s="68">
        <f>'Calendario E'!R90</f>
        <v/>
      </c>
      <c r="G206" s="68">
        <f>'Calendario E'!S90</f>
        <v/>
      </c>
      <c r="H206" s="68">
        <f>'Calendario E'!T90</f>
        <v/>
      </c>
      <c r="I206" s="68">
        <f>'Calendario E'!U90</f>
        <v/>
      </c>
      <c r="J206" s="68">
        <f>'Calendario E'!V90</f>
        <v/>
      </c>
      <c r="K206" s="68">
        <f>'Calendario E'!W90</f>
        <v/>
      </c>
      <c r="L206" s="68">
        <f>'Calendario E'!X90</f>
        <v/>
      </c>
      <c r="M206" s="68">
        <f>'Calendario E'!Y90</f>
        <v/>
      </c>
      <c r="N206" s="68">
        <f>'Calendario E'!Z90</f>
        <v/>
      </c>
    </row>
    <row r="207">
      <c r="A207" s="68">
        <f>'Calendario E'!M95</f>
        <v/>
      </c>
      <c r="B207" s="68">
        <f>'Calendario E'!N95</f>
        <v/>
      </c>
      <c r="C207" s="68">
        <f>'Calendario E'!O95</f>
        <v/>
      </c>
      <c r="D207" s="68">
        <f>'Calendario E'!P95</f>
        <v/>
      </c>
      <c r="E207" s="68">
        <f>'Calendario E'!Q95</f>
        <v/>
      </c>
      <c r="F207" s="68">
        <f>'Calendario E'!R95</f>
        <v/>
      </c>
      <c r="G207" s="68">
        <f>'Calendario E'!S95</f>
        <v/>
      </c>
      <c r="H207" s="68">
        <f>'Calendario E'!T95</f>
        <v/>
      </c>
      <c r="I207" s="68">
        <f>'Calendario E'!U95</f>
        <v/>
      </c>
      <c r="J207" s="68">
        <f>'Calendario E'!V95</f>
        <v/>
      </c>
      <c r="K207" s="68">
        <f>'Calendario E'!W95</f>
        <v/>
      </c>
      <c r="L207" s="68">
        <f>'Calendario E'!X95</f>
        <v/>
      </c>
      <c r="M207" s="68">
        <f>'Calendario E'!Y95</f>
        <v/>
      </c>
      <c r="N207" s="68">
        <f>'Calendario E'!Z95</f>
        <v/>
      </c>
    </row>
    <row r="208">
      <c r="A208" s="68">
        <f>'Calendario E'!M98</f>
        <v/>
      </c>
      <c r="B208" s="68">
        <f>'Calendario E'!N98</f>
        <v/>
      </c>
      <c r="C208" s="68">
        <f>'Calendario E'!O98</f>
        <v/>
      </c>
      <c r="D208" s="68">
        <f>'Calendario E'!P98</f>
        <v/>
      </c>
      <c r="E208" s="68">
        <f>'Calendario E'!Q98</f>
        <v/>
      </c>
      <c r="F208" s="68">
        <f>'Calendario E'!R98</f>
        <v/>
      </c>
      <c r="G208" s="68">
        <f>'Calendario E'!S98</f>
        <v/>
      </c>
      <c r="H208" s="68">
        <f>'Calendario E'!T98</f>
        <v/>
      </c>
      <c r="I208" s="68">
        <f>'Calendario E'!U98</f>
        <v/>
      </c>
      <c r="J208" s="68">
        <f>'Calendario E'!V98</f>
        <v/>
      </c>
      <c r="K208" s="68">
        <f>'Calendario E'!W98</f>
        <v/>
      </c>
      <c r="L208" s="68">
        <f>'Calendario E'!X98</f>
        <v/>
      </c>
      <c r="M208" s="68">
        <f>'Calendario E'!Y98</f>
        <v/>
      </c>
      <c r="N208" s="68">
        <f>'Calendario E'!Z98</f>
        <v/>
      </c>
    </row>
    <row r="209">
      <c r="A209" s="68">
        <f>'Calendario E'!M101</f>
        <v/>
      </c>
      <c r="B209" s="68">
        <f>'Calendario E'!N101</f>
        <v/>
      </c>
      <c r="C209" s="68">
        <f>'Calendario E'!O101</f>
        <v/>
      </c>
      <c r="D209" s="68">
        <f>'Calendario E'!P101</f>
        <v/>
      </c>
      <c r="E209" s="68">
        <f>'Calendario E'!Q101</f>
        <v/>
      </c>
      <c r="F209" s="68">
        <f>'Calendario E'!R101</f>
        <v/>
      </c>
      <c r="G209" s="68">
        <f>'Calendario E'!S101</f>
        <v/>
      </c>
      <c r="H209" s="68">
        <f>'Calendario E'!T101</f>
        <v/>
      </c>
      <c r="I209" s="68">
        <f>'Calendario E'!U101</f>
        <v/>
      </c>
      <c r="J209" s="68">
        <f>'Calendario E'!V101</f>
        <v/>
      </c>
      <c r="K209" s="68">
        <f>'Calendario E'!W101</f>
        <v/>
      </c>
      <c r="L209" s="68">
        <f>'Calendario E'!X101</f>
        <v/>
      </c>
      <c r="M209" s="68">
        <f>'Calendario E'!Y101</f>
        <v/>
      </c>
      <c r="N209" s="68">
        <f>'Calendario E'!Z101</f>
        <v/>
      </c>
    </row>
    <row r="210">
      <c r="A210" s="68">
        <f>'Calendario E'!M104</f>
        <v/>
      </c>
      <c r="B210" s="68">
        <f>'Calendario E'!N104</f>
        <v/>
      </c>
      <c r="C210" s="68">
        <f>'Calendario E'!O104</f>
        <v/>
      </c>
      <c r="D210" s="68">
        <f>'Calendario E'!P104</f>
        <v/>
      </c>
      <c r="E210" s="68">
        <f>'Calendario E'!Q104</f>
        <v/>
      </c>
      <c r="F210" s="68">
        <f>'Calendario E'!R104</f>
        <v/>
      </c>
      <c r="G210" s="68">
        <f>'Calendario E'!S104</f>
        <v/>
      </c>
      <c r="H210" s="68">
        <f>'Calendario E'!T104</f>
        <v/>
      </c>
      <c r="I210" s="68">
        <f>'Calendario E'!U104</f>
        <v/>
      </c>
      <c r="J210" s="68">
        <f>'Calendario E'!V104</f>
        <v/>
      </c>
      <c r="K210" s="68">
        <f>'Calendario E'!W104</f>
        <v/>
      </c>
      <c r="L210" s="68">
        <f>'Calendario E'!X104</f>
        <v/>
      </c>
      <c r="M210" s="68">
        <f>'Calendario E'!Y104</f>
        <v/>
      </c>
      <c r="N210" s="68">
        <f>'Calendario E'!Z104</f>
        <v/>
      </c>
    </row>
    <row r="211">
      <c r="A211" s="68">
        <f>'Calendario E'!M107</f>
        <v/>
      </c>
      <c r="B211" s="68">
        <f>'Calendario E'!N107</f>
        <v/>
      </c>
      <c r="C211" s="68">
        <f>'Calendario E'!O107</f>
        <v/>
      </c>
      <c r="D211" s="68">
        <f>'Calendario E'!P107</f>
        <v/>
      </c>
      <c r="E211" s="68">
        <f>'Calendario E'!Q107</f>
        <v/>
      </c>
      <c r="F211" s="68">
        <f>'Calendario E'!R107</f>
        <v/>
      </c>
      <c r="G211" s="68">
        <f>'Calendario E'!S107</f>
        <v/>
      </c>
      <c r="H211" s="68">
        <f>'Calendario E'!T107</f>
        <v/>
      </c>
      <c r="I211" s="68">
        <f>'Calendario E'!U107</f>
        <v/>
      </c>
      <c r="J211" s="68">
        <f>'Calendario E'!V107</f>
        <v/>
      </c>
      <c r="K211" s="68">
        <f>'Calendario E'!W107</f>
        <v/>
      </c>
      <c r="L211" s="68">
        <f>'Calendario E'!X107</f>
        <v/>
      </c>
      <c r="M211" s="68">
        <f>'Calendario E'!Y107</f>
        <v/>
      </c>
      <c r="N211" s="68">
        <f>'Calendario E'!Z107</f>
        <v/>
      </c>
    </row>
    <row r="212">
      <c r="A212" s="68">
        <f>'Calendario E'!M112</f>
        <v/>
      </c>
      <c r="B212" s="68">
        <f>'Calendario E'!N112</f>
        <v/>
      </c>
      <c r="C212" s="68">
        <f>'Calendario E'!O112</f>
        <v/>
      </c>
      <c r="D212" s="68">
        <f>'Calendario E'!P112</f>
        <v/>
      </c>
      <c r="E212" s="68">
        <f>'Calendario E'!Q112</f>
        <v/>
      </c>
      <c r="F212" s="68">
        <f>'Calendario E'!R112</f>
        <v/>
      </c>
      <c r="G212" s="68">
        <f>'Calendario E'!S112</f>
        <v/>
      </c>
      <c r="H212" s="68">
        <f>'Calendario E'!T112</f>
        <v/>
      </c>
      <c r="I212" s="68">
        <f>'Calendario E'!U112</f>
        <v/>
      </c>
      <c r="J212" s="68">
        <f>'Calendario E'!V112</f>
        <v/>
      </c>
      <c r="K212" s="68">
        <f>'Calendario E'!W112</f>
        <v/>
      </c>
      <c r="L212" s="68">
        <f>'Calendario E'!X112</f>
        <v/>
      </c>
      <c r="M212" s="68">
        <f>'Calendario E'!Y112</f>
        <v/>
      </c>
      <c r="N212" s="68">
        <f>'Calendario E'!Z112</f>
        <v/>
      </c>
    </row>
    <row r="213">
      <c r="A213" s="68">
        <f>'Calendario E'!M115</f>
        <v/>
      </c>
      <c r="B213" s="68">
        <f>'Calendario E'!N115</f>
        <v/>
      </c>
      <c r="C213" s="68">
        <f>'Calendario E'!O115</f>
        <v/>
      </c>
      <c r="D213" s="68">
        <f>'Calendario E'!P115</f>
        <v/>
      </c>
      <c r="E213" s="68">
        <f>'Calendario E'!Q115</f>
        <v/>
      </c>
      <c r="F213" s="68">
        <f>'Calendario E'!R115</f>
        <v/>
      </c>
      <c r="G213" s="68">
        <f>'Calendario E'!S115</f>
        <v/>
      </c>
      <c r="H213" s="68">
        <f>'Calendario E'!T115</f>
        <v/>
      </c>
      <c r="I213" s="68">
        <f>'Calendario E'!U115</f>
        <v/>
      </c>
      <c r="J213" s="68">
        <f>'Calendario E'!V115</f>
        <v/>
      </c>
      <c r="K213" s="68">
        <f>'Calendario E'!W115</f>
        <v/>
      </c>
      <c r="L213" s="68">
        <f>'Calendario E'!X115</f>
        <v/>
      </c>
      <c r="M213" s="68">
        <f>'Calendario E'!Y115</f>
        <v/>
      </c>
      <c r="N213" s="68">
        <f>'Calendario E'!Z115</f>
        <v/>
      </c>
    </row>
    <row r="214">
      <c r="A214" s="68">
        <f>'Calendario E'!M118</f>
        <v/>
      </c>
      <c r="B214" s="68">
        <f>'Calendario E'!N118</f>
        <v/>
      </c>
      <c r="C214" s="68">
        <f>'Calendario E'!O118</f>
        <v/>
      </c>
      <c r="D214" s="68">
        <f>'Calendario E'!P118</f>
        <v/>
      </c>
      <c r="E214" s="68">
        <f>'Calendario E'!Q118</f>
        <v/>
      </c>
      <c r="F214" s="68">
        <f>'Calendario E'!R118</f>
        <v/>
      </c>
      <c r="G214" s="68">
        <f>'Calendario E'!S118</f>
        <v/>
      </c>
      <c r="H214" s="68">
        <f>'Calendario E'!T118</f>
        <v/>
      </c>
      <c r="I214" s="68">
        <f>'Calendario E'!U118</f>
        <v/>
      </c>
      <c r="J214" s="68">
        <f>'Calendario E'!V118</f>
        <v/>
      </c>
      <c r="K214" s="68">
        <f>'Calendario E'!W118</f>
        <v/>
      </c>
      <c r="L214" s="68">
        <f>'Calendario E'!X118</f>
        <v/>
      </c>
      <c r="M214" s="68">
        <f>'Calendario E'!Y118</f>
        <v/>
      </c>
      <c r="N214" s="68">
        <f>'Calendario E'!Z118</f>
        <v/>
      </c>
    </row>
    <row r="215">
      <c r="A215" s="68">
        <f>'Calendario E'!M121</f>
        <v/>
      </c>
      <c r="B215" s="68">
        <f>'Calendario E'!N121</f>
        <v/>
      </c>
      <c r="C215" s="68">
        <f>'Calendario E'!O121</f>
        <v/>
      </c>
      <c r="D215" s="68">
        <f>'Calendario E'!P121</f>
        <v/>
      </c>
      <c r="E215" s="68">
        <f>'Calendario E'!Q121</f>
        <v/>
      </c>
      <c r="F215" s="68">
        <f>'Calendario E'!R121</f>
        <v/>
      </c>
      <c r="G215" s="68">
        <f>'Calendario E'!S121</f>
        <v/>
      </c>
      <c r="H215" s="68">
        <f>'Calendario E'!T121</f>
        <v/>
      </c>
      <c r="I215" s="68">
        <f>'Calendario E'!U121</f>
        <v/>
      </c>
      <c r="J215" s="68">
        <f>'Calendario E'!V121</f>
        <v/>
      </c>
      <c r="K215" s="68">
        <f>'Calendario E'!W121</f>
        <v/>
      </c>
      <c r="L215" s="68">
        <f>'Calendario E'!X121</f>
        <v/>
      </c>
      <c r="M215" s="68">
        <f>'Calendario E'!Y121</f>
        <v/>
      </c>
      <c r="N215" s="68">
        <f>'Calendario E'!Z121</f>
        <v/>
      </c>
    </row>
    <row r="216">
      <c r="A216" s="68">
        <f>'Calendario E'!M124</f>
        <v/>
      </c>
      <c r="B216" s="68">
        <f>'Calendario E'!N124</f>
        <v/>
      </c>
      <c r="C216" s="68">
        <f>'Calendario E'!O124</f>
        <v/>
      </c>
      <c r="D216" s="68">
        <f>'Calendario E'!P124</f>
        <v/>
      </c>
      <c r="E216" s="68">
        <f>'Calendario E'!Q124</f>
        <v/>
      </c>
      <c r="F216" s="68">
        <f>'Calendario E'!R124</f>
        <v/>
      </c>
      <c r="G216" s="68">
        <f>'Calendario E'!S124</f>
        <v/>
      </c>
      <c r="H216" s="68">
        <f>'Calendario E'!T124</f>
        <v/>
      </c>
      <c r="I216" s="68">
        <f>'Calendario E'!U124</f>
        <v/>
      </c>
      <c r="J216" s="68">
        <f>'Calendario E'!V124</f>
        <v/>
      </c>
      <c r="K216" s="68">
        <f>'Calendario E'!W124</f>
        <v/>
      </c>
      <c r="L216" s="68">
        <f>'Calendario E'!X124</f>
        <v/>
      </c>
      <c r="M216" s="68">
        <f>'Calendario E'!Y124</f>
        <v/>
      </c>
      <c r="N216" s="68">
        <f>'Calendario E'!Z124</f>
        <v/>
      </c>
    </row>
    <row r="217">
      <c r="A217" s="68">
        <f>'Calendario E'!M129</f>
        <v/>
      </c>
      <c r="B217" s="68">
        <f>'Calendario E'!N129</f>
        <v/>
      </c>
      <c r="C217" s="68">
        <f>'Calendario E'!O129</f>
        <v/>
      </c>
      <c r="D217" s="68">
        <f>'Calendario E'!P129</f>
        <v/>
      </c>
      <c r="E217" s="68">
        <f>'Calendario E'!Q129</f>
        <v/>
      </c>
      <c r="F217" s="68">
        <f>'Calendario E'!R129</f>
        <v/>
      </c>
      <c r="G217" s="68">
        <f>'Calendario E'!S129</f>
        <v/>
      </c>
      <c r="H217" s="68">
        <f>'Calendario E'!T129</f>
        <v/>
      </c>
      <c r="I217" s="68">
        <f>'Calendario E'!U129</f>
        <v/>
      </c>
      <c r="J217" s="68">
        <f>'Calendario E'!V129</f>
        <v/>
      </c>
      <c r="K217" s="68">
        <f>'Calendario E'!W129</f>
        <v/>
      </c>
      <c r="L217" s="68">
        <f>'Calendario E'!X129</f>
        <v/>
      </c>
      <c r="M217" s="68">
        <f>'Calendario E'!Y129</f>
        <v/>
      </c>
      <c r="N217" s="68">
        <f>'Calendario E'!Z129</f>
        <v/>
      </c>
    </row>
    <row r="218">
      <c r="A218" s="68">
        <f>'Calendario E'!M132</f>
        <v/>
      </c>
      <c r="B218" s="68">
        <f>'Calendario E'!N132</f>
        <v/>
      </c>
      <c r="C218" s="68">
        <f>'Calendario E'!O132</f>
        <v/>
      </c>
      <c r="D218" s="68">
        <f>'Calendario E'!P132</f>
        <v/>
      </c>
      <c r="E218" s="68">
        <f>'Calendario E'!Q132</f>
        <v/>
      </c>
      <c r="F218" s="68">
        <f>'Calendario E'!R132</f>
        <v/>
      </c>
      <c r="G218" s="68">
        <f>'Calendario E'!S132</f>
        <v/>
      </c>
      <c r="H218" s="68">
        <f>'Calendario E'!T132</f>
        <v/>
      </c>
      <c r="I218" s="68">
        <f>'Calendario E'!U132</f>
        <v/>
      </c>
      <c r="J218" s="68">
        <f>'Calendario E'!V132</f>
        <v/>
      </c>
      <c r="K218" s="68">
        <f>'Calendario E'!W132</f>
        <v/>
      </c>
      <c r="L218" s="68">
        <f>'Calendario E'!X132</f>
        <v/>
      </c>
      <c r="M218" s="68">
        <f>'Calendario E'!Y132</f>
        <v/>
      </c>
      <c r="N218" s="68">
        <f>'Calendario E'!Z132</f>
        <v/>
      </c>
    </row>
    <row r="219">
      <c r="A219" s="68">
        <f>'Calendario E'!M135</f>
        <v/>
      </c>
      <c r="B219" s="68">
        <f>'Calendario E'!N135</f>
        <v/>
      </c>
      <c r="C219" s="68">
        <f>'Calendario E'!O135</f>
        <v/>
      </c>
      <c r="D219" s="68">
        <f>'Calendario E'!P135</f>
        <v/>
      </c>
      <c r="E219" s="68">
        <f>'Calendario E'!Q135</f>
        <v/>
      </c>
      <c r="F219" s="68">
        <f>'Calendario E'!R135</f>
        <v/>
      </c>
      <c r="G219" s="68">
        <f>'Calendario E'!S135</f>
        <v/>
      </c>
      <c r="H219" s="68">
        <f>'Calendario E'!T135</f>
        <v/>
      </c>
      <c r="I219" s="68">
        <f>'Calendario E'!U135</f>
        <v/>
      </c>
      <c r="J219" s="68">
        <f>'Calendario E'!V135</f>
        <v/>
      </c>
      <c r="K219" s="68">
        <f>'Calendario E'!W135</f>
        <v/>
      </c>
      <c r="L219" s="68">
        <f>'Calendario E'!X135</f>
        <v/>
      </c>
      <c r="M219" s="68">
        <f>'Calendario E'!Y135</f>
        <v/>
      </c>
      <c r="N219" s="68">
        <f>'Calendario E'!Z135</f>
        <v/>
      </c>
    </row>
    <row r="220">
      <c r="A220" s="68">
        <f>'Calendario E'!M138</f>
        <v/>
      </c>
      <c r="B220" s="68">
        <f>'Calendario E'!N138</f>
        <v/>
      </c>
      <c r="C220" s="68">
        <f>'Calendario E'!O138</f>
        <v/>
      </c>
      <c r="D220" s="68">
        <f>'Calendario E'!P138</f>
        <v/>
      </c>
      <c r="E220" s="68">
        <f>'Calendario E'!Q138</f>
        <v/>
      </c>
      <c r="F220" s="68">
        <f>'Calendario E'!R138</f>
        <v/>
      </c>
      <c r="G220" s="68">
        <f>'Calendario E'!S138</f>
        <v/>
      </c>
      <c r="H220" s="68">
        <f>'Calendario E'!T138</f>
        <v/>
      </c>
      <c r="I220" s="68">
        <f>'Calendario E'!U138</f>
        <v/>
      </c>
      <c r="J220" s="68">
        <f>'Calendario E'!V138</f>
        <v/>
      </c>
      <c r="K220" s="68">
        <f>'Calendario E'!W138</f>
        <v/>
      </c>
      <c r="L220" s="68">
        <f>'Calendario E'!X138</f>
        <v/>
      </c>
      <c r="M220" s="68">
        <f>'Calendario E'!Y138</f>
        <v/>
      </c>
      <c r="N220" s="68">
        <f>'Calendario E'!Z138</f>
        <v/>
      </c>
    </row>
    <row r="221">
      <c r="A221" s="68">
        <f>'Calendario E'!M141</f>
        <v/>
      </c>
      <c r="B221" s="68">
        <f>'Calendario E'!N141</f>
        <v/>
      </c>
      <c r="C221" s="68">
        <f>'Calendario E'!O141</f>
        <v/>
      </c>
      <c r="D221" s="68">
        <f>'Calendario E'!P141</f>
        <v/>
      </c>
      <c r="E221" s="68">
        <f>'Calendario E'!Q141</f>
        <v/>
      </c>
      <c r="F221" s="68">
        <f>'Calendario E'!R141</f>
        <v/>
      </c>
      <c r="G221" s="68">
        <f>'Calendario E'!S141</f>
        <v/>
      </c>
      <c r="H221" s="68">
        <f>'Calendario E'!T141</f>
        <v/>
      </c>
      <c r="I221" s="68">
        <f>'Calendario E'!U141</f>
        <v/>
      </c>
      <c r="J221" s="68">
        <f>'Calendario E'!V141</f>
        <v/>
      </c>
      <c r="K221" s="68">
        <f>'Calendario E'!W141</f>
        <v/>
      </c>
      <c r="L221" s="68">
        <f>'Calendario E'!X141</f>
        <v/>
      </c>
      <c r="M221" s="68">
        <f>'Calendario E'!Y141</f>
        <v/>
      </c>
      <c r="N221" s="68">
        <f>'Calendario E'!Z141</f>
        <v/>
      </c>
    </row>
    <row r="222">
      <c r="A222" s="68">
        <f>'Calendario E'!M146</f>
        <v/>
      </c>
      <c r="B222" s="68">
        <f>'Calendario E'!N146</f>
        <v/>
      </c>
      <c r="C222" s="68">
        <f>'Calendario E'!O146</f>
        <v/>
      </c>
      <c r="D222" s="68">
        <f>'Calendario E'!P146</f>
        <v/>
      </c>
      <c r="E222" s="68">
        <f>'Calendario E'!Q146</f>
        <v/>
      </c>
      <c r="F222" s="68">
        <f>'Calendario E'!R146</f>
        <v/>
      </c>
      <c r="G222" s="68">
        <f>'Calendario E'!S146</f>
        <v/>
      </c>
      <c r="H222" s="68">
        <f>'Calendario E'!T146</f>
        <v/>
      </c>
      <c r="I222" s="68">
        <f>'Calendario E'!U146</f>
        <v/>
      </c>
      <c r="J222" s="68">
        <f>'Calendario E'!V146</f>
        <v/>
      </c>
      <c r="K222" s="68">
        <f>'Calendario E'!W146</f>
        <v/>
      </c>
      <c r="L222" s="68">
        <f>'Calendario E'!X146</f>
        <v/>
      </c>
      <c r="M222" s="68">
        <f>'Calendario E'!Y146</f>
        <v/>
      </c>
      <c r="N222" s="68">
        <f>'Calendario E'!Z146</f>
        <v/>
      </c>
    </row>
    <row r="223">
      <c r="A223" s="68">
        <f>'Calendario E'!M149</f>
        <v/>
      </c>
      <c r="B223" s="68">
        <f>'Calendario E'!N149</f>
        <v/>
      </c>
      <c r="C223" s="68">
        <f>'Calendario E'!O149</f>
        <v/>
      </c>
      <c r="D223" s="68">
        <f>'Calendario E'!P149</f>
        <v/>
      </c>
      <c r="E223" s="68">
        <f>'Calendario E'!Q149</f>
        <v/>
      </c>
      <c r="F223" s="68">
        <f>'Calendario E'!R149</f>
        <v/>
      </c>
      <c r="G223" s="68">
        <f>'Calendario E'!S149</f>
        <v/>
      </c>
      <c r="H223" s="68">
        <f>'Calendario E'!T149</f>
        <v/>
      </c>
      <c r="I223" s="68">
        <f>'Calendario E'!U149</f>
        <v/>
      </c>
      <c r="J223" s="68">
        <f>'Calendario E'!V149</f>
        <v/>
      </c>
      <c r="K223" s="68">
        <f>'Calendario E'!W149</f>
        <v/>
      </c>
      <c r="L223" s="68">
        <f>'Calendario E'!X149</f>
        <v/>
      </c>
      <c r="M223" s="68">
        <f>'Calendario E'!Y149</f>
        <v/>
      </c>
      <c r="N223" s="68">
        <f>'Calendario E'!Z149</f>
        <v/>
      </c>
    </row>
    <row r="224">
      <c r="A224" s="68">
        <f>'Calendario E'!M152</f>
        <v/>
      </c>
      <c r="B224" s="68">
        <f>'Calendario E'!N152</f>
        <v/>
      </c>
      <c r="C224" s="68">
        <f>'Calendario E'!O152</f>
        <v/>
      </c>
      <c r="D224" s="68">
        <f>'Calendario E'!P152</f>
        <v/>
      </c>
      <c r="E224" s="68">
        <f>'Calendario E'!Q152</f>
        <v/>
      </c>
      <c r="F224" s="68">
        <f>'Calendario E'!R152</f>
        <v/>
      </c>
      <c r="G224" s="68">
        <f>'Calendario E'!S152</f>
        <v/>
      </c>
      <c r="H224" s="68">
        <f>'Calendario E'!T152</f>
        <v/>
      </c>
      <c r="I224" s="68">
        <f>'Calendario E'!U152</f>
        <v/>
      </c>
      <c r="J224" s="68">
        <f>'Calendario E'!V152</f>
        <v/>
      </c>
      <c r="K224" s="68">
        <f>'Calendario E'!W152</f>
        <v/>
      </c>
      <c r="L224" s="68">
        <f>'Calendario E'!X152</f>
        <v/>
      </c>
      <c r="M224" s="68">
        <f>'Calendario E'!Y152</f>
        <v/>
      </c>
      <c r="N224" s="68">
        <f>'Calendario E'!Z152</f>
        <v/>
      </c>
    </row>
    <row r="225">
      <c r="A225" s="68">
        <f>'Calendario E'!M155</f>
        <v/>
      </c>
      <c r="B225" s="68">
        <f>'Calendario E'!N155</f>
        <v/>
      </c>
      <c r="C225" s="68">
        <f>'Calendario E'!O155</f>
        <v/>
      </c>
      <c r="D225" s="68">
        <f>'Calendario E'!P155</f>
        <v/>
      </c>
      <c r="E225" s="68">
        <f>'Calendario E'!Q155</f>
        <v/>
      </c>
      <c r="F225" s="68">
        <f>'Calendario E'!R155</f>
        <v/>
      </c>
      <c r="G225" s="68">
        <f>'Calendario E'!S155</f>
        <v/>
      </c>
      <c r="H225" s="68">
        <f>'Calendario E'!T155</f>
        <v/>
      </c>
      <c r="I225" s="68">
        <f>'Calendario E'!U155</f>
        <v/>
      </c>
      <c r="J225" s="68">
        <f>'Calendario E'!V155</f>
        <v/>
      </c>
      <c r="K225" s="68">
        <f>'Calendario E'!W155</f>
        <v/>
      </c>
      <c r="L225" s="68">
        <f>'Calendario E'!X155</f>
        <v/>
      </c>
      <c r="M225" s="68">
        <f>'Calendario E'!Y155</f>
        <v/>
      </c>
      <c r="N225" s="68">
        <f>'Calendario E'!Z155</f>
        <v/>
      </c>
    </row>
    <row r="226">
      <c r="A226" s="68">
        <f>'Calendario E'!M158</f>
        <v/>
      </c>
      <c r="B226" s="68">
        <f>'Calendario E'!N158</f>
        <v/>
      </c>
      <c r="C226" s="68">
        <f>'Calendario E'!O158</f>
        <v/>
      </c>
      <c r="D226" s="68">
        <f>'Calendario E'!P158</f>
        <v/>
      </c>
      <c r="E226" s="68">
        <f>'Calendario E'!Q158</f>
        <v/>
      </c>
      <c r="F226" s="68">
        <f>'Calendario E'!R158</f>
        <v/>
      </c>
      <c r="G226" s="68">
        <f>'Calendario E'!S158</f>
        <v/>
      </c>
      <c r="H226" s="68">
        <f>'Calendario E'!T158</f>
        <v/>
      </c>
      <c r="I226" s="68">
        <f>'Calendario E'!U158</f>
        <v/>
      </c>
      <c r="J226" s="68">
        <f>'Calendario E'!V158</f>
        <v/>
      </c>
      <c r="K226" s="68">
        <f>'Calendario E'!W158</f>
        <v/>
      </c>
      <c r="L226" s="68">
        <f>'Calendario E'!X158</f>
        <v/>
      </c>
      <c r="M226" s="68">
        <f>'Calendario E'!Y158</f>
        <v/>
      </c>
      <c r="N226" s="68">
        <f>'Calendario E'!Z158</f>
        <v/>
      </c>
    </row>
    <row r="227">
      <c r="A227" s="68">
        <f>'Calendario F'!M10</f>
        <v/>
      </c>
      <c r="B227" s="68">
        <f>'Calendario F'!N10</f>
        <v/>
      </c>
      <c r="C227" s="68">
        <f>'Calendario F'!O10</f>
        <v/>
      </c>
      <c r="D227" s="68">
        <f>'Calendario F'!P10</f>
        <v/>
      </c>
      <c r="E227" s="68">
        <f>'Calendario F'!Q10</f>
        <v/>
      </c>
      <c r="F227" s="68">
        <f>'Calendario F'!R10</f>
        <v/>
      </c>
      <c r="G227" s="68">
        <f>'Calendario F'!S10</f>
        <v/>
      </c>
      <c r="H227" s="68">
        <f>'Calendario F'!T10</f>
        <v/>
      </c>
      <c r="I227" s="68">
        <f>'Calendario F'!U10</f>
        <v/>
      </c>
      <c r="J227" s="68">
        <f>'Calendario F'!V10</f>
        <v/>
      </c>
      <c r="K227" s="68">
        <f>'Calendario F'!W10</f>
        <v/>
      </c>
      <c r="L227" s="68">
        <f>'Calendario F'!X10</f>
        <v/>
      </c>
      <c r="M227" s="68">
        <f>'Calendario F'!Y10</f>
        <v/>
      </c>
      <c r="N227" s="68">
        <f>'Calendario F'!Z10</f>
        <v/>
      </c>
    </row>
    <row r="228">
      <c r="A228" s="68">
        <f>'Calendario F'!M13</f>
        <v/>
      </c>
      <c r="B228" s="68">
        <f>'Calendario F'!N13</f>
        <v/>
      </c>
      <c r="C228" s="68">
        <f>'Calendario F'!O13</f>
        <v/>
      </c>
      <c r="D228" s="68">
        <f>'Calendario F'!P13</f>
        <v/>
      </c>
      <c r="E228" s="68">
        <f>'Calendario F'!Q13</f>
        <v/>
      </c>
      <c r="F228" s="68">
        <f>'Calendario F'!R13</f>
        <v/>
      </c>
      <c r="G228" s="68">
        <f>'Calendario F'!S13</f>
        <v/>
      </c>
      <c r="H228" s="68">
        <f>'Calendario F'!T13</f>
        <v/>
      </c>
      <c r="I228" s="68">
        <f>'Calendario F'!U13</f>
        <v/>
      </c>
      <c r="J228" s="68">
        <f>'Calendario F'!V13</f>
        <v/>
      </c>
      <c r="K228" s="68">
        <f>'Calendario F'!W13</f>
        <v/>
      </c>
      <c r="L228" s="68">
        <f>'Calendario F'!X13</f>
        <v/>
      </c>
      <c r="M228" s="68">
        <f>'Calendario F'!Y13</f>
        <v/>
      </c>
      <c r="N228" s="68">
        <f>'Calendario F'!Z13</f>
        <v/>
      </c>
    </row>
    <row r="229">
      <c r="A229" s="68">
        <f>'Calendario F'!M16</f>
        <v/>
      </c>
      <c r="B229" s="68">
        <f>'Calendario F'!N16</f>
        <v/>
      </c>
      <c r="C229" s="68">
        <f>'Calendario F'!O16</f>
        <v/>
      </c>
      <c r="D229" s="68">
        <f>'Calendario F'!P16</f>
        <v/>
      </c>
      <c r="E229" s="68">
        <f>'Calendario F'!Q16</f>
        <v/>
      </c>
      <c r="F229" s="68">
        <f>'Calendario F'!R16</f>
        <v/>
      </c>
      <c r="G229" s="68">
        <f>'Calendario F'!S16</f>
        <v/>
      </c>
      <c r="H229" s="68">
        <f>'Calendario F'!T16</f>
        <v/>
      </c>
      <c r="I229" s="68">
        <f>'Calendario F'!U16</f>
        <v/>
      </c>
      <c r="J229" s="68">
        <f>'Calendario F'!V16</f>
        <v/>
      </c>
      <c r="K229" s="68">
        <f>'Calendario F'!W16</f>
        <v/>
      </c>
      <c r="L229" s="68">
        <f>'Calendario F'!X16</f>
        <v/>
      </c>
      <c r="M229" s="68">
        <f>'Calendario F'!Y16</f>
        <v/>
      </c>
      <c r="N229" s="68">
        <f>'Calendario F'!Z16</f>
        <v/>
      </c>
    </row>
    <row r="230">
      <c r="A230" s="68">
        <f>'Calendario F'!M19</f>
        <v/>
      </c>
      <c r="B230" s="68">
        <f>'Calendario F'!N19</f>
        <v/>
      </c>
      <c r="C230" s="68">
        <f>'Calendario F'!O19</f>
        <v/>
      </c>
      <c r="D230" s="68">
        <f>'Calendario F'!P19</f>
        <v/>
      </c>
      <c r="E230" s="68">
        <f>'Calendario F'!Q19</f>
        <v/>
      </c>
      <c r="F230" s="68">
        <f>'Calendario F'!R19</f>
        <v/>
      </c>
      <c r="G230" s="68">
        <f>'Calendario F'!S19</f>
        <v/>
      </c>
      <c r="H230" s="68">
        <f>'Calendario F'!T19</f>
        <v/>
      </c>
      <c r="I230" s="68">
        <f>'Calendario F'!U19</f>
        <v/>
      </c>
      <c r="J230" s="68">
        <f>'Calendario F'!V19</f>
        <v/>
      </c>
      <c r="K230" s="68">
        <f>'Calendario F'!W19</f>
        <v/>
      </c>
      <c r="L230" s="68">
        <f>'Calendario F'!X19</f>
        <v/>
      </c>
      <c r="M230" s="68">
        <f>'Calendario F'!Y19</f>
        <v/>
      </c>
      <c r="N230" s="68">
        <f>'Calendario F'!Z19</f>
        <v/>
      </c>
    </row>
    <row r="231">
      <c r="A231" s="68">
        <f>'Calendario F'!M22</f>
        <v/>
      </c>
      <c r="B231" s="68">
        <f>'Calendario F'!N22</f>
        <v/>
      </c>
      <c r="C231" s="68">
        <f>'Calendario F'!O22</f>
        <v/>
      </c>
      <c r="D231" s="68">
        <f>'Calendario F'!P22</f>
        <v/>
      </c>
      <c r="E231" s="68">
        <f>'Calendario F'!Q22</f>
        <v/>
      </c>
      <c r="F231" s="68">
        <f>'Calendario F'!R22</f>
        <v/>
      </c>
      <c r="G231" s="68">
        <f>'Calendario F'!S22</f>
        <v/>
      </c>
      <c r="H231" s="68">
        <f>'Calendario F'!T22</f>
        <v/>
      </c>
      <c r="I231" s="68">
        <f>'Calendario F'!U22</f>
        <v/>
      </c>
      <c r="J231" s="68">
        <f>'Calendario F'!V22</f>
        <v/>
      </c>
      <c r="K231" s="68">
        <f>'Calendario F'!W22</f>
        <v/>
      </c>
      <c r="L231" s="68">
        <f>'Calendario F'!X22</f>
        <v/>
      </c>
      <c r="M231" s="68">
        <f>'Calendario F'!Y22</f>
        <v/>
      </c>
      <c r="N231" s="68">
        <f>'Calendario F'!Z22</f>
        <v/>
      </c>
    </row>
    <row r="232">
      <c r="A232" s="68">
        <f>'Calendario F'!M27</f>
        <v/>
      </c>
      <c r="B232" s="68">
        <f>'Calendario F'!N27</f>
        <v/>
      </c>
      <c r="C232" s="68">
        <f>'Calendario F'!O27</f>
        <v/>
      </c>
      <c r="D232" s="68">
        <f>'Calendario F'!P27</f>
        <v/>
      </c>
      <c r="E232" s="68">
        <f>'Calendario F'!Q27</f>
        <v/>
      </c>
      <c r="F232" s="68">
        <f>'Calendario F'!R27</f>
        <v/>
      </c>
      <c r="G232" s="68">
        <f>'Calendario F'!S27</f>
        <v/>
      </c>
      <c r="H232" s="68">
        <f>'Calendario F'!T27</f>
        <v/>
      </c>
      <c r="I232" s="68">
        <f>'Calendario F'!U27</f>
        <v/>
      </c>
      <c r="J232" s="68">
        <f>'Calendario F'!V27</f>
        <v/>
      </c>
      <c r="K232" s="68">
        <f>'Calendario F'!W27</f>
        <v/>
      </c>
      <c r="L232" s="68">
        <f>'Calendario F'!X27</f>
        <v/>
      </c>
      <c r="M232" s="68">
        <f>'Calendario F'!Y27</f>
        <v/>
      </c>
      <c r="N232" s="68">
        <f>'Calendario F'!Z27</f>
        <v/>
      </c>
    </row>
    <row r="233">
      <c r="A233" s="68">
        <f>'Calendario F'!M30</f>
        <v/>
      </c>
      <c r="B233" s="68">
        <f>'Calendario F'!N30</f>
        <v/>
      </c>
      <c r="C233" s="68">
        <f>'Calendario F'!O30</f>
        <v/>
      </c>
      <c r="D233" s="68">
        <f>'Calendario F'!P30</f>
        <v/>
      </c>
      <c r="E233" s="68">
        <f>'Calendario F'!Q30</f>
        <v/>
      </c>
      <c r="F233" s="68">
        <f>'Calendario F'!R30</f>
        <v/>
      </c>
      <c r="G233" s="68">
        <f>'Calendario F'!S30</f>
        <v/>
      </c>
      <c r="H233" s="68">
        <f>'Calendario F'!T30</f>
        <v/>
      </c>
      <c r="I233" s="68">
        <f>'Calendario F'!U30</f>
        <v/>
      </c>
      <c r="J233" s="68">
        <f>'Calendario F'!V30</f>
        <v/>
      </c>
      <c r="K233" s="68">
        <f>'Calendario F'!W30</f>
        <v/>
      </c>
      <c r="L233" s="68">
        <f>'Calendario F'!X30</f>
        <v/>
      </c>
      <c r="M233" s="68">
        <f>'Calendario F'!Y30</f>
        <v/>
      </c>
      <c r="N233" s="68">
        <f>'Calendario F'!Z30</f>
        <v/>
      </c>
    </row>
    <row r="234">
      <c r="A234" s="68">
        <f>'Calendario F'!M33</f>
        <v/>
      </c>
      <c r="B234" s="68">
        <f>'Calendario F'!N33</f>
        <v/>
      </c>
      <c r="C234" s="68">
        <f>'Calendario F'!O33</f>
        <v/>
      </c>
      <c r="D234" s="68">
        <f>'Calendario F'!P33</f>
        <v/>
      </c>
      <c r="E234" s="68">
        <f>'Calendario F'!Q33</f>
        <v/>
      </c>
      <c r="F234" s="68">
        <f>'Calendario F'!R33</f>
        <v/>
      </c>
      <c r="G234" s="68">
        <f>'Calendario F'!S33</f>
        <v/>
      </c>
      <c r="H234" s="68">
        <f>'Calendario F'!T33</f>
        <v/>
      </c>
      <c r="I234" s="68">
        <f>'Calendario F'!U33</f>
        <v/>
      </c>
      <c r="J234" s="68">
        <f>'Calendario F'!V33</f>
        <v/>
      </c>
      <c r="K234" s="68">
        <f>'Calendario F'!W33</f>
        <v/>
      </c>
      <c r="L234" s="68">
        <f>'Calendario F'!X33</f>
        <v/>
      </c>
      <c r="M234" s="68">
        <f>'Calendario F'!Y33</f>
        <v/>
      </c>
      <c r="N234" s="68">
        <f>'Calendario F'!Z33</f>
        <v/>
      </c>
    </row>
    <row r="235">
      <c r="A235" s="68">
        <f>'Calendario F'!M36</f>
        <v/>
      </c>
      <c r="B235" s="68">
        <f>'Calendario F'!N36</f>
        <v/>
      </c>
      <c r="C235" s="68">
        <f>'Calendario F'!O36</f>
        <v/>
      </c>
      <c r="D235" s="68">
        <f>'Calendario F'!P36</f>
        <v/>
      </c>
      <c r="E235" s="68">
        <f>'Calendario F'!Q36</f>
        <v/>
      </c>
      <c r="F235" s="68">
        <f>'Calendario F'!R36</f>
        <v/>
      </c>
      <c r="G235" s="68">
        <f>'Calendario F'!S36</f>
        <v/>
      </c>
      <c r="H235" s="68">
        <f>'Calendario F'!T36</f>
        <v/>
      </c>
      <c r="I235" s="68">
        <f>'Calendario F'!U36</f>
        <v/>
      </c>
      <c r="J235" s="68">
        <f>'Calendario F'!V36</f>
        <v/>
      </c>
      <c r="K235" s="68">
        <f>'Calendario F'!W36</f>
        <v/>
      </c>
      <c r="L235" s="68">
        <f>'Calendario F'!X36</f>
        <v/>
      </c>
      <c r="M235" s="68">
        <f>'Calendario F'!Y36</f>
        <v/>
      </c>
      <c r="N235" s="68">
        <f>'Calendario F'!Z36</f>
        <v/>
      </c>
    </row>
    <row r="236">
      <c r="A236" s="68">
        <f>'Calendario F'!M39</f>
        <v/>
      </c>
      <c r="B236" s="68">
        <f>'Calendario F'!N39</f>
        <v/>
      </c>
      <c r="C236" s="68">
        <f>'Calendario F'!O39</f>
        <v/>
      </c>
      <c r="D236" s="68">
        <f>'Calendario F'!P39</f>
        <v/>
      </c>
      <c r="E236" s="68">
        <f>'Calendario F'!Q39</f>
        <v/>
      </c>
      <c r="F236" s="68">
        <f>'Calendario F'!R39</f>
        <v/>
      </c>
      <c r="G236" s="68">
        <f>'Calendario F'!S39</f>
        <v/>
      </c>
      <c r="H236" s="68">
        <f>'Calendario F'!T39</f>
        <v/>
      </c>
      <c r="I236" s="68">
        <f>'Calendario F'!U39</f>
        <v/>
      </c>
      <c r="J236" s="68">
        <f>'Calendario F'!V39</f>
        <v/>
      </c>
      <c r="K236" s="68">
        <f>'Calendario F'!W39</f>
        <v/>
      </c>
      <c r="L236" s="68">
        <f>'Calendario F'!X39</f>
        <v/>
      </c>
      <c r="M236" s="68">
        <f>'Calendario F'!Y39</f>
        <v/>
      </c>
      <c r="N236" s="68">
        <f>'Calendario F'!Z39</f>
        <v/>
      </c>
    </row>
    <row r="237">
      <c r="A237" s="68">
        <f>'Calendario F'!M44</f>
        <v/>
      </c>
      <c r="B237" s="68">
        <f>'Calendario F'!N44</f>
        <v/>
      </c>
      <c r="C237" s="68">
        <f>'Calendario F'!O44</f>
        <v/>
      </c>
      <c r="D237" s="68">
        <f>'Calendario F'!P44</f>
        <v/>
      </c>
      <c r="E237" s="68">
        <f>'Calendario F'!Q44</f>
        <v/>
      </c>
      <c r="F237" s="68">
        <f>'Calendario F'!R44</f>
        <v/>
      </c>
      <c r="G237" s="68">
        <f>'Calendario F'!S44</f>
        <v/>
      </c>
      <c r="H237" s="68">
        <f>'Calendario F'!T44</f>
        <v/>
      </c>
      <c r="I237" s="68">
        <f>'Calendario F'!U44</f>
        <v/>
      </c>
      <c r="J237" s="68">
        <f>'Calendario F'!V44</f>
        <v/>
      </c>
      <c r="K237" s="68">
        <f>'Calendario F'!W44</f>
        <v/>
      </c>
      <c r="L237" s="68">
        <f>'Calendario F'!X44</f>
        <v/>
      </c>
      <c r="M237" s="68">
        <f>'Calendario F'!Y44</f>
        <v/>
      </c>
      <c r="N237" s="68">
        <f>'Calendario F'!Z44</f>
        <v/>
      </c>
    </row>
    <row r="238">
      <c r="A238" s="68">
        <f>'Calendario F'!M47</f>
        <v/>
      </c>
      <c r="B238" s="68">
        <f>'Calendario F'!N47</f>
        <v/>
      </c>
      <c r="C238" s="68">
        <f>'Calendario F'!O47</f>
        <v/>
      </c>
      <c r="D238" s="68">
        <f>'Calendario F'!P47</f>
        <v/>
      </c>
      <c r="E238" s="68">
        <f>'Calendario F'!Q47</f>
        <v/>
      </c>
      <c r="F238" s="68">
        <f>'Calendario F'!R47</f>
        <v/>
      </c>
      <c r="G238" s="68">
        <f>'Calendario F'!S47</f>
        <v/>
      </c>
      <c r="H238" s="68">
        <f>'Calendario F'!T47</f>
        <v/>
      </c>
      <c r="I238" s="68">
        <f>'Calendario F'!U47</f>
        <v/>
      </c>
      <c r="J238" s="68">
        <f>'Calendario F'!V47</f>
        <v/>
      </c>
      <c r="K238" s="68">
        <f>'Calendario F'!W47</f>
        <v/>
      </c>
      <c r="L238" s="68">
        <f>'Calendario F'!X47</f>
        <v/>
      </c>
      <c r="M238" s="68">
        <f>'Calendario F'!Y47</f>
        <v/>
      </c>
      <c r="N238" s="68">
        <f>'Calendario F'!Z47</f>
        <v/>
      </c>
    </row>
    <row r="239">
      <c r="A239" s="68">
        <f>'Calendario F'!M50</f>
        <v/>
      </c>
      <c r="B239" s="68">
        <f>'Calendario F'!N50</f>
        <v/>
      </c>
      <c r="C239" s="68">
        <f>'Calendario F'!O50</f>
        <v/>
      </c>
      <c r="D239" s="68">
        <f>'Calendario F'!P50</f>
        <v/>
      </c>
      <c r="E239" s="68">
        <f>'Calendario F'!Q50</f>
        <v/>
      </c>
      <c r="F239" s="68">
        <f>'Calendario F'!R50</f>
        <v/>
      </c>
      <c r="G239" s="68">
        <f>'Calendario F'!S50</f>
        <v/>
      </c>
      <c r="H239" s="68">
        <f>'Calendario F'!T50</f>
        <v/>
      </c>
      <c r="I239" s="68">
        <f>'Calendario F'!U50</f>
        <v/>
      </c>
      <c r="J239" s="68">
        <f>'Calendario F'!V50</f>
        <v/>
      </c>
      <c r="K239" s="68">
        <f>'Calendario F'!W50</f>
        <v/>
      </c>
      <c r="L239" s="68">
        <f>'Calendario F'!X50</f>
        <v/>
      </c>
      <c r="M239" s="68">
        <f>'Calendario F'!Y50</f>
        <v/>
      </c>
      <c r="N239" s="68">
        <f>'Calendario F'!Z50</f>
        <v/>
      </c>
    </row>
    <row r="240">
      <c r="A240" s="68">
        <f>'Calendario F'!M53</f>
        <v/>
      </c>
      <c r="B240" s="68">
        <f>'Calendario F'!N53</f>
        <v/>
      </c>
      <c r="C240" s="68">
        <f>'Calendario F'!O53</f>
        <v/>
      </c>
      <c r="D240" s="68">
        <f>'Calendario F'!P53</f>
        <v/>
      </c>
      <c r="E240" s="68">
        <f>'Calendario F'!Q53</f>
        <v/>
      </c>
      <c r="F240" s="68">
        <f>'Calendario F'!R53</f>
        <v/>
      </c>
      <c r="G240" s="68">
        <f>'Calendario F'!S53</f>
        <v/>
      </c>
      <c r="H240" s="68">
        <f>'Calendario F'!T53</f>
        <v/>
      </c>
      <c r="I240" s="68">
        <f>'Calendario F'!U53</f>
        <v/>
      </c>
      <c r="J240" s="68">
        <f>'Calendario F'!V53</f>
        <v/>
      </c>
      <c r="K240" s="68">
        <f>'Calendario F'!W53</f>
        <v/>
      </c>
      <c r="L240" s="68">
        <f>'Calendario F'!X53</f>
        <v/>
      </c>
      <c r="M240" s="68">
        <f>'Calendario F'!Y53</f>
        <v/>
      </c>
      <c r="N240" s="68">
        <f>'Calendario F'!Z53</f>
        <v/>
      </c>
    </row>
    <row r="241">
      <c r="A241" s="68">
        <f>'Calendario F'!M56</f>
        <v/>
      </c>
      <c r="B241" s="68">
        <f>'Calendario F'!N56</f>
        <v/>
      </c>
      <c r="C241" s="68">
        <f>'Calendario F'!O56</f>
        <v/>
      </c>
      <c r="D241" s="68">
        <f>'Calendario F'!P56</f>
        <v/>
      </c>
      <c r="E241" s="68">
        <f>'Calendario F'!Q56</f>
        <v/>
      </c>
      <c r="F241" s="68">
        <f>'Calendario F'!R56</f>
        <v/>
      </c>
      <c r="G241" s="68">
        <f>'Calendario F'!S56</f>
        <v/>
      </c>
      <c r="H241" s="68">
        <f>'Calendario F'!T56</f>
        <v/>
      </c>
      <c r="I241" s="68">
        <f>'Calendario F'!U56</f>
        <v/>
      </c>
      <c r="J241" s="68">
        <f>'Calendario F'!V56</f>
        <v/>
      </c>
      <c r="K241" s="68">
        <f>'Calendario F'!W56</f>
        <v/>
      </c>
      <c r="L241" s="68">
        <f>'Calendario F'!X56</f>
        <v/>
      </c>
      <c r="M241" s="68">
        <f>'Calendario F'!Y56</f>
        <v/>
      </c>
      <c r="N241" s="68">
        <f>'Calendario F'!Z56</f>
        <v/>
      </c>
    </row>
    <row r="242">
      <c r="A242" s="68">
        <f>'Calendario F'!M61</f>
        <v/>
      </c>
      <c r="B242" s="68">
        <f>'Calendario F'!N61</f>
        <v/>
      </c>
      <c r="C242" s="68">
        <f>'Calendario F'!O61</f>
        <v/>
      </c>
      <c r="D242" s="68">
        <f>'Calendario F'!P61</f>
        <v/>
      </c>
      <c r="E242" s="68">
        <f>'Calendario F'!Q61</f>
        <v/>
      </c>
      <c r="F242" s="68">
        <f>'Calendario F'!R61</f>
        <v/>
      </c>
      <c r="G242" s="68">
        <f>'Calendario F'!S61</f>
        <v/>
      </c>
      <c r="H242" s="68">
        <f>'Calendario F'!T61</f>
        <v/>
      </c>
      <c r="I242" s="68">
        <f>'Calendario F'!U61</f>
        <v/>
      </c>
      <c r="J242" s="68">
        <f>'Calendario F'!V61</f>
        <v/>
      </c>
      <c r="K242" s="68">
        <f>'Calendario F'!W61</f>
        <v/>
      </c>
      <c r="L242" s="68">
        <f>'Calendario F'!X61</f>
        <v/>
      </c>
      <c r="M242" s="68">
        <f>'Calendario F'!Y61</f>
        <v/>
      </c>
      <c r="N242" s="68">
        <f>'Calendario F'!Z61</f>
        <v/>
      </c>
    </row>
    <row r="243">
      <c r="A243" s="68">
        <f>'Calendario F'!M64</f>
        <v/>
      </c>
      <c r="B243" s="68">
        <f>'Calendario F'!N64</f>
        <v/>
      </c>
      <c r="C243" s="68">
        <f>'Calendario F'!O64</f>
        <v/>
      </c>
      <c r="D243" s="68">
        <f>'Calendario F'!P64</f>
        <v/>
      </c>
      <c r="E243" s="68">
        <f>'Calendario F'!Q64</f>
        <v/>
      </c>
      <c r="F243" s="68">
        <f>'Calendario F'!R64</f>
        <v/>
      </c>
      <c r="G243" s="68">
        <f>'Calendario F'!S64</f>
        <v/>
      </c>
      <c r="H243" s="68">
        <f>'Calendario F'!T64</f>
        <v/>
      </c>
      <c r="I243" s="68">
        <f>'Calendario F'!U64</f>
        <v/>
      </c>
      <c r="J243" s="68">
        <f>'Calendario F'!V64</f>
        <v/>
      </c>
      <c r="K243" s="68">
        <f>'Calendario F'!W64</f>
        <v/>
      </c>
      <c r="L243" s="68">
        <f>'Calendario F'!X64</f>
        <v/>
      </c>
      <c r="M243" s="68">
        <f>'Calendario F'!Y64</f>
        <v/>
      </c>
      <c r="N243" s="68">
        <f>'Calendario F'!Z64</f>
        <v/>
      </c>
    </row>
    <row r="244">
      <c r="A244" s="68">
        <f>'Calendario F'!M67</f>
        <v/>
      </c>
      <c r="B244" s="68">
        <f>'Calendario F'!N67</f>
        <v/>
      </c>
      <c r="C244" s="68">
        <f>'Calendario F'!O67</f>
        <v/>
      </c>
      <c r="D244" s="68">
        <f>'Calendario F'!P67</f>
        <v/>
      </c>
      <c r="E244" s="68">
        <f>'Calendario F'!Q67</f>
        <v/>
      </c>
      <c r="F244" s="68">
        <f>'Calendario F'!R67</f>
        <v/>
      </c>
      <c r="G244" s="68">
        <f>'Calendario F'!S67</f>
        <v/>
      </c>
      <c r="H244" s="68">
        <f>'Calendario F'!T67</f>
        <v/>
      </c>
      <c r="I244" s="68">
        <f>'Calendario F'!U67</f>
        <v/>
      </c>
      <c r="J244" s="68">
        <f>'Calendario F'!V67</f>
        <v/>
      </c>
      <c r="K244" s="68">
        <f>'Calendario F'!W67</f>
        <v/>
      </c>
      <c r="L244" s="68">
        <f>'Calendario F'!X67</f>
        <v/>
      </c>
      <c r="M244" s="68">
        <f>'Calendario F'!Y67</f>
        <v/>
      </c>
      <c r="N244" s="68">
        <f>'Calendario F'!Z67</f>
        <v/>
      </c>
    </row>
    <row r="245">
      <c r="A245" s="68">
        <f>'Calendario F'!M70</f>
        <v/>
      </c>
      <c r="B245" s="68">
        <f>'Calendario F'!N70</f>
        <v/>
      </c>
      <c r="C245" s="68">
        <f>'Calendario F'!O70</f>
        <v/>
      </c>
      <c r="D245" s="68">
        <f>'Calendario F'!P70</f>
        <v/>
      </c>
      <c r="E245" s="68">
        <f>'Calendario F'!Q70</f>
        <v/>
      </c>
      <c r="F245" s="68">
        <f>'Calendario F'!R70</f>
        <v/>
      </c>
      <c r="G245" s="68">
        <f>'Calendario F'!S70</f>
        <v/>
      </c>
      <c r="H245" s="68">
        <f>'Calendario F'!T70</f>
        <v/>
      </c>
      <c r="I245" s="68">
        <f>'Calendario F'!U70</f>
        <v/>
      </c>
      <c r="J245" s="68">
        <f>'Calendario F'!V70</f>
        <v/>
      </c>
      <c r="K245" s="68">
        <f>'Calendario F'!W70</f>
        <v/>
      </c>
      <c r="L245" s="68">
        <f>'Calendario F'!X70</f>
        <v/>
      </c>
      <c r="M245" s="68">
        <f>'Calendario F'!Y70</f>
        <v/>
      </c>
      <c r="N245" s="68">
        <f>'Calendario F'!Z70</f>
        <v/>
      </c>
    </row>
    <row r="246">
      <c r="A246" s="68">
        <f>'Calendario F'!M73</f>
        <v/>
      </c>
      <c r="B246" s="68">
        <f>'Calendario F'!N73</f>
        <v/>
      </c>
      <c r="C246" s="68">
        <f>'Calendario F'!O73</f>
        <v/>
      </c>
      <c r="D246" s="68">
        <f>'Calendario F'!P73</f>
        <v/>
      </c>
      <c r="E246" s="68">
        <f>'Calendario F'!Q73</f>
        <v/>
      </c>
      <c r="F246" s="68">
        <f>'Calendario F'!R73</f>
        <v/>
      </c>
      <c r="G246" s="68">
        <f>'Calendario F'!S73</f>
        <v/>
      </c>
      <c r="H246" s="68">
        <f>'Calendario F'!T73</f>
        <v/>
      </c>
      <c r="I246" s="68">
        <f>'Calendario F'!U73</f>
        <v/>
      </c>
      <c r="J246" s="68">
        <f>'Calendario F'!V73</f>
        <v/>
      </c>
      <c r="K246" s="68">
        <f>'Calendario F'!W73</f>
        <v/>
      </c>
      <c r="L246" s="68">
        <f>'Calendario F'!X73</f>
        <v/>
      </c>
      <c r="M246" s="68">
        <f>'Calendario F'!Y73</f>
        <v/>
      </c>
      <c r="N246" s="68">
        <f>'Calendario F'!Z73</f>
        <v/>
      </c>
    </row>
    <row r="247">
      <c r="A247" s="68">
        <f>'Calendario F'!M78</f>
        <v/>
      </c>
      <c r="B247" s="68">
        <f>'Calendario F'!N78</f>
        <v/>
      </c>
      <c r="C247" s="68">
        <f>'Calendario F'!O78</f>
        <v/>
      </c>
      <c r="D247" s="68">
        <f>'Calendario F'!P78</f>
        <v/>
      </c>
      <c r="E247" s="68">
        <f>'Calendario F'!Q78</f>
        <v/>
      </c>
      <c r="F247" s="68">
        <f>'Calendario F'!R78</f>
        <v/>
      </c>
      <c r="G247" s="68">
        <f>'Calendario F'!S78</f>
        <v/>
      </c>
      <c r="H247" s="68">
        <f>'Calendario F'!T78</f>
        <v/>
      </c>
      <c r="I247" s="68">
        <f>'Calendario F'!U78</f>
        <v/>
      </c>
      <c r="J247" s="68">
        <f>'Calendario F'!V78</f>
        <v/>
      </c>
      <c r="K247" s="68">
        <f>'Calendario F'!W78</f>
        <v/>
      </c>
      <c r="L247" s="68">
        <f>'Calendario F'!X78</f>
        <v/>
      </c>
      <c r="M247" s="68">
        <f>'Calendario F'!Y78</f>
        <v/>
      </c>
      <c r="N247" s="68">
        <f>'Calendario F'!Z78</f>
        <v/>
      </c>
    </row>
    <row r="248">
      <c r="A248" s="68">
        <f>'Calendario F'!M81</f>
        <v/>
      </c>
      <c r="B248" s="68">
        <f>'Calendario F'!N81</f>
        <v/>
      </c>
      <c r="C248" s="68">
        <f>'Calendario F'!O81</f>
        <v/>
      </c>
      <c r="D248" s="68">
        <f>'Calendario F'!P81</f>
        <v/>
      </c>
      <c r="E248" s="68">
        <f>'Calendario F'!Q81</f>
        <v/>
      </c>
      <c r="F248" s="68">
        <f>'Calendario F'!R81</f>
        <v/>
      </c>
      <c r="G248" s="68">
        <f>'Calendario F'!S81</f>
        <v/>
      </c>
      <c r="H248" s="68">
        <f>'Calendario F'!T81</f>
        <v/>
      </c>
      <c r="I248" s="68">
        <f>'Calendario F'!U81</f>
        <v/>
      </c>
      <c r="J248" s="68">
        <f>'Calendario F'!V81</f>
        <v/>
      </c>
      <c r="K248" s="68">
        <f>'Calendario F'!W81</f>
        <v/>
      </c>
      <c r="L248" s="68">
        <f>'Calendario F'!X81</f>
        <v/>
      </c>
      <c r="M248" s="68">
        <f>'Calendario F'!Y81</f>
        <v/>
      </c>
      <c r="N248" s="68">
        <f>'Calendario F'!Z81</f>
        <v/>
      </c>
    </row>
    <row r="249">
      <c r="A249" s="68">
        <f>'Calendario F'!M84</f>
        <v/>
      </c>
      <c r="B249" s="68">
        <f>'Calendario F'!N84</f>
        <v/>
      </c>
      <c r="C249" s="68">
        <f>'Calendario F'!O84</f>
        <v/>
      </c>
      <c r="D249" s="68">
        <f>'Calendario F'!P84</f>
        <v/>
      </c>
      <c r="E249" s="68">
        <f>'Calendario F'!Q84</f>
        <v/>
      </c>
      <c r="F249" s="68">
        <f>'Calendario F'!R84</f>
        <v/>
      </c>
      <c r="G249" s="68">
        <f>'Calendario F'!S84</f>
        <v/>
      </c>
      <c r="H249" s="68">
        <f>'Calendario F'!T84</f>
        <v/>
      </c>
      <c r="I249" s="68">
        <f>'Calendario F'!U84</f>
        <v/>
      </c>
      <c r="J249" s="68">
        <f>'Calendario F'!V84</f>
        <v/>
      </c>
      <c r="K249" s="68">
        <f>'Calendario F'!W84</f>
        <v/>
      </c>
      <c r="L249" s="68">
        <f>'Calendario F'!X84</f>
        <v/>
      </c>
      <c r="M249" s="68">
        <f>'Calendario F'!Y84</f>
        <v/>
      </c>
      <c r="N249" s="68">
        <f>'Calendario F'!Z84</f>
        <v/>
      </c>
    </row>
    <row r="250">
      <c r="A250" s="68">
        <f>'Calendario F'!M87</f>
        <v/>
      </c>
      <c r="B250" s="68">
        <f>'Calendario F'!N87</f>
        <v/>
      </c>
      <c r="C250" s="68">
        <f>'Calendario F'!O87</f>
        <v/>
      </c>
      <c r="D250" s="68">
        <f>'Calendario F'!P87</f>
        <v/>
      </c>
      <c r="E250" s="68">
        <f>'Calendario F'!Q87</f>
        <v/>
      </c>
      <c r="F250" s="68">
        <f>'Calendario F'!R87</f>
        <v/>
      </c>
      <c r="G250" s="68">
        <f>'Calendario F'!S87</f>
        <v/>
      </c>
      <c r="H250" s="68">
        <f>'Calendario F'!T87</f>
        <v/>
      </c>
      <c r="I250" s="68">
        <f>'Calendario F'!U87</f>
        <v/>
      </c>
      <c r="J250" s="68">
        <f>'Calendario F'!V87</f>
        <v/>
      </c>
      <c r="K250" s="68">
        <f>'Calendario F'!W87</f>
        <v/>
      </c>
      <c r="L250" s="68">
        <f>'Calendario F'!X87</f>
        <v/>
      </c>
      <c r="M250" s="68">
        <f>'Calendario F'!Y87</f>
        <v/>
      </c>
      <c r="N250" s="68">
        <f>'Calendario F'!Z87</f>
        <v/>
      </c>
    </row>
    <row r="251">
      <c r="A251" s="68">
        <f>'Calendario F'!M90</f>
        <v/>
      </c>
      <c r="B251" s="68">
        <f>'Calendario F'!N90</f>
        <v/>
      </c>
      <c r="C251" s="68">
        <f>'Calendario F'!O90</f>
        <v/>
      </c>
      <c r="D251" s="68">
        <f>'Calendario F'!P90</f>
        <v/>
      </c>
      <c r="E251" s="68">
        <f>'Calendario F'!Q90</f>
        <v/>
      </c>
      <c r="F251" s="68">
        <f>'Calendario F'!R90</f>
        <v/>
      </c>
      <c r="G251" s="68">
        <f>'Calendario F'!S90</f>
        <v/>
      </c>
      <c r="H251" s="68">
        <f>'Calendario F'!T90</f>
        <v/>
      </c>
      <c r="I251" s="68">
        <f>'Calendario F'!U90</f>
        <v/>
      </c>
      <c r="J251" s="68">
        <f>'Calendario F'!V90</f>
        <v/>
      </c>
      <c r="K251" s="68">
        <f>'Calendario F'!W90</f>
        <v/>
      </c>
      <c r="L251" s="68">
        <f>'Calendario F'!X90</f>
        <v/>
      </c>
      <c r="M251" s="68">
        <f>'Calendario F'!Y90</f>
        <v/>
      </c>
      <c r="N251" s="68">
        <f>'Calendario F'!Z90</f>
        <v/>
      </c>
    </row>
    <row r="252">
      <c r="A252" s="68">
        <f>'Calendario F'!M95</f>
        <v/>
      </c>
      <c r="B252" s="68">
        <f>'Calendario F'!N95</f>
        <v/>
      </c>
      <c r="C252" s="68">
        <f>'Calendario F'!O95</f>
        <v/>
      </c>
      <c r="D252" s="68">
        <f>'Calendario F'!P95</f>
        <v/>
      </c>
      <c r="E252" s="68">
        <f>'Calendario F'!Q95</f>
        <v/>
      </c>
      <c r="F252" s="68">
        <f>'Calendario F'!R95</f>
        <v/>
      </c>
      <c r="G252" s="68">
        <f>'Calendario F'!S95</f>
        <v/>
      </c>
      <c r="H252" s="68">
        <f>'Calendario F'!T95</f>
        <v/>
      </c>
      <c r="I252" s="68">
        <f>'Calendario F'!U95</f>
        <v/>
      </c>
      <c r="J252" s="68">
        <f>'Calendario F'!V95</f>
        <v/>
      </c>
      <c r="K252" s="68">
        <f>'Calendario F'!W95</f>
        <v/>
      </c>
      <c r="L252" s="68">
        <f>'Calendario F'!X95</f>
        <v/>
      </c>
      <c r="M252" s="68">
        <f>'Calendario F'!Y95</f>
        <v/>
      </c>
      <c r="N252" s="68">
        <f>'Calendario F'!Z95</f>
        <v/>
      </c>
    </row>
    <row r="253">
      <c r="A253" s="68">
        <f>'Calendario F'!M98</f>
        <v/>
      </c>
      <c r="B253" s="68">
        <f>'Calendario F'!N98</f>
        <v/>
      </c>
      <c r="C253" s="68">
        <f>'Calendario F'!O98</f>
        <v/>
      </c>
      <c r="D253" s="68">
        <f>'Calendario F'!P98</f>
        <v/>
      </c>
      <c r="E253" s="68">
        <f>'Calendario F'!Q98</f>
        <v/>
      </c>
      <c r="F253" s="68">
        <f>'Calendario F'!R98</f>
        <v/>
      </c>
      <c r="G253" s="68">
        <f>'Calendario F'!S98</f>
        <v/>
      </c>
      <c r="H253" s="68">
        <f>'Calendario F'!T98</f>
        <v/>
      </c>
      <c r="I253" s="68">
        <f>'Calendario F'!U98</f>
        <v/>
      </c>
      <c r="J253" s="68">
        <f>'Calendario F'!V98</f>
        <v/>
      </c>
      <c r="K253" s="68">
        <f>'Calendario F'!W98</f>
        <v/>
      </c>
      <c r="L253" s="68">
        <f>'Calendario F'!X98</f>
        <v/>
      </c>
      <c r="M253" s="68">
        <f>'Calendario F'!Y98</f>
        <v/>
      </c>
      <c r="N253" s="68">
        <f>'Calendario F'!Z98</f>
        <v/>
      </c>
    </row>
    <row r="254">
      <c r="A254" s="68">
        <f>'Calendario F'!M101</f>
        <v/>
      </c>
      <c r="B254" s="68">
        <f>'Calendario F'!N101</f>
        <v/>
      </c>
      <c r="C254" s="68">
        <f>'Calendario F'!O101</f>
        <v/>
      </c>
      <c r="D254" s="68">
        <f>'Calendario F'!P101</f>
        <v/>
      </c>
      <c r="E254" s="68">
        <f>'Calendario F'!Q101</f>
        <v/>
      </c>
      <c r="F254" s="68">
        <f>'Calendario F'!R101</f>
        <v/>
      </c>
      <c r="G254" s="68">
        <f>'Calendario F'!S101</f>
        <v/>
      </c>
      <c r="H254" s="68">
        <f>'Calendario F'!T101</f>
        <v/>
      </c>
      <c r="I254" s="68">
        <f>'Calendario F'!U101</f>
        <v/>
      </c>
      <c r="J254" s="68">
        <f>'Calendario F'!V101</f>
        <v/>
      </c>
      <c r="K254" s="68">
        <f>'Calendario F'!W101</f>
        <v/>
      </c>
      <c r="L254" s="68">
        <f>'Calendario F'!X101</f>
        <v/>
      </c>
      <c r="M254" s="68">
        <f>'Calendario F'!Y101</f>
        <v/>
      </c>
      <c r="N254" s="68">
        <f>'Calendario F'!Z101</f>
        <v/>
      </c>
    </row>
    <row r="255">
      <c r="A255" s="68">
        <f>'Calendario F'!M104</f>
        <v/>
      </c>
      <c r="B255" s="68">
        <f>'Calendario F'!N104</f>
        <v/>
      </c>
      <c r="C255" s="68">
        <f>'Calendario F'!O104</f>
        <v/>
      </c>
      <c r="D255" s="68">
        <f>'Calendario F'!P104</f>
        <v/>
      </c>
      <c r="E255" s="68">
        <f>'Calendario F'!Q104</f>
        <v/>
      </c>
      <c r="F255" s="68">
        <f>'Calendario F'!R104</f>
        <v/>
      </c>
      <c r="G255" s="68">
        <f>'Calendario F'!S104</f>
        <v/>
      </c>
      <c r="H255" s="68">
        <f>'Calendario F'!T104</f>
        <v/>
      </c>
      <c r="I255" s="68">
        <f>'Calendario F'!U104</f>
        <v/>
      </c>
      <c r="J255" s="68">
        <f>'Calendario F'!V104</f>
        <v/>
      </c>
      <c r="K255" s="68">
        <f>'Calendario F'!W104</f>
        <v/>
      </c>
      <c r="L255" s="68">
        <f>'Calendario F'!X104</f>
        <v/>
      </c>
      <c r="M255" s="68">
        <f>'Calendario F'!Y104</f>
        <v/>
      </c>
      <c r="N255" s="68">
        <f>'Calendario F'!Z104</f>
        <v/>
      </c>
    </row>
    <row r="256">
      <c r="A256" s="68">
        <f>'Calendario F'!M107</f>
        <v/>
      </c>
      <c r="B256" s="68">
        <f>'Calendario F'!N107</f>
        <v/>
      </c>
      <c r="C256" s="68">
        <f>'Calendario F'!O107</f>
        <v/>
      </c>
      <c r="D256" s="68">
        <f>'Calendario F'!P107</f>
        <v/>
      </c>
      <c r="E256" s="68">
        <f>'Calendario F'!Q107</f>
        <v/>
      </c>
      <c r="F256" s="68">
        <f>'Calendario F'!R107</f>
        <v/>
      </c>
      <c r="G256" s="68">
        <f>'Calendario F'!S107</f>
        <v/>
      </c>
      <c r="H256" s="68">
        <f>'Calendario F'!T107</f>
        <v/>
      </c>
      <c r="I256" s="68">
        <f>'Calendario F'!U107</f>
        <v/>
      </c>
      <c r="J256" s="68">
        <f>'Calendario F'!V107</f>
        <v/>
      </c>
      <c r="K256" s="68">
        <f>'Calendario F'!W107</f>
        <v/>
      </c>
      <c r="L256" s="68">
        <f>'Calendario F'!X107</f>
        <v/>
      </c>
      <c r="M256" s="68">
        <f>'Calendario F'!Y107</f>
        <v/>
      </c>
      <c r="N256" s="68">
        <f>'Calendario F'!Z107</f>
        <v/>
      </c>
    </row>
    <row r="257">
      <c r="A257" s="68">
        <f>'Calendario F'!M112</f>
        <v/>
      </c>
      <c r="B257" s="68">
        <f>'Calendario F'!N112</f>
        <v/>
      </c>
      <c r="C257" s="68">
        <f>'Calendario F'!O112</f>
        <v/>
      </c>
      <c r="D257" s="68">
        <f>'Calendario F'!P112</f>
        <v/>
      </c>
      <c r="E257" s="68">
        <f>'Calendario F'!Q112</f>
        <v/>
      </c>
      <c r="F257" s="68">
        <f>'Calendario F'!R112</f>
        <v/>
      </c>
      <c r="G257" s="68">
        <f>'Calendario F'!S112</f>
        <v/>
      </c>
      <c r="H257" s="68">
        <f>'Calendario F'!T112</f>
        <v/>
      </c>
      <c r="I257" s="68">
        <f>'Calendario F'!U112</f>
        <v/>
      </c>
      <c r="J257" s="68">
        <f>'Calendario F'!V112</f>
        <v/>
      </c>
      <c r="K257" s="68">
        <f>'Calendario F'!W112</f>
        <v/>
      </c>
      <c r="L257" s="68">
        <f>'Calendario F'!X112</f>
        <v/>
      </c>
      <c r="M257" s="68">
        <f>'Calendario F'!Y112</f>
        <v/>
      </c>
      <c r="N257" s="68">
        <f>'Calendario F'!Z112</f>
        <v/>
      </c>
    </row>
    <row r="258">
      <c r="A258" s="68">
        <f>'Calendario F'!M115</f>
        <v/>
      </c>
      <c r="B258" s="68">
        <f>'Calendario F'!N115</f>
        <v/>
      </c>
      <c r="C258" s="68">
        <f>'Calendario F'!O115</f>
        <v/>
      </c>
      <c r="D258" s="68">
        <f>'Calendario F'!P115</f>
        <v/>
      </c>
      <c r="E258" s="68">
        <f>'Calendario F'!Q115</f>
        <v/>
      </c>
      <c r="F258" s="68">
        <f>'Calendario F'!R115</f>
        <v/>
      </c>
      <c r="G258" s="68">
        <f>'Calendario F'!S115</f>
        <v/>
      </c>
      <c r="H258" s="68">
        <f>'Calendario F'!T115</f>
        <v/>
      </c>
      <c r="I258" s="68">
        <f>'Calendario F'!U115</f>
        <v/>
      </c>
      <c r="J258" s="68">
        <f>'Calendario F'!V115</f>
        <v/>
      </c>
      <c r="K258" s="68">
        <f>'Calendario F'!W115</f>
        <v/>
      </c>
      <c r="L258" s="68">
        <f>'Calendario F'!X115</f>
        <v/>
      </c>
      <c r="M258" s="68">
        <f>'Calendario F'!Y115</f>
        <v/>
      </c>
      <c r="N258" s="68">
        <f>'Calendario F'!Z115</f>
        <v/>
      </c>
    </row>
    <row r="259">
      <c r="A259" s="68">
        <f>'Calendario F'!M118</f>
        <v/>
      </c>
      <c r="B259" s="68">
        <f>'Calendario F'!N118</f>
        <v/>
      </c>
      <c r="C259" s="68">
        <f>'Calendario F'!O118</f>
        <v/>
      </c>
      <c r="D259" s="68">
        <f>'Calendario F'!P118</f>
        <v/>
      </c>
      <c r="E259" s="68">
        <f>'Calendario F'!Q118</f>
        <v/>
      </c>
      <c r="F259" s="68">
        <f>'Calendario F'!R118</f>
        <v/>
      </c>
      <c r="G259" s="68">
        <f>'Calendario F'!S118</f>
        <v/>
      </c>
      <c r="H259" s="68">
        <f>'Calendario F'!T118</f>
        <v/>
      </c>
      <c r="I259" s="68">
        <f>'Calendario F'!U118</f>
        <v/>
      </c>
      <c r="J259" s="68">
        <f>'Calendario F'!V118</f>
        <v/>
      </c>
      <c r="K259" s="68">
        <f>'Calendario F'!W118</f>
        <v/>
      </c>
      <c r="L259" s="68">
        <f>'Calendario F'!X118</f>
        <v/>
      </c>
      <c r="M259" s="68">
        <f>'Calendario F'!Y118</f>
        <v/>
      </c>
      <c r="N259" s="68">
        <f>'Calendario F'!Z118</f>
        <v/>
      </c>
    </row>
    <row r="260">
      <c r="A260" s="68">
        <f>'Calendario F'!M121</f>
        <v/>
      </c>
      <c r="B260" s="68">
        <f>'Calendario F'!N121</f>
        <v/>
      </c>
      <c r="C260" s="68">
        <f>'Calendario F'!O121</f>
        <v/>
      </c>
      <c r="D260" s="68">
        <f>'Calendario F'!P121</f>
        <v/>
      </c>
      <c r="E260" s="68">
        <f>'Calendario F'!Q121</f>
        <v/>
      </c>
      <c r="F260" s="68">
        <f>'Calendario F'!R121</f>
        <v/>
      </c>
      <c r="G260" s="68">
        <f>'Calendario F'!S121</f>
        <v/>
      </c>
      <c r="H260" s="68">
        <f>'Calendario F'!T121</f>
        <v/>
      </c>
      <c r="I260" s="68">
        <f>'Calendario F'!U121</f>
        <v/>
      </c>
      <c r="J260" s="68">
        <f>'Calendario F'!V121</f>
        <v/>
      </c>
      <c r="K260" s="68">
        <f>'Calendario F'!W121</f>
        <v/>
      </c>
      <c r="L260" s="68">
        <f>'Calendario F'!X121</f>
        <v/>
      </c>
      <c r="M260" s="68">
        <f>'Calendario F'!Y121</f>
        <v/>
      </c>
      <c r="N260" s="68">
        <f>'Calendario F'!Z121</f>
        <v/>
      </c>
    </row>
    <row r="261">
      <c r="A261" s="68">
        <f>'Calendario F'!M124</f>
        <v/>
      </c>
      <c r="B261" s="68">
        <f>'Calendario F'!N124</f>
        <v/>
      </c>
      <c r="C261" s="68">
        <f>'Calendario F'!O124</f>
        <v/>
      </c>
      <c r="D261" s="68">
        <f>'Calendario F'!P124</f>
        <v/>
      </c>
      <c r="E261" s="68">
        <f>'Calendario F'!Q124</f>
        <v/>
      </c>
      <c r="F261" s="68">
        <f>'Calendario F'!R124</f>
        <v/>
      </c>
      <c r="G261" s="68">
        <f>'Calendario F'!S124</f>
        <v/>
      </c>
      <c r="H261" s="68">
        <f>'Calendario F'!T124</f>
        <v/>
      </c>
      <c r="I261" s="68">
        <f>'Calendario F'!U124</f>
        <v/>
      </c>
      <c r="J261" s="68">
        <f>'Calendario F'!V124</f>
        <v/>
      </c>
      <c r="K261" s="68">
        <f>'Calendario F'!W124</f>
        <v/>
      </c>
      <c r="L261" s="68">
        <f>'Calendario F'!X124</f>
        <v/>
      </c>
      <c r="M261" s="68">
        <f>'Calendario F'!Y124</f>
        <v/>
      </c>
      <c r="N261" s="68">
        <f>'Calendario F'!Z124</f>
        <v/>
      </c>
    </row>
    <row r="262">
      <c r="A262" s="68">
        <f>'Calendario F'!M129</f>
        <v/>
      </c>
      <c r="B262" s="68">
        <f>'Calendario F'!N129</f>
        <v/>
      </c>
      <c r="C262" s="68">
        <f>'Calendario F'!O129</f>
        <v/>
      </c>
      <c r="D262" s="68">
        <f>'Calendario F'!P129</f>
        <v/>
      </c>
      <c r="E262" s="68">
        <f>'Calendario F'!Q129</f>
        <v/>
      </c>
      <c r="F262" s="68">
        <f>'Calendario F'!R129</f>
        <v/>
      </c>
      <c r="G262" s="68">
        <f>'Calendario F'!S129</f>
        <v/>
      </c>
      <c r="H262" s="68">
        <f>'Calendario F'!T129</f>
        <v/>
      </c>
      <c r="I262" s="68">
        <f>'Calendario F'!U129</f>
        <v/>
      </c>
      <c r="J262" s="68">
        <f>'Calendario F'!V129</f>
        <v/>
      </c>
      <c r="K262" s="68">
        <f>'Calendario F'!W129</f>
        <v/>
      </c>
      <c r="L262" s="68">
        <f>'Calendario F'!X129</f>
        <v/>
      </c>
      <c r="M262" s="68">
        <f>'Calendario F'!Y129</f>
        <v/>
      </c>
      <c r="N262" s="68">
        <f>'Calendario F'!Z129</f>
        <v/>
      </c>
    </row>
    <row r="263">
      <c r="A263" s="68">
        <f>'Calendario F'!M132</f>
        <v/>
      </c>
      <c r="B263" s="68">
        <f>'Calendario F'!N132</f>
        <v/>
      </c>
      <c r="C263" s="68">
        <f>'Calendario F'!O132</f>
        <v/>
      </c>
      <c r="D263" s="68">
        <f>'Calendario F'!P132</f>
        <v/>
      </c>
      <c r="E263" s="68">
        <f>'Calendario F'!Q132</f>
        <v/>
      </c>
      <c r="F263" s="68">
        <f>'Calendario F'!R132</f>
        <v/>
      </c>
      <c r="G263" s="68">
        <f>'Calendario F'!S132</f>
        <v/>
      </c>
      <c r="H263" s="68">
        <f>'Calendario F'!T132</f>
        <v/>
      </c>
      <c r="I263" s="68">
        <f>'Calendario F'!U132</f>
        <v/>
      </c>
      <c r="J263" s="68">
        <f>'Calendario F'!V132</f>
        <v/>
      </c>
      <c r="K263" s="68">
        <f>'Calendario F'!W132</f>
        <v/>
      </c>
      <c r="L263" s="68">
        <f>'Calendario F'!X132</f>
        <v/>
      </c>
      <c r="M263" s="68">
        <f>'Calendario F'!Y132</f>
        <v/>
      </c>
      <c r="N263" s="68">
        <f>'Calendario F'!Z132</f>
        <v/>
      </c>
    </row>
    <row r="264">
      <c r="A264" s="68">
        <f>'Calendario F'!M135</f>
        <v/>
      </c>
      <c r="B264" s="68">
        <f>'Calendario F'!N135</f>
        <v/>
      </c>
      <c r="C264" s="68">
        <f>'Calendario F'!O135</f>
        <v/>
      </c>
      <c r="D264" s="68">
        <f>'Calendario F'!P135</f>
        <v/>
      </c>
      <c r="E264" s="68">
        <f>'Calendario F'!Q135</f>
        <v/>
      </c>
      <c r="F264" s="68">
        <f>'Calendario F'!R135</f>
        <v/>
      </c>
      <c r="G264" s="68">
        <f>'Calendario F'!S135</f>
        <v/>
      </c>
      <c r="H264" s="68">
        <f>'Calendario F'!T135</f>
        <v/>
      </c>
      <c r="I264" s="68">
        <f>'Calendario F'!U135</f>
        <v/>
      </c>
      <c r="J264" s="68">
        <f>'Calendario F'!V135</f>
        <v/>
      </c>
      <c r="K264" s="68">
        <f>'Calendario F'!W135</f>
        <v/>
      </c>
      <c r="L264" s="68">
        <f>'Calendario F'!X135</f>
        <v/>
      </c>
      <c r="M264" s="68">
        <f>'Calendario F'!Y135</f>
        <v/>
      </c>
      <c r="N264" s="68">
        <f>'Calendario F'!Z135</f>
        <v/>
      </c>
    </row>
    <row r="265">
      <c r="A265" s="68">
        <f>'Calendario F'!M138</f>
        <v/>
      </c>
      <c r="B265" s="68">
        <f>'Calendario F'!N138</f>
        <v/>
      </c>
      <c r="C265" s="68">
        <f>'Calendario F'!O138</f>
        <v/>
      </c>
      <c r="D265" s="68">
        <f>'Calendario F'!P138</f>
        <v/>
      </c>
      <c r="E265" s="68">
        <f>'Calendario F'!Q138</f>
        <v/>
      </c>
      <c r="F265" s="68">
        <f>'Calendario F'!R138</f>
        <v/>
      </c>
      <c r="G265" s="68">
        <f>'Calendario F'!S138</f>
        <v/>
      </c>
      <c r="H265" s="68">
        <f>'Calendario F'!T138</f>
        <v/>
      </c>
      <c r="I265" s="68">
        <f>'Calendario F'!U138</f>
        <v/>
      </c>
      <c r="J265" s="68">
        <f>'Calendario F'!V138</f>
        <v/>
      </c>
      <c r="K265" s="68">
        <f>'Calendario F'!W138</f>
        <v/>
      </c>
      <c r="L265" s="68">
        <f>'Calendario F'!X138</f>
        <v/>
      </c>
      <c r="M265" s="68">
        <f>'Calendario F'!Y138</f>
        <v/>
      </c>
      <c r="N265" s="68">
        <f>'Calendario F'!Z138</f>
        <v/>
      </c>
    </row>
    <row r="266">
      <c r="A266" s="68">
        <f>'Calendario F'!M141</f>
        <v/>
      </c>
      <c r="B266" s="68">
        <f>'Calendario F'!N141</f>
        <v/>
      </c>
      <c r="C266" s="68">
        <f>'Calendario F'!O141</f>
        <v/>
      </c>
      <c r="D266" s="68">
        <f>'Calendario F'!P141</f>
        <v/>
      </c>
      <c r="E266" s="68">
        <f>'Calendario F'!Q141</f>
        <v/>
      </c>
      <c r="F266" s="68">
        <f>'Calendario F'!R141</f>
        <v/>
      </c>
      <c r="G266" s="68">
        <f>'Calendario F'!S141</f>
        <v/>
      </c>
      <c r="H266" s="68">
        <f>'Calendario F'!T141</f>
        <v/>
      </c>
      <c r="I266" s="68">
        <f>'Calendario F'!U141</f>
        <v/>
      </c>
      <c r="J266" s="68">
        <f>'Calendario F'!V141</f>
        <v/>
      </c>
      <c r="K266" s="68">
        <f>'Calendario F'!W141</f>
        <v/>
      </c>
      <c r="L266" s="68">
        <f>'Calendario F'!X141</f>
        <v/>
      </c>
      <c r="M266" s="68">
        <f>'Calendario F'!Y141</f>
        <v/>
      </c>
      <c r="N266" s="68">
        <f>'Calendario F'!Z141</f>
        <v/>
      </c>
    </row>
    <row r="267">
      <c r="A267" s="68">
        <f>'Calendario F'!M146</f>
        <v/>
      </c>
      <c r="B267" s="68">
        <f>'Calendario F'!N146</f>
        <v/>
      </c>
      <c r="C267" s="68">
        <f>'Calendario F'!O146</f>
        <v/>
      </c>
      <c r="D267" s="68">
        <f>'Calendario F'!P146</f>
        <v/>
      </c>
      <c r="E267" s="68">
        <f>'Calendario F'!Q146</f>
        <v/>
      </c>
      <c r="F267" s="68">
        <f>'Calendario F'!R146</f>
        <v/>
      </c>
      <c r="G267" s="68">
        <f>'Calendario F'!S146</f>
        <v/>
      </c>
      <c r="H267" s="68">
        <f>'Calendario F'!T146</f>
        <v/>
      </c>
      <c r="I267" s="68">
        <f>'Calendario F'!U146</f>
        <v/>
      </c>
      <c r="J267" s="68">
        <f>'Calendario F'!V146</f>
        <v/>
      </c>
      <c r="K267" s="68">
        <f>'Calendario F'!W146</f>
        <v/>
      </c>
      <c r="L267" s="68">
        <f>'Calendario F'!X146</f>
        <v/>
      </c>
      <c r="M267" s="68">
        <f>'Calendario F'!Y146</f>
        <v/>
      </c>
      <c r="N267" s="68">
        <f>'Calendario F'!Z146</f>
        <v/>
      </c>
    </row>
    <row r="268">
      <c r="A268" s="68">
        <f>'Calendario F'!M149</f>
        <v/>
      </c>
      <c r="B268" s="68">
        <f>'Calendario F'!N149</f>
        <v/>
      </c>
      <c r="C268" s="68">
        <f>'Calendario F'!O149</f>
        <v/>
      </c>
      <c r="D268" s="68">
        <f>'Calendario F'!P149</f>
        <v/>
      </c>
      <c r="E268" s="68">
        <f>'Calendario F'!Q149</f>
        <v/>
      </c>
      <c r="F268" s="68">
        <f>'Calendario F'!R149</f>
        <v/>
      </c>
      <c r="G268" s="68">
        <f>'Calendario F'!S149</f>
        <v/>
      </c>
      <c r="H268" s="68">
        <f>'Calendario F'!T149</f>
        <v/>
      </c>
      <c r="I268" s="68">
        <f>'Calendario F'!U149</f>
        <v/>
      </c>
      <c r="J268" s="68">
        <f>'Calendario F'!V149</f>
        <v/>
      </c>
      <c r="K268" s="68">
        <f>'Calendario F'!W149</f>
        <v/>
      </c>
      <c r="L268" s="68">
        <f>'Calendario F'!X149</f>
        <v/>
      </c>
      <c r="M268" s="68">
        <f>'Calendario F'!Y149</f>
        <v/>
      </c>
      <c r="N268" s="68">
        <f>'Calendario F'!Z149</f>
        <v/>
      </c>
    </row>
    <row r="269">
      <c r="A269" s="68">
        <f>'Calendario F'!M152</f>
        <v/>
      </c>
      <c r="B269" s="68">
        <f>'Calendario F'!N152</f>
        <v/>
      </c>
      <c r="C269" s="68">
        <f>'Calendario F'!O152</f>
        <v/>
      </c>
      <c r="D269" s="68">
        <f>'Calendario F'!P152</f>
        <v/>
      </c>
      <c r="E269" s="68">
        <f>'Calendario F'!Q152</f>
        <v/>
      </c>
      <c r="F269" s="68">
        <f>'Calendario F'!R152</f>
        <v/>
      </c>
      <c r="G269" s="68">
        <f>'Calendario F'!S152</f>
        <v/>
      </c>
      <c r="H269" s="68">
        <f>'Calendario F'!T152</f>
        <v/>
      </c>
      <c r="I269" s="68">
        <f>'Calendario F'!U152</f>
        <v/>
      </c>
      <c r="J269" s="68">
        <f>'Calendario F'!V152</f>
        <v/>
      </c>
      <c r="K269" s="68">
        <f>'Calendario F'!W152</f>
        <v/>
      </c>
      <c r="L269" s="68">
        <f>'Calendario F'!X152</f>
        <v/>
      </c>
      <c r="M269" s="68">
        <f>'Calendario F'!Y152</f>
        <v/>
      </c>
      <c r="N269" s="68">
        <f>'Calendario F'!Z152</f>
        <v/>
      </c>
    </row>
    <row r="270">
      <c r="A270" s="68">
        <f>'Calendario F'!M155</f>
        <v/>
      </c>
      <c r="B270" s="68">
        <f>'Calendario F'!N155</f>
        <v/>
      </c>
      <c r="C270" s="68">
        <f>'Calendario F'!O155</f>
        <v/>
      </c>
      <c r="D270" s="68">
        <f>'Calendario F'!P155</f>
        <v/>
      </c>
      <c r="E270" s="68">
        <f>'Calendario F'!Q155</f>
        <v/>
      </c>
      <c r="F270" s="68">
        <f>'Calendario F'!R155</f>
        <v/>
      </c>
      <c r="G270" s="68">
        <f>'Calendario F'!S155</f>
        <v/>
      </c>
      <c r="H270" s="68">
        <f>'Calendario F'!T155</f>
        <v/>
      </c>
      <c r="I270" s="68">
        <f>'Calendario F'!U155</f>
        <v/>
      </c>
      <c r="J270" s="68">
        <f>'Calendario F'!V155</f>
        <v/>
      </c>
      <c r="K270" s="68">
        <f>'Calendario F'!W155</f>
        <v/>
      </c>
      <c r="L270" s="68">
        <f>'Calendario F'!X155</f>
        <v/>
      </c>
      <c r="M270" s="68">
        <f>'Calendario F'!Y155</f>
        <v/>
      </c>
      <c r="N270" s="68">
        <f>'Calendario F'!Z155</f>
        <v/>
      </c>
    </row>
    <row r="271">
      <c r="A271" s="68">
        <f>'Calendario F'!M158</f>
        <v/>
      </c>
      <c r="B271" s="68">
        <f>'Calendario F'!N158</f>
        <v/>
      </c>
      <c r="C271" s="68">
        <f>'Calendario F'!O158</f>
        <v/>
      </c>
      <c r="D271" s="68">
        <f>'Calendario F'!P158</f>
        <v/>
      </c>
      <c r="E271" s="68">
        <f>'Calendario F'!Q158</f>
        <v/>
      </c>
      <c r="F271" s="68">
        <f>'Calendario F'!R158</f>
        <v/>
      </c>
      <c r="G271" s="68">
        <f>'Calendario F'!S158</f>
        <v/>
      </c>
      <c r="H271" s="68">
        <f>'Calendario F'!T158</f>
        <v/>
      </c>
      <c r="I271" s="68">
        <f>'Calendario F'!U158</f>
        <v/>
      </c>
      <c r="J271" s="68">
        <f>'Calendario F'!V158</f>
        <v/>
      </c>
      <c r="K271" s="68">
        <f>'Calendario F'!W158</f>
        <v/>
      </c>
      <c r="L271" s="68">
        <f>'Calendario F'!X158</f>
        <v/>
      </c>
      <c r="M271" s="68">
        <f>'Calendario F'!Y158</f>
        <v/>
      </c>
      <c r="N271" s="68">
        <f>'Calendario F'!Z158</f>
        <v/>
      </c>
    </row>
    <row r="272">
      <c r="A272" s="68">
        <f>'Calendario G'!M10</f>
        <v/>
      </c>
      <c r="B272" s="68">
        <f>'Calendario G'!N10</f>
        <v/>
      </c>
      <c r="C272" s="68">
        <f>'Calendario G'!O10</f>
        <v/>
      </c>
      <c r="D272" s="68">
        <f>'Calendario G'!P10</f>
        <v/>
      </c>
      <c r="E272" s="68">
        <f>'Calendario G'!Q10</f>
        <v/>
      </c>
      <c r="F272" s="68">
        <f>'Calendario G'!R10</f>
        <v/>
      </c>
      <c r="G272" s="68">
        <f>'Calendario G'!S10</f>
        <v/>
      </c>
      <c r="H272" s="68">
        <f>'Calendario G'!T10</f>
        <v/>
      </c>
      <c r="I272" s="68">
        <f>'Calendario G'!U10</f>
        <v/>
      </c>
      <c r="J272" s="68">
        <f>'Calendario G'!V10</f>
        <v/>
      </c>
      <c r="K272" s="68">
        <f>'Calendario G'!W10</f>
        <v/>
      </c>
      <c r="L272" s="68">
        <f>'Calendario G'!X10</f>
        <v/>
      </c>
      <c r="M272" s="68">
        <f>'Calendario G'!Y10</f>
        <v/>
      </c>
      <c r="N272" s="68">
        <f>'Calendario G'!Z10</f>
        <v/>
      </c>
    </row>
    <row r="273">
      <c r="A273" s="68">
        <f>'Calendario G'!M13</f>
        <v/>
      </c>
      <c r="B273" s="68">
        <f>'Calendario G'!N13</f>
        <v/>
      </c>
      <c r="C273" s="68">
        <f>'Calendario G'!O13</f>
        <v/>
      </c>
      <c r="D273" s="68">
        <f>'Calendario G'!P13</f>
        <v/>
      </c>
      <c r="E273" s="68">
        <f>'Calendario G'!Q13</f>
        <v/>
      </c>
      <c r="F273" s="68">
        <f>'Calendario G'!R13</f>
        <v/>
      </c>
      <c r="G273" s="68">
        <f>'Calendario G'!S13</f>
        <v/>
      </c>
      <c r="H273" s="68">
        <f>'Calendario G'!T13</f>
        <v/>
      </c>
      <c r="I273" s="68">
        <f>'Calendario G'!U13</f>
        <v/>
      </c>
      <c r="J273" s="68">
        <f>'Calendario G'!V13</f>
        <v/>
      </c>
      <c r="K273" s="68">
        <f>'Calendario G'!W13</f>
        <v/>
      </c>
      <c r="L273" s="68">
        <f>'Calendario G'!X13</f>
        <v/>
      </c>
      <c r="M273" s="68">
        <f>'Calendario G'!Y13</f>
        <v/>
      </c>
      <c r="N273" s="68">
        <f>'Calendario G'!Z13</f>
        <v/>
      </c>
    </row>
    <row r="274">
      <c r="A274" s="68">
        <f>'Calendario G'!M16</f>
        <v/>
      </c>
      <c r="B274" s="68">
        <f>'Calendario G'!N16</f>
        <v/>
      </c>
      <c r="C274" s="68">
        <f>'Calendario G'!O16</f>
        <v/>
      </c>
      <c r="D274" s="68">
        <f>'Calendario G'!P16</f>
        <v/>
      </c>
      <c r="E274" s="68">
        <f>'Calendario G'!Q16</f>
        <v/>
      </c>
      <c r="F274" s="68">
        <f>'Calendario G'!R16</f>
        <v/>
      </c>
      <c r="G274" s="68">
        <f>'Calendario G'!S16</f>
        <v/>
      </c>
      <c r="H274" s="68">
        <f>'Calendario G'!T16</f>
        <v/>
      </c>
      <c r="I274" s="68">
        <f>'Calendario G'!U16</f>
        <v/>
      </c>
      <c r="J274" s="68">
        <f>'Calendario G'!V16</f>
        <v/>
      </c>
      <c r="K274" s="68">
        <f>'Calendario G'!W16</f>
        <v/>
      </c>
      <c r="L274" s="68">
        <f>'Calendario G'!X16</f>
        <v/>
      </c>
      <c r="M274" s="68">
        <f>'Calendario G'!Y16</f>
        <v/>
      </c>
      <c r="N274" s="68">
        <f>'Calendario G'!Z16</f>
        <v/>
      </c>
    </row>
    <row r="275">
      <c r="A275" s="68">
        <f>'Calendario G'!M19</f>
        <v/>
      </c>
      <c r="B275" s="68">
        <f>'Calendario G'!N19</f>
        <v/>
      </c>
      <c r="C275" s="68">
        <f>'Calendario G'!O19</f>
        <v/>
      </c>
      <c r="D275" s="68">
        <f>'Calendario G'!P19</f>
        <v/>
      </c>
      <c r="E275" s="68">
        <f>'Calendario G'!Q19</f>
        <v/>
      </c>
      <c r="F275" s="68">
        <f>'Calendario G'!R19</f>
        <v/>
      </c>
      <c r="G275" s="68">
        <f>'Calendario G'!S19</f>
        <v/>
      </c>
      <c r="H275" s="68">
        <f>'Calendario G'!T19</f>
        <v/>
      </c>
      <c r="I275" s="68">
        <f>'Calendario G'!U19</f>
        <v/>
      </c>
      <c r="J275" s="68">
        <f>'Calendario G'!V19</f>
        <v/>
      </c>
      <c r="K275" s="68">
        <f>'Calendario G'!W19</f>
        <v/>
      </c>
      <c r="L275" s="68">
        <f>'Calendario G'!X19</f>
        <v/>
      </c>
      <c r="M275" s="68">
        <f>'Calendario G'!Y19</f>
        <v/>
      </c>
      <c r="N275" s="68">
        <f>'Calendario G'!Z19</f>
        <v/>
      </c>
    </row>
    <row r="276">
      <c r="A276" s="68">
        <f>'Calendario G'!M22</f>
        <v/>
      </c>
      <c r="B276" s="68">
        <f>'Calendario G'!N22</f>
        <v/>
      </c>
      <c r="C276" s="68">
        <f>'Calendario G'!O22</f>
        <v/>
      </c>
      <c r="D276" s="68">
        <f>'Calendario G'!P22</f>
        <v/>
      </c>
      <c r="E276" s="68">
        <f>'Calendario G'!Q22</f>
        <v/>
      </c>
      <c r="F276" s="68">
        <f>'Calendario G'!R22</f>
        <v/>
      </c>
      <c r="G276" s="68">
        <f>'Calendario G'!S22</f>
        <v/>
      </c>
      <c r="H276" s="68">
        <f>'Calendario G'!T22</f>
        <v/>
      </c>
      <c r="I276" s="68">
        <f>'Calendario G'!U22</f>
        <v/>
      </c>
      <c r="J276" s="68">
        <f>'Calendario G'!V22</f>
        <v/>
      </c>
      <c r="K276" s="68">
        <f>'Calendario G'!W22</f>
        <v/>
      </c>
      <c r="L276" s="68">
        <f>'Calendario G'!X22</f>
        <v/>
      </c>
      <c r="M276" s="68">
        <f>'Calendario G'!Y22</f>
        <v/>
      </c>
      <c r="N276" s="68">
        <f>'Calendario G'!Z22</f>
        <v/>
      </c>
    </row>
    <row r="277">
      <c r="A277" s="68">
        <f>'Calendario G'!M27</f>
        <v/>
      </c>
      <c r="B277" s="68">
        <f>'Calendario G'!N27</f>
        <v/>
      </c>
      <c r="C277" s="68">
        <f>'Calendario G'!O27</f>
        <v/>
      </c>
      <c r="D277" s="68">
        <f>'Calendario G'!P27</f>
        <v/>
      </c>
      <c r="E277" s="68">
        <f>'Calendario G'!Q27</f>
        <v/>
      </c>
      <c r="F277" s="68">
        <f>'Calendario G'!R27</f>
        <v/>
      </c>
      <c r="G277" s="68">
        <f>'Calendario G'!S27</f>
        <v/>
      </c>
      <c r="H277" s="68">
        <f>'Calendario G'!T27</f>
        <v/>
      </c>
      <c r="I277" s="68">
        <f>'Calendario G'!U27</f>
        <v/>
      </c>
      <c r="J277" s="68">
        <f>'Calendario G'!V27</f>
        <v/>
      </c>
      <c r="K277" s="68">
        <f>'Calendario G'!W27</f>
        <v/>
      </c>
      <c r="L277" s="68">
        <f>'Calendario G'!X27</f>
        <v/>
      </c>
      <c r="M277" s="68">
        <f>'Calendario G'!Y27</f>
        <v/>
      </c>
      <c r="N277" s="68">
        <f>'Calendario G'!Z27</f>
        <v/>
      </c>
    </row>
    <row r="278">
      <c r="A278" s="68">
        <f>'Calendario G'!M30</f>
        <v/>
      </c>
      <c r="B278" s="68">
        <f>'Calendario G'!N30</f>
        <v/>
      </c>
      <c r="C278" s="68">
        <f>'Calendario G'!O30</f>
        <v/>
      </c>
      <c r="D278" s="68">
        <f>'Calendario G'!P30</f>
        <v/>
      </c>
      <c r="E278" s="68">
        <f>'Calendario G'!Q30</f>
        <v/>
      </c>
      <c r="F278" s="68">
        <f>'Calendario G'!R30</f>
        <v/>
      </c>
      <c r="G278" s="68">
        <f>'Calendario G'!S30</f>
        <v/>
      </c>
      <c r="H278" s="68">
        <f>'Calendario G'!T30</f>
        <v/>
      </c>
      <c r="I278" s="68">
        <f>'Calendario G'!U30</f>
        <v/>
      </c>
      <c r="J278" s="68">
        <f>'Calendario G'!V30</f>
        <v/>
      </c>
      <c r="K278" s="68">
        <f>'Calendario G'!W30</f>
        <v/>
      </c>
      <c r="L278" s="68">
        <f>'Calendario G'!X30</f>
        <v/>
      </c>
      <c r="M278" s="68">
        <f>'Calendario G'!Y30</f>
        <v/>
      </c>
      <c r="N278" s="68">
        <f>'Calendario G'!Z30</f>
        <v/>
      </c>
    </row>
    <row r="279">
      <c r="A279" s="68">
        <f>'Calendario G'!M33</f>
        <v/>
      </c>
      <c r="B279" s="68">
        <f>'Calendario G'!N33</f>
        <v/>
      </c>
      <c r="C279" s="68">
        <f>'Calendario G'!O33</f>
        <v/>
      </c>
      <c r="D279" s="68">
        <f>'Calendario G'!P33</f>
        <v/>
      </c>
      <c r="E279" s="68">
        <f>'Calendario G'!Q33</f>
        <v/>
      </c>
      <c r="F279" s="68">
        <f>'Calendario G'!R33</f>
        <v/>
      </c>
      <c r="G279" s="68">
        <f>'Calendario G'!S33</f>
        <v/>
      </c>
      <c r="H279" s="68">
        <f>'Calendario G'!T33</f>
        <v/>
      </c>
      <c r="I279" s="68">
        <f>'Calendario G'!U33</f>
        <v/>
      </c>
      <c r="J279" s="68">
        <f>'Calendario G'!V33</f>
        <v/>
      </c>
      <c r="K279" s="68">
        <f>'Calendario G'!W33</f>
        <v/>
      </c>
      <c r="L279" s="68">
        <f>'Calendario G'!X33</f>
        <v/>
      </c>
      <c r="M279" s="68">
        <f>'Calendario G'!Y33</f>
        <v/>
      </c>
      <c r="N279" s="68">
        <f>'Calendario G'!Z33</f>
        <v/>
      </c>
    </row>
    <row r="280">
      <c r="A280" s="68">
        <f>'Calendario G'!M36</f>
        <v/>
      </c>
      <c r="B280" s="68">
        <f>'Calendario G'!N36</f>
        <v/>
      </c>
      <c r="C280" s="68">
        <f>'Calendario G'!O36</f>
        <v/>
      </c>
      <c r="D280" s="68">
        <f>'Calendario G'!P36</f>
        <v/>
      </c>
      <c r="E280" s="68">
        <f>'Calendario G'!Q36</f>
        <v/>
      </c>
      <c r="F280" s="68">
        <f>'Calendario G'!R36</f>
        <v/>
      </c>
      <c r="G280" s="68">
        <f>'Calendario G'!S36</f>
        <v/>
      </c>
      <c r="H280" s="68">
        <f>'Calendario G'!T36</f>
        <v/>
      </c>
      <c r="I280" s="68">
        <f>'Calendario G'!U36</f>
        <v/>
      </c>
      <c r="J280" s="68">
        <f>'Calendario G'!V36</f>
        <v/>
      </c>
      <c r="K280" s="68">
        <f>'Calendario G'!W36</f>
        <v/>
      </c>
      <c r="L280" s="68">
        <f>'Calendario G'!X36</f>
        <v/>
      </c>
      <c r="M280" s="68">
        <f>'Calendario G'!Y36</f>
        <v/>
      </c>
      <c r="N280" s="68">
        <f>'Calendario G'!Z36</f>
        <v/>
      </c>
    </row>
    <row r="281">
      <c r="A281" s="68">
        <f>'Calendario G'!M39</f>
        <v/>
      </c>
      <c r="B281" s="68">
        <f>'Calendario G'!N39</f>
        <v/>
      </c>
      <c r="C281" s="68">
        <f>'Calendario G'!O39</f>
        <v/>
      </c>
      <c r="D281" s="68">
        <f>'Calendario G'!P39</f>
        <v/>
      </c>
      <c r="E281" s="68">
        <f>'Calendario G'!Q39</f>
        <v/>
      </c>
      <c r="F281" s="68">
        <f>'Calendario G'!R39</f>
        <v/>
      </c>
      <c r="G281" s="68">
        <f>'Calendario G'!S39</f>
        <v/>
      </c>
      <c r="H281" s="68">
        <f>'Calendario G'!T39</f>
        <v/>
      </c>
      <c r="I281" s="68">
        <f>'Calendario G'!U39</f>
        <v/>
      </c>
      <c r="J281" s="68">
        <f>'Calendario G'!V39</f>
        <v/>
      </c>
      <c r="K281" s="68">
        <f>'Calendario G'!W39</f>
        <v/>
      </c>
      <c r="L281" s="68">
        <f>'Calendario G'!X39</f>
        <v/>
      </c>
      <c r="M281" s="68">
        <f>'Calendario G'!Y39</f>
        <v/>
      </c>
      <c r="N281" s="68">
        <f>'Calendario G'!Z39</f>
        <v/>
      </c>
    </row>
    <row r="282">
      <c r="A282" s="68">
        <f>'Calendario G'!M44</f>
        <v/>
      </c>
      <c r="B282" s="68">
        <f>'Calendario G'!N44</f>
        <v/>
      </c>
      <c r="C282" s="68">
        <f>'Calendario G'!O44</f>
        <v/>
      </c>
      <c r="D282" s="68">
        <f>'Calendario G'!P44</f>
        <v/>
      </c>
      <c r="E282" s="68">
        <f>'Calendario G'!Q44</f>
        <v/>
      </c>
      <c r="F282" s="68">
        <f>'Calendario G'!R44</f>
        <v/>
      </c>
      <c r="G282" s="68">
        <f>'Calendario G'!S44</f>
        <v/>
      </c>
      <c r="H282" s="68">
        <f>'Calendario G'!T44</f>
        <v/>
      </c>
      <c r="I282" s="68">
        <f>'Calendario G'!U44</f>
        <v/>
      </c>
      <c r="J282" s="68">
        <f>'Calendario G'!V44</f>
        <v/>
      </c>
      <c r="K282" s="68">
        <f>'Calendario G'!W44</f>
        <v/>
      </c>
      <c r="L282" s="68">
        <f>'Calendario G'!X44</f>
        <v/>
      </c>
      <c r="M282" s="68">
        <f>'Calendario G'!Y44</f>
        <v/>
      </c>
      <c r="N282" s="68">
        <f>'Calendario G'!Z44</f>
        <v/>
      </c>
    </row>
    <row r="283">
      <c r="A283" s="68">
        <f>'Calendario G'!M47</f>
        <v/>
      </c>
      <c r="B283" s="68">
        <f>'Calendario G'!N47</f>
        <v/>
      </c>
      <c r="C283" s="68">
        <f>'Calendario G'!O47</f>
        <v/>
      </c>
      <c r="D283" s="68">
        <f>'Calendario G'!P47</f>
        <v/>
      </c>
      <c r="E283" s="68">
        <f>'Calendario G'!Q47</f>
        <v/>
      </c>
      <c r="F283" s="68">
        <f>'Calendario G'!R47</f>
        <v/>
      </c>
      <c r="G283" s="68">
        <f>'Calendario G'!S47</f>
        <v/>
      </c>
      <c r="H283" s="68">
        <f>'Calendario G'!T47</f>
        <v/>
      </c>
      <c r="I283" s="68">
        <f>'Calendario G'!U47</f>
        <v/>
      </c>
      <c r="J283" s="68">
        <f>'Calendario G'!V47</f>
        <v/>
      </c>
      <c r="K283" s="68">
        <f>'Calendario G'!W47</f>
        <v/>
      </c>
      <c r="L283" s="68">
        <f>'Calendario G'!X47</f>
        <v/>
      </c>
      <c r="M283" s="68">
        <f>'Calendario G'!Y47</f>
        <v/>
      </c>
      <c r="N283" s="68">
        <f>'Calendario G'!Z47</f>
        <v/>
      </c>
    </row>
    <row r="284">
      <c r="A284" s="68">
        <f>'Calendario G'!M50</f>
        <v/>
      </c>
      <c r="B284" s="68">
        <f>'Calendario G'!N50</f>
        <v/>
      </c>
      <c r="C284" s="68">
        <f>'Calendario G'!O50</f>
        <v/>
      </c>
      <c r="D284" s="68">
        <f>'Calendario G'!P50</f>
        <v/>
      </c>
      <c r="E284" s="68">
        <f>'Calendario G'!Q50</f>
        <v/>
      </c>
      <c r="F284" s="68">
        <f>'Calendario G'!R50</f>
        <v/>
      </c>
      <c r="G284" s="68">
        <f>'Calendario G'!S50</f>
        <v/>
      </c>
      <c r="H284" s="68">
        <f>'Calendario G'!T50</f>
        <v/>
      </c>
      <c r="I284" s="68">
        <f>'Calendario G'!U50</f>
        <v/>
      </c>
      <c r="J284" s="68">
        <f>'Calendario G'!V50</f>
        <v/>
      </c>
      <c r="K284" s="68">
        <f>'Calendario G'!W50</f>
        <v/>
      </c>
      <c r="L284" s="68">
        <f>'Calendario G'!X50</f>
        <v/>
      </c>
      <c r="M284" s="68">
        <f>'Calendario G'!Y50</f>
        <v/>
      </c>
      <c r="N284" s="68">
        <f>'Calendario G'!Z50</f>
        <v/>
      </c>
    </row>
    <row r="285">
      <c r="A285" s="68">
        <f>'Calendario G'!M53</f>
        <v/>
      </c>
      <c r="B285" s="68">
        <f>'Calendario G'!N53</f>
        <v/>
      </c>
      <c r="C285" s="68">
        <f>'Calendario G'!O53</f>
        <v/>
      </c>
      <c r="D285" s="68">
        <f>'Calendario G'!P53</f>
        <v/>
      </c>
      <c r="E285" s="68">
        <f>'Calendario G'!Q53</f>
        <v/>
      </c>
      <c r="F285" s="68">
        <f>'Calendario G'!R53</f>
        <v/>
      </c>
      <c r="G285" s="68">
        <f>'Calendario G'!S53</f>
        <v/>
      </c>
      <c r="H285" s="68">
        <f>'Calendario G'!T53</f>
        <v/>
      </c>
      <c r="I285" s="68">
        <f>'Calendario G'!U53</f>
        <v/>
      </c>
      <c r="J285" s="68">
        <f>'Calendario G'!V53</f>
        <v/>
      </c>
      <c r="K285" s="68">
        <f>'Calendario G'!W53</f>
        <v/>
      </c>
      <c r="L285" s="68">
        <f>'Calendario G'!X53</f>
        <v/>
      </c>
      <c r="M285" s="68">
        <f>'Calendario G'!Y53</f>
        <v/>
      </c>
      <c r="N285" s="68">
        <f>'Calendario G'!Z53</f>
        <v/>
      </c>
    </row>
    <row r="286">
      <c r="A286" s="68">
        <f>'Calendario G'!M56</f>
        <v/>
      </c>
      <c r="B286" s="68">
        <f>'Calendario G'!N56</f>
        <v/>
      </c>
      <c r="C286" s="68">
        <f>'Calendario G'!O56</f>
        <v/>
      </c>
      <c r="D286" s="68">
        <f>'Calendario G'!P56</f>
        <v/>
      </c>
      <c r="E286" s="68">
        <f>'Calendario G'!Q56</f>
        <v/>
      </c>
      <c r="F286" s="68">
        <f>'Calendario G'!R56</f>
        <v/>
      </c>
      <c r="G286" s="68">
        <f>'Calendario G'!S56</f>
        <v/>
      </c>
      <c r="H286" s="68">
        <f>'Calendario G'!T56</f>
        <v/>
      </c>
      <c r="I286" s="68">
        <f>'Calendario G'!U56</f>
        <v/>
      </c>
      <c r="J286" s="68">
        <f>'Calendario G'!V56</f>
        <v/>
      </c>
      <c r="K286" s="68">
        <f>'Calendario G'!W56</f>
        <v/>
      </c>
      <c r="L286" s="68">
        <f>'Calendario G'!X56</f>
        <v/>
      </c>
      <c r="M286" s="68">
        <f>'Calendario G'!Y56</f>
        <v/>
      </c>
      <c r="N286" s="68">
        <f>'Calendario G'!Z56</f>
        <v/>
      </c>
    </row>
    <row r="287">
      <c r="A287" s="68">
        <f>'Calendario G'!M61</f>
        <v/>
      </c>
      <c r="B287" s="68">
        <f>'Calendario G'!N61</f>
        <v/>
      </c>
      <c r="C287" s="68">
        <f>'Calendario G'!O61</f>
        <v/>
      </c>
      <c r="D287" s="68">
        <f>'Calendario G'!P61</f>
        <v/>
      </c>
      <c r="E287" s="68">
        <f>'Calendario G'!Q61</f>
        <v/>
      </c>
      <c r="F287" s="68">
        <f>'Calendario G'!R61</f>
        <v/>
      </c>
      <c r="G287" s="68">
        <f>'Calendario G'!S61</f>
        <v/>
      </c>
      <c r="H287" s="68">
        <f>'Calendario G'!T61</f>
        <v/>
      </c>
      <c r="I287" s="68">
        <f>'Calendario G'!U61</f>
        <v/>
      </c>
      <c r="J287" s="68">
        <f>'Calendario G'!V61</f>
        <v/>
      </c>
      <c r="K287" s="68">
        <f>'Calendario G'!W61</f>
        <v/>
      </c>
      <c r="L287" s="68">
        <f>'Calendario G'!X61</f>
        <v/>
      </c>
      <c r="M287" s="68">
        <f>'Calendario G'!Y61</f>
        <v/>
      </c>
      <c r="N287" s="68">
        <f>'Calendario G'!Z61</f>
        <v/>
      </c>
    </row>
    <row r="288">
      <c r="A288" s="68">
        <f>'Calendario G'!M64</f>
        <v/>
      </c>
      <c r="B288" s="68">
        <f>'Calendario G'!N64</f>
        <v/>
      </c>
      <c r="C288" s="68">
        <f>'Calendario G'!O64</f>
        <v/>
      </c>
      <c r="D288" s="68">
        <f>'Calendario G'!P64</f>
        <v/>
      </c>
      <c r="E288" s="68">
        <f>'Calendario G'!Q64</f>
        <v/>
      </c>
      <c r="F288" s="68">
        <f>'Calendario G'!R64</f>
        <v/>
      </c>
      <c r="G288" s="68">
        <f>'Calendario G'!S64</f>
        <v/>
      </c>
      <c r="H288" s="68">
        <f>'Calendario G'!T64</f>
        <v/>
      </c>
      <c r="I288" s="68">
        <f>'Calendario G'!U64</f>
        <v/>
      </c>
      <c r="J288" s="68">
        <f>'Calendario G'!V64</f>
        <v/>
      </c>
      <c r="K288" s="68">
        <f>'Calendario G'!W64</f>
        <v/>
      </c>
      <c r="L288" s="68">
        <f>'Calendario G'!X64</f>
        <v/>
      </c>
      <c r="M288" s="68">
        <f>'Calendario G'!Y64</f>
        <v/>
      </c>
      <c r="N288" s="68">
        <f>'Calendario G'!Z64</f>
        <v/>
      </c>
    </row>
    <row r="289">
      <c r="A289" s="68">
        <f>'Calendario G'!M67</f>
        <v/>
      </c>
      <c r="B289" s="68">
        <f>'Calendario G'!N67</f>
        <v/>
      </c>
      <c r="C289" s="68">
        <f>'Calendario G'!O67</f>
        <v/>
      </c>
      <c r="D289" s="68">
        <f>'Calendario G'!P67</f>
        <v/>
      </c>
      <c r="E289" s="68">
        <f>'Calendario G'!Q67</f>
        <v/>
      </c>
      <c r="F289" s="68">
        <f>'Calendario G'!R67</f>
        <v/>
      </c>
      <c r="G289" s="68">
        <f>'Calendario G'!S67</f>
        <v/>
      </c>
      <c r="H289" s="68">
        <f>'Calendario G'!T67</f>
        <v/>
      </c>
      <c r="I289" s="68">
        <f>'Calendario G'!U67</f>
        <v/>
      </c>
      <c r="J289" s="68">
        <f>'Calendario G'!V67</f>
        <v/>
      </c>
      <c r="K289" s="68">
        <f>'Calendario G'!W67</f>
        <v/>
      </c>
      <c r="L289" s="68">
        <f>'Calendario G'!X67</f>
        <v/>
      </c>
      <c r="M289" s="68">
        <f>'Calendario G'!Y67</f>
        <v/>
      </c>
      <c r="N289" s="68">
        <f>'Calendario G'!Z67</f>
        <v/>
      </c>
    </row>
    <row r="290">
      <c r="A290" s="68">
        <f>'Calendario G'!M70</f>
        <v/>
      </c>
      <c r="B290" s="68">
        <f>'Calendario G'!N70</f>
        <v/>
      </c>
      <c r="C290" s="68">
        <f>'Calendario G'!O70</f>
        <v/>
      </c>
      <c r="D290" s="68">
        <f>'Calendario G'!P70</f>
        <v/>
      </c>
      <c r="E290" s="68">
        <f>'Calendario G'!Q70</f>
        <v/>
      </c>
      <c r="F290" s="68">
        <f>'Calendario G'!R70</f>
        <v/>
      </c>
      <c r="G290" s="68">
        <f>'Calendario G'!S70</f>
        <v/>
      </c>
      <c r="H290" s="68">
        <f>'Calendario G'!T70</f>
        <v/>
      </c>
      <c r="I290" s="68">
        <f>'Calendario G'!U70</f>
        <v/>
      </c>
      <c r="J290" s="68">
        <f>'Calendario G'!V70</f>
        <v/>
      </c>
      <c r="K290" s="68">
        <f>'Calendario G'!W70</f>
        <v/>
      </c>
      <c r="L290" s="68">
        <f>'Calendario G'!X70</f>
        <v/>
      </c>
      <c r="M290" s="68">
        <f>'Calendario G'!Y70</f>
        <v/>
      </c>
      <c r="N290" s="68">
        <f>'Calendario G'!Z70</f>
        <v/>
      </c>
    </row>
    <row r="291">
      <c r="A291" s="68">
        <f>'Calendario G'!M73</f>
        <v/>
      </c>
      <c r="B291" s="68">
        <f>'Calendario G'!N73</f>
        <v/>
      </c>
      <c r="C291" s="68">
        <f>'Calendario G'!O73</f>
        <v/>
      </c>
      <c r="D291" s="68">
        <f>'Calendario G'!P73</f>
        <v/>
      </c>
      <c r="E291" s="68">
        <f>'Calendario G'!Q73</f>
        <v/>
      </c>
      <c r="F291" s="68">
        <f>'Calendario G'!R73</f>
        <v/>
      </c>
      <c r="G291" s="68">
        <f>'Calendario G'!S73</f>
        <v/>
      </c>
      <c r="H291" s="68">
        <f>'Calendario G'!T73</f>
        <v/>
      </c>
      <c r="I291" s="68">
        <f>'Calendario G'!U73</f>
        <v/>
      </c>
      <c r="J291" s="68">
        <f>'Calendario G'!V73</f>
        <v/>
      </c>
      <c r="K291" s="68">
        <f>'Calendario G'!W73</f>
        <v/>
      </c>
      <c r="L291" s="68">
        <f>'Calendario G'!X73</f>
        <v/>
      </c>
      <c r="M291" s="68">
        <f>'Calendario G'!Y73</f>
        <v/>
      </c>
      <c r="N291" s="68">
        <f>'Calendario G'!Z73</f>
        <v/>
      </c>
    </row>
    <row r="292">
      <c r="A292" s="68">
        <f>'Calendario G'!M78</f>
        <v/>
      </c>
      <c r="B292" s="68">
        <f>'Calendario G'!N78</f>
        <v/>
      </c>
      <c r="C292" s="68">
        <f>'Calendario G'!O78</f>
        <v/>
      </c>
      <c r="D292" s="68">
        <f>'Calendario G'!P78</f>
        <v/>
      </c>
      <c r="E292" s="68">
        <f>'Calendario G'!Q78</f>
        <v/>
      </c>
      <c r="F292" s="68">
        <f>'Calendario G'!R78</f>
        <v/>
      </c>
      <c r="G292" s="68">
        <f>'Calendario G'!S78</f>
        <v/>
      </c>
      <c r="H292" s="68">
        <f>'Calendario G'!T78</f>
        <v/>
      </c>
      <c r="I292" s="68">
        <f>'Calendario G'!U78</f>
        <v/>
      </c>
      <c r="J292" s="68">
        <f>'Calendario G'!V78</f>
        <v/>
      </c>
      <c r="K292" s="68">
        <f>'Calendario G'!W78</f>
        <v/>
      </c>
      <c r="L292" s="68">
        <f>'Calendario G'!X78</f>
        <v/>
      </c>
      <c r="M292" s="68">
        <f>'Calendario G'!Y78</f>
        <v/>
      </c>
      <c r="N292" s="68">
        <f>'Calendario G'!Z78</f>
        <v/>
      </c>
    </row>
    <row r="293">
      <c r="A293" s="68">
        <f>'Calendario G'!M81</f>
        <v/>
      </c>
      <c r="B293" s="68">
        <f>'Calendario G'!N81</f>
        <v/>
      </c>
      <c r="C293" s="68">
        <f>'Calendario G'!O81</f>
        <v/>
      </c>
      <c r="D293" s="68">
        <f>'Calendario G'!P81</f>
        <v/>
      </c>
      <c r="E293" s="68">
        <f>'Calendario G'!Q81</f>
        <v/>
      </c>
      <c r="F293" s="68">
        <f>'Calendario G'!R81</f>
        <v/>
      </c>
      <c r="G293" s="68">
        <f>'Calendario G'!S81</f>
        <v/>
      </c>
      <c r="H293" s="68">
        <f>'Calendario G'!T81</f>
        <v/>
      </c>
      <c r="I293" s="68">
        <f>'Calendario G'!U81</f>
        <v/>
      </c>
      <c r="J293" s="68">
        <f>'Calendario G'!V81</f>
        <v/>
      </c>
      <c r="K293" s="68">
        <f>'Calendario G'!W81</f>
        <v/>
      </c>
      <c r="L293" s="68">
        <f>'Calendario G'!X81</f>
        <v/>
      </c>
      <c r="M293" s="68">
        <f>'Calendario G'!Y81</f>
        <v/>
      </c>
      <c r="N293" s="68">
        <f>'Calendario G'!Z81</f>
        <v/>
      </c>
    </row>
    <row r="294">
      <c r="A294" s="68">
        <f>'Calendario G'!M84</f>
        <v/>
      </c>
      <c r="B294" s="68">
        <f>'Calendario G'!N84</f>
        <v/>
      </c>
      <c r="C294" s="68">
        <f>'Calendario G'!O84</f>
        <v/>
      </c>
      <c r="D294" s="68">
        <f>'Calendario G'!P84</f>
        <v/>
      </c>
      <c r="E294" s="68">
        <f>'Calendario G'!Q84</f>
        <v/>
      </c>
      <c r="F294" s="68">
        <f>'Calendario G'!R84</f>
        <v/>
      </c>
      <c r="G294" s="68">
        <f>'Calendario G'!S84</f>
        <v/>
      </c>
      <c r="H294" s="68">
        <f>'Calendario G'!T84</f>
        <v/>
      </c>
      <c r="I294" s="68">
        <f>'Calendario G'!U84</f>
        <v/>
      </c>
      <c r="J294" s="68">
        <f>'Calendario G'!V84</f>
        <v/>
      </c>
      <c r="K294" s="68">
        <f>'Calendario G'!W84</f>
        <v/>
      </c>
      <c r="L294" s="68">
        <f>'Calendario G'!X84</f>
        <v/>
      </c>
      <c r="M294" s="68">
        <f>'Calendario G'!Y84</f>
        <v/>
      </c>
      <c r="N294" s="68">
        <f>'Calendario G'!Z84</f>
        <v/>
      </c>
    </row>
    <row r="295">
      <c r="A295" s="68">
        <f>'Calendario G'!M87</f>
        <v/>
      </c>
      <c r="B295" s="68">
        <f>'Calendario G'!N87</f>
        <v/>
      </c>
      <c r="C295" s="68">
        <f>'Calendario G'!O87</f>
        <v/>
      </c>
      <c r="D295" s="68">
        <f>'Calendario G'!P87</f>
        <v/>
      </c>
      <c r="E295" s="68">
        <f>'Calendario G'!Q87</f>
        <v/>
      </c>
      <c r="F295" s="68">
        <f>'Calendario G'!R87</f>
        <v/>
      </c>
      <c r="G295" s="68">
        <f>'Calendario G'!S87</f>
        <v/>
      </c>
      <c r="H295" s="68">
        <f>'Calendario G'!T87</f>
        <v/>
      </c>
      <c r="I295" s="68">
        <f>'Calendario G'!U87</f>
        <v/>
      </c>
      <c r="J295" s="68">
        <f>'Calendario G'!V87</f>
        <v/>
      </c>
      <c r="K295" s="68">
        <f>'Calendario G'!W87</f>
        <v/>
      </c>
      <c r="L295" s="68">
        <f>'Calendario G'!X87</f>
        <v/>
      </c>
      <c r="M295" s="68">
        <f>'Calendario G'!Y87</f>
        <v/>
      </c>
      <c r="N295" s="68">
        <f>'Calendario G'!Z87</f>
        <v/>
      </c>
    </row>
    <row r="296">
      <c r="A296" s="68">
        <f>'Calendario G'!M90</f>
        <v/>
      </c>
      <c r="B296" s="68">
        <f>'Calendario G'!N90</f>
        <v/>
      </c>
      <c r="C296" s="68">
        <f>'Calendario G'!O90</f>
        <v/>
      </c>
      <c r="D296" s="68">
        <f>'Calendario G'!P90</f>
        <v/>
      </c>
      <c r="E296" s="68">
        <f>'Calendario G'!Q90</f>
        <v/>
      </c>
      <c r="F296" s="68">
        <f>'Calendario G'!R90</f>
        <v/>
      </c>
      <c r="G296" s="68">
        <f>'Calendario G'!S90</f>
        <v/>
      </c>
      <c r="H296" s="68">
        <f>'Calendario G'!T90</f>
        <v/>
      </c>
      <c r="I296" s="68">
        <f>'Calendario G'!U90</f>
        <v/>
      </c>
      <c r="J296" s="68">
        <f>'Calendario G'!V90</f>
        <v/>
      </c>
      <c r="K296" s="68">
        <f>'Calendario G'!W90</f>
        <v/>
      </c>
      <c r="L296" s="68">
        <f>'Calendario G'!X90</f>
        <v/>
      </c>
      <c r="M296" s="68">
        <f>'Calendario G'!Y90</f>
        <v/>
      </c>
      <c r="N296" s="68">
        <f>'Calendario G'!Z90</f>
        <v/>
      </c>
    </row>
    <row r="297">
      <c r="A297" s="68">
        <f>'Calendario G'!M95</f>
        <v/>
      </c>
      <c r="B297" s="68">
        <f>'Calendario G'!N95</f>
        <v/>
      </c>
      <c r="C297" s="68">
        <f>'Calendario G'!O95</f>
        <v/>
      </c>
      <c r="D297" s="68">
        <f>'Calendario G'!P95</f>
        <v/>
      </c>
      <c r="E297" s="68">
        <f>'Calendario G'!Q95</f>
        <v/>
      </c>
      <c r="F297" s="68">
        <f>'Calendario G'!R95</f>
        <v/>
      </c>
      <c r="G297" s="68">
        <f>'Calendario G'!S95</f>
        <v/>
      </c>
      <c r="H297" s="68">
        <f>'Calendario G'!T95</f>
        <v/>
      </c>
      <c r="I297" s="68">
        <f>'Calendario G'!U95</f>
        <v/>
      </c>
      <c r="J297" s="68">
        <f>'Calendario G'!V95</f>
        <v/>
      </c>
      <c r="K297" s="68">
        <f>'Calendario G'!W95</f>
        <v/>
      </c>
      <c r="L297" s="68">
        <f>'Calendario G'!X95</f>
        <v/>
      </c>
      <c r="M297" s="68">
        <f>'Calendario G'!Y95</f>
        <v/>
      </c>
      <c r="N297" s="68">
        <f>'Calendario G'!Z95</f>
        <v/>
      </c>
    </row>
    <row r="298">
      <c r="A298" s="68">
        <f>'Calendario G'!M98</f>
        <v/>
      </c>
      <c r="B298" s="68">
        <f>'Calendario G'!N98</f>
        <v/>
      </c>
      <c r="C298" s="68">
        <f>'Calendario G'!O98</f>
        <v/>
      </c>
      <c r="D298" s="68">
        <f>'Calendario G'!P98</f>
        <v/>
      </c>
      <c r="E298" s="68">
        <f>'Calendario G'!Q98</f>
        <v/>
      </c>
      <c r="F298" s="68">
        <f>'Calendario G'!R98</f>
        <v/>
      </c>
      <c r="G298" s="68">
        <f>'Calendario G'!S98</f>
        <v/>
      </c>
      <c r="H298" s="68">
        <f>'Calendario G'!T98</f>
        <v/>
      </c>
      <c r="I298" s="68">
        <f>'Calendario G'!U98</f>
        <v/>
      </c>
      <c r="J298" s="68">
        <f>'Calendario G'!V98</f>
        <v/>
      </c>
      <c r="K298" s="68">
        <f>'Calendario G'!W98</f>
        <v/>
      </c>
      <c r="L298" s="68">
        <f>'Calendario G'!X98</f>
        <v/>
      </c>
      <c r="M298" s="68">
        <f>'Calendario G'!Y98</f>
        <v/>
      </c>
      <c r="N298" s="68">
        <f>'Calendario G'!Z98</f>
        <v/>
      </c>
    </row>
    <row r="299">
      <c r="A299" s="68">
        <f>'Calendario G'!M101</f>
        <v/>
      </c>
      <c r="B299" s="68">
        <f>'Calendario G'!N101</f>
        <v/>
      </c>
      <c r="C299" s="68">
        <f>'Calendario G'!O101</f>
        <v/>
      </c>
      <c r="D299" s="68">
        <f>'Calendario G'!P101</f>
        <v/>
      </c>
      <c r="E299" s="68">
        <f>'Calendario G'!Q101</f>
        <v/>
      </c>
      <c r="F299" s="68">
        <f>'Calendario G'!R101</f>
        <v/>
      </c>
      <c r="G299" s="68">
        <f>'Calendario G'!S101</f>
        <v/>
      </c>
      <c r="H299" s="68">
        <f>'Calendario G'!T101</f>
        <v/>
      </c>
      <c r="I299" s="68">
        <f>'Calendario G'!U101</f>
        <v/>
      </c>
      <c r="J299" s="68">
        <f>'Calendario G'!V101</f>
        <v/>
      </c>
      <c r="K299" s="68">
        <f>'Calendario G'!W101</f>
        <v/>
      </c>
      <c r="L299" s="68">
        <f>'Calendario G'!X101</f>
        <v/>
      </c>
      <c r="M299" s="68">
        <f>'Calendario G'!Y101</f>
        <v/>
      </c>
      <c r="N299" s="68">
        <f>'Calendario G'!Z101</f>
        <v/>
      </c>
    </row>
    <row r="300">
      <c r="A300" s="68">
        <f>'Calendario G'!M104</f>
        <v/>
      </c>
      <c r="B300" s="68">
        <f>'Calendario G'!N104</f>
        <v/>
      </c>
      <c r="C300" s="68">
        <f>'Calendario G'!O104</f>
        <v/>
      </c>
      <c r="D300" s="68">
        <f>'Calendario G'!P104</f>
        <v/>
      </c>
      <c r="E300" s="68">
        <f>'Calendario G'!Q104</f>
        <v/>
      </c>
      <c r="F300" s="68">
        <f>'Calendario G'!R104</f>
        <v/>
      </c>
      <c r="G300" s="68">
        <f>'Calendario G'!S104</f>
        <v/>
      </c>
      <c r="H300" s="68">
        <f>'Calendario G'!T104</f>
        <v/>
      </c>
      <c r="I300" s="68">
        <f>'Calendario G'!U104</f>
        <v/>
      </c>
      <c r="J300" s="68">
        <f>'Calendario G'!V104</f>
        <v/>
      </c>
      <c r="K300" s="68">
        <f>'Calendario G'!W104</f>
        <v/>
      </c>
      <c r="L300" s="68">
        <f>'Calendario G'!X104</f>
        <v/>
      </c>
      <c r="M300" s="68">
        <f>'Calendario G'!Y104</f>
        <v/>
      </c>
      <c r="N300" s="68">
        <f>'Calendario G'!Z104</f>
        <v/>
      </c>
    </row>
    <row r="301">
      <c r="A301" s="68">
        <f>'Calendario G'!M107</f>
        <v/>
      </c>
      <c r="B301" s="68">
        <f>'Calendario G'!N107</f>
        <v/>
      </c>
      <c r="C301" s="68">
        <f>'Calendario G'!O107</f>
        <v/>
      </c>
      <c r="D301" s="68">
        <f>'Calendario G'!P107</f>
        <v/>
      </c>
      <c r="E301" s="68">
        <f>'Calendario G'!Q107</f>
        <v/>
      </c>
      <c r="F301" s="68">
        <f>'Calendario G'!R107</f>
        <v/>
      </c>
      <c r="G301" s="68">
        <f>'Calendario G'!S107</f>
        <v/>
      </c>
      <c r="H301" s="68">
        <f>'Calendario G'!T107</f>
        <v/>
      </c>
      <c r="I301" s="68">
        <f>'Calendario G'!U107</f>
        <v/>
      </c>
      <c r="J301" s="68">
        <f>'Calendario G'!V107</f>
        <v/>
      </c>
      <c r="K301" s="68">
        <f>'Calendario G'!W107</f>
        <v/>
      </c>
      <c r="L301" s="68">
        <f>'Calendario G'!X107</f>
        <v/>
      </c>
      <c r="M301" s="68">
        <f>'Calendario G'!Y107</f>
        <v/>
      </c>
      <c r="N301" s="68">
        <f>'Calendario G'!Z107</f>
        <v/>
      </c>
    </row>
    <row r="302">
      <c r="A302" s="68">
        <f>'Calendario G'!M112</f>
        <v/>
      </c>
      <c r="B302" s="68">
        <f>'Calendario G'!N112</f>
        <v/>
      </c>
      <c r="C302" s="68">
        <f>'Calendario G'!O112</f>
        <v/>
      </c>
      <c r="D302" s="68">
        <f>'Calendario G'!P112</f>
        <v/>
      </c>
      <c r="E302" s="68">
        <f>'Calendario G'!Q112</f>
        <v/>
      </c>
      <c r="F302" s="68">
        <f>'Calendario G'!R112</f>
        <v/>
      </c>
      <c r="G302" s="68">
        <f>'Calendario G'!S112</f>
        <v/>
      </c>
      <c r="H302" s="68">
        <f>'Calendario G'!T112</f>
        <v/>
      </c>
      <c r="I302" s="68">
        <f>'Calendario G'!U112</f>
        <v/>
      </c>
      <c r="J302" s="68">
        <f>'Calendario G'!V112</f>
        <v/>
      </c>
      <c r="K302" s="68">
        <f>'Calendario G'!W112</f>
        <v/>
      </c>
      <c r="L302" s="68">
        <f>'Calendario G'!X112</f>
        <v/>
      </c>
      <c r="M302" s="68">
        <f>'Calendario G'!Y112</f>
        <v/>
      </c>
      <c r="N302" s="68">
        <f>'Calendario G'!Z112</f>
        <v/>
      </c>
    </row>
    <row r="303">
      <c r="A303" s="68">
        <f>'Calendario G'!M115</f>
        <v/>
      </c>
      <c r="B303" s="68">
        <f>'Calendario G'!N115</f>
        <v/>
      </c>
      <c r="C303" s="68">
        <f>'Calendario G'!O115</f>
        <v/>
      </c>
      <c r="D303" s="68">
        <f>'Calendario G'!P115</f>
        <v/>
      </c>
      <c r="E303" s="68">
        <f>'Calendario G'!Q115</f>
        <v/>
      </c>
      <c r="F303" s="68">
        <f>'Calendario G'!R115</f>
        <v/>
      </c>
      <c r="G303" s="68">
        <f>'Calendario G'!S115</f>
        <v/>
      </c>
      <c r="H303" s="68">
        <f>'Calendario G'!T115</f>
        <v/>
      </c>
      <c r="I303" s="68">
        <f>'Calendario G'!U115</f>
        <v/>
      </c>
      <c r="J303" s="68">
        <f>'Calendario G'!V115</f>
        <v/>
      </c>
      <c r="K303" s="68">
        <f>'Calendario G'!W115</f>
        <v/>
      </c>
      <c r="L303" s="68">
        <f>'Calendario G'!X115</f>
        <v/>
      </c>
      <c r="M303" s="68">
        <f>'Calendario G'!Y115</f>
        <v/>
      </c>
      <c r="N303" s="68">
        <f>'Calendario G'!Z115</f>
        <v/>
      </c>
    </row>
    <row r="304">
      <c r="A304" s="68">
        <f>'Calendario G'!M118</f>
        <v/>
      </c>
      <c r="B304" s="68">
        <f>'Calendario G'!N118</f>
        <v/>
      </c>
      <c r="C304" s="68">
        <f>'Calendario G'!O118</f>
        <v/>
      </c>
      <c r="D304" s="68">
        <f>'Calendario G'!P118</f>
        <v/>
      </c>
      <c r="E304" s="68">
        <f>'Calendario G'!Q118</f>
        <v/>
      </c>
      <c r="F304" s="68">
        <f>'Calendario G'!R118</f>
        <v/>
      </c>
      <c r="G304" s="68">
        <f>'Calendario G'!S118</f>
        <v/>
      </c>
      <c r="H304" s="68">
        <f>'Calendario G'!T118</f>
        <v/>
      </c>
      <c r="I304" s="68">
        <f>'Calendario G'!U118</f>
        <v/>
      </c>
      <c r="J304" s="68">
        <f>'Calendario G'!V118</f>
        <v/>
      </c>
      <c r="K304" s="68">
        <f>'Calendario G'!W118</f>
        <v/>
      </c>
      <c r="L304" s="68">
        <f>'Calendario G'!X118</f>
        <v/>
      </c>
      <c r="M304" s="68">
        <f>'Calendario G'!Y118</f>
        <v/>
      </c>
      <c r="N304" s="68">
        <f>'Calendario G'!Z118</f>
        <v/>
      </c>
    </row>
    <row r="305">
      <c r="A305" s="68">
        <f>'Calendario G'!M121</f>
        <v/>
      </c>
      <c r="B305" s="68">
        <f>'Calendario G'!N121</f>
        <v/>
      </c>
      <c r="C305" s="68">
        <f>'Calendario G'!O121</f>
        <v/>
      </c>
      <c r="D305" s="68">
        <f>'Calendario G'!P121</f>
        <v/>
      </c>
      <c r="E305" s="68">
        <f>'Calendario G'!Q121</f>
        <v/>
      </c>
      <c r="F305" s="68">
        <f>'Calendario G'!R121</f>
        <v/>
      </c>
      <c r="G305" s="68">
        <f>'Calendario G'!S121</f>
        <v/>
      </c>
      <c r="H305" s="68">
        <f>'Calendario G'!T121</f>
        <v/>
      </c>
      <c r="I305" s="68">
        <f>'Calendario G'!U121</f>
        <v/>
      </c>
      <c r="J305" s="68">
        <f>'Calendario G'!V121</f>
        <v/>
      </c>
      <c r="K305" s="68">
        <f>'Calendario G'!W121</f>
        <v/>
      </c>
      <c r="L305" s="68">
        <f>'Calendario G'!X121</f>
        <v/>
      </c>
      <c r="M305" s="68">
        <f>'Calendario G'!Y121</f>
        <v/>
      </c>
      <c r="N305" s="68">
        <f>'Calendario G'!Z121</f>
        <v/>
      </c>
    </row>
    <row r="306">
      <c r="A306" s="68">
        <f>'Calendario G'!M124</f>
        <v/>
      </c>
      <c r="B306" s="68">
        <f>'Calendario G'!N124</f>
        <v/>
      </c>
      <c r="C306" s="68">
        <f>'Calendario G'!O124</f>
        <v/>
      </c>
      <c r="D306" s="68">
        <f>'Calendario G'!P124</f>
        <v/>
      </c>
      <c r="E306" s="68">
        <f>'Calendario G'!Q124</f>
        <v/>
      </c>
      <c r="F306" s="68">
        <f>'Calendario G'!R124</f>
        <v/>
      </c>
      <c r="G306" s="68">
        <f>'Calendario G'!S124</f>
        <v/>
      </c>
      <c r="H306" s="68">
        <f>'Calendario G'!T124</f>
        <v/>
      </c>
      <c r="I306" s="68">
        <f>'Calendario G'!U124</f>
        <v/>
      </c>
      <c r="J306" s="68">
        <f>'Calendario G'!V124</f>
        <v/>
      </c>
      <c r="K306" s="68">
        <f>'Calendario G'!W124</f>
        <v/>
      </c>
      <c r="L306" s="68">
        <f>'Calendario G'!X124</f>
        <v/>
      </c>
      <c r="M306" s="68">
        <f>'Calendario G'!Y124</f>
        <v/>
      </c>
      <c r="N306" s="68">
        <f>'Calendario G'!Z124</f>
        <v/>
      </c>
    </row>
    <row r="307">
      <c r="A307" s="68">
        <f>'Calendario G'!M129</f>
        <v/>
      </c>
      <c r="B307" s="68">
        <f>'Calendario G'!N129</f>
        <v/>
      </c>
      <c r="C307" s="68">
        <f>'Calendario G'!O129</f>
        <v/>
      </c>
      <c r="D307" s="68">
        <f>'Calendario G'!P129</f>
        <v/>
      </c>
      <c r="E307" s="68">
        <f>'Calendario G'!Q129</f>
        <v/>
      </c>
      <c r="F307" s="68">
        <f>'Calendario G'!R129</f>
        <v/>
      </c>
      <c r="G307" s="68">
        <f>'Calendario G'!S129</f>
        <v/>
      </c>
      <c r="H307" s="68">
        <f>'Calendario G'!T129</f>
        <v/>
      </c>
      <c r="I307" s="68">
        <f>'Calendario G'!U129</f>
        <v/>
      </c>
      <c r="J307" s="68">
        <f>'Calendario G'!V129</f>
        <v/>
      </c>
      <c r="K307" s="68">
        <f>'Calendario G'!W129</f>
        <v/>
      </c>
      <c r="L307" s="68">
        <f>'Calendario G'!X129</f>
        <v/>
      </c>
      <c r="M307" s="68">
        <f>'Calendario G'!Y129</f>
        <v/>
      </c>
      <c r="N307" s="68">
        <f>'Calendario G'!Z129</f>
        <v/>
      </c>
    </row>
    <row r="308">
      <c r="A308" s="68">
        <f>'Calendario G'!M132</f>
        <v/>
      </c>
      <c r="B308" s="68">
        <f>'Calendario G'!N132</f>
        <v/>
      </c>
      <c r="C308" s="68">
        <f>'Calendario G'!O132</f>
        <v/>
      </c>
      <c r="D308" s="68">
        <f>'Calendario G'!P132</f>
        <v/>
      </c>
      <c r="E308" s="68">
        <f>'Calendario G'!Q132</f>
        <v/>
      </c>
      <c r="F308" s="68">
        <f>'Calendario G'!R132</f>
        <v/>
      </c>
      <c r="G308" s="68">
        <f>'Calendario G'!S132</f>
        <v/>
      </c>
      <c r="H308" s="68">
        <f>'Calendario G'!T132</f>
        <v/>
      </c>
      <c r="I308" s="68">
        <f>'Calendario G'!U132</f>
        <v/>
      </c>
      <c r="J308" s="68">
        <f>'Calendario G'!V132</f>
        <v/>
      </c>
      <c r="K308" s="68">
        <f>'Calendario G'!W132</f>
        <v/>
      </c>
      <c r="L308" s="68">
        <f>'Calendario G'!X132</f>
        <v/>
      </c>
      <c r="M308" s="68">
        <f>'Calendario G'!Y132</f>
        <v/>
      </c>
      <c r="N308" s="68">
        <f>'Calendario G'!Z132</f>
        <v/>
      </c>
    </row>
    <row r="309">
      <c r="A309" s="68">
        <f>'Calendario G'!M135</f>
        <v/>
      </c>
      <c r="B309" s="68">
        <f>'Calendario G'!N135</f>
        <v/>
      </c>
      <c r="C309" s="68">
        <f>'Calendario G'!O135</f>
        <v/>
      </c>
      <c r="D309" s="68">
        <f>'Calendario G'!P135</f>
        <v/>
      </c>
      <c r="E309" s="68">
        <f>'Calendario G'!Q135</f>
        <v/>
      </c>
      <c r="F309" s="68">
        <f>'Calendario G'!R135</f>
        <v/>
      </c>
      <c r="G309" s="68">
        <f>'Calendario G'!S135</f>
        <v/>
      </c>
      <c r="H309" s="68">
        <f>'Calendario G'!T135</f>
        <v/>
      </c>
      <c r="I309" s="68">
        <f>'Calendario G'!U135</f>
        <v/>
      </c>
      <c r="J309" s="68">
        <f>'Calendario G'!V135</f>
        <v/>
      </c>
      <c r="K309" s="68">
        <f>'Calendario G'!W135</f>
        <v/>
      </c>
      <c r="L309" s="68">
        <f>'Calendario G'!X135</f>
        <v/>
      </c>
      <c r="M309" s="68">
        <f>'Calendario G'!Y135</f>
        <v/>
      </c>
      <c r="N309" s="68">
        <f>'Calendario G'!Z135</f>
        <v/>
      </c>
    </row>
    <row r="310">
      <c r="A310" s="68">
        <f>'Calendario G'!M138</f>
        <v/>
      </c>
      <c r="B310" s="68">
        <f>'Calendario G'!N138</f>
        <v/>
      </c>
      <c r="C310" s="68">
        <f>'Calendario G'!O138</f>
        <v/>
      </c>
      <c r="D310" s="68">
        <f>'Calendario G'!P138</f>
        <v/>
      </c>
      <c r="E310" s="68">
        <f>'Calendario G'!Q138</f>
        <v/>
      </c>
      <c r="F310" s="68">
        <f>'Calendario G'!R138</f>
        <v/>
      </c>
      <c r="G310" s="68">
        <f>'Calendario G'!S138</f>
        <v/>
      </c>
      <c r="H310" s="68">
        <f>'Calendario G'!T138</f>
        <v/>
      </c>
      <c r="I310" s="68">
        <f>'Calendario G'!U138</f>
        <v/>
      </c>
      <c r="J310" s="68">
        <f>'Calendario G'!V138</f>
        <v/>
      </c>
      <c r="K310" s="68">
        <f>'Calendario G'!W138</f>
        <v/>
      </c>
      <c r="L310" s="68">
        <f>'Calendario G'!X138</f>
        <v/>
      </c>
      <c r="M310" s="68">
        <f>'Calendario G'!Y138</f>
        <v/>
      </c>
      <c r="N310" s="68">
        <f>'Calendario G'!Z138</f>
        <v/>
      </c>
    </row>
    <row r="311">
      <c r="A311" s="68">
        <f>'Calendario G'!M141</f>
        <v/>
      </c>
      <c r="B311" s="68">
        <f>'Calendario G'!N141</f>
        <v/>
      </c>
      <c r="C311" s="68">
        <f>'Calendario G'!O141</f>
        <v/>
      </c>
      <c r="D311" s="68">
        <f>'Calendario G'!P141</f>
        <v/>
      </c>
      <c r="E311" s="68">
        <f>'Calendario G'!Q141</f>
        <v/>
      </c>
      <c r="F311" s="68">
        <f>'Calendario G'!R141</f>
        <v/>
      </c>
      <c r="G311" s="68">
        <f>'Calendario G'!S141</f>
        <v/>
      </c>
      <c r="H311" s="68">
        <f>'Calendario G'!T141</f>
        <v/>
      </c>
      <c r="I311" s="68">
        <f>'Calendario G'!U141</f>
        <v/>
      </c>
      <c r="J311" s="68">
        <f>'Calendario G'!V141</f>
        <v/>
      </c>
      <c r="K311" s="68">
        <f>'Calendario G'!W141</f>
        <v/>
      </c>
      <c r="L311" s="68">
        <f>'Calendario G'!X141</f>
        <v/>
      </c>
      <c r="M311" s="68">
        <f>'Calendario G'!Y141</f>
        <v/>
      </c>
      <c r="N311" s="68">
        <f>'Calendario G'!Z141</f>
        <v/>
      </c>
    </row>
    <row r="312">
      <c r="A312" s="68">
        <f>'Calendario G'!M146</f>
        <v/>
      </c>
      <c r="B312" s="68">
        <f>'Calendario G'!N146</f>
        <v/>
      </c>
      <c r="C312" s="68">
        <f>'Calendario G'!O146</f>
        <v/>
      </c>
      <c r="D312" s="68">
        <f>'Calendario G'!P146</f>
        <v/>
      </c>
      <c r="E312" s="68">
        <f>'Calendario G'!Q146</f>
        <v/>
      </c>
      <c r="F312" s="68">
        <f>'Calendario G'!R146</f>
        <v/>
      </c>
      <c r="G312" s="68">
        <f>'Calendario G'!S146</f>
        <v/>
      </c>
      <c r="H312" s="68">
        <f>'Calendario G'!T146</f>
        <v/>
      </c>
      <c r="I312" s="68">
        <f>'Calendario G'!U146</f>
        <v/>
      </c>
      <c r="J312" s="68">
        <f>'Calendario G'!V146</f>
        <v/>
      </c>
      <c r="K312" s="68">
        <f>'Calendario G'!W146</f>
        <v/>
      </c>
      <c r="L312" s="68">
        <f>'Calendario G'!X146</f>
        <v/>
      </c>
      <c r="M312" s="68">
        <f>'Calendario G'!Y146</f>
        <v/>
      </c>
      <c r="N312" s="68">
        <f>'Calendario G'!Z146</f>
        <v/>
      </c>
    </row>
    <row r="313">
      <c r="A313" s="68">
        <f>'Calendario G'!M149</f>
        <v/>
      </c>
      <c r="B313" s="68">
        <f>'Calendario G'!N149</f>
        <v/>
      </c>
      <c r="C313" s="68">
        <f>'Calendario G'!O149</f>
        <v/>
      </c>
      <c r="D313" s="68">
        <f>'Calendario G'!P149</f>
        <v/>
      </c>
      <c r="E313" s="68">
        <f>'Calendario G'!Q149</f>
        <v/>
      </c>
      <c r="F313" s="68">
        <f>'Calendario G'!R149</f>
        <v/>
      </c>
      <c r="G313" s="68">
        <f>'Calendario G'!S149</f>
        <v/>
      </c>
      <c r="H313" s="68">
        <f>'Calendario G'!T149</f>
        <v/>
      </c>
      <c r="I313" s="68">
        <f>'Calendario G'!U149</f>
        <v/>
      </c>
      <c r="J313" s="68">
        <f>'Calendario G'!V149</f>
        <v/>
      </c>
      <c r="K313" s="68">
        <f>'Calendario G'!W149</f>
        <v/>
      </c>
      <c r="L313" s="68">
        <f>'Calendario G'!X149</f>
        <v/>
      </c>
      <c r="M313" s="68">
        <f>'Calendario G'!Y149</f>
        <v/>
      </c>
      <c r="N313" s="68">
        <f>'Calendario G'!Z149</f>
        <v/>
      </c>
    </row>
    <row r="314">
      <c r="A314" s="68">
        <f>'Calendario G'!M152</f>
        <v/>
      </c>
      <c r="B314" s="68">
        <f>'Calendario G'!N152</f>
        <v/>
      </c>
      <c r="C314" s="68">
        <f>'Calendario G'!O152</f>
        <v/>
      </c>
      <c r="D314" s="68">
        <f>'Calendario G'!P152</f>
        <v/>
      </c>
      <c r="E314" s="68">
        <f>'Calendario G'!Q152</f>
        <v/>
      </c>
      <c r="F314" s="68">
        <f>'Calendario G'!R152</f>
        <v/>
      </c>
      <c r="G314" s="68">
        <f>'Calendario G'!S152</f>
        <v/>
      </c>
      <c r="H314" s="68">
        <f>'Calendario G'!T152</f>
        <v/>
      </c>
      <c r="I314" s="68">
        <f>'Calendario G'!U152</f>
        <v/>
      </c>
      <c r="J314" s="68">
        <f>'Calendario G'!V152</f>
        <v/>
      </c>
      <c r="K314" s="68">
        <f>'Calendario G'!W152</f>
        <v/>
      </c>
      <c r="L314" s="68">
        <f>'Calendario G'!X152</f>
        <v/>
      </c>
      <c r="M314" s="68">
        <f>'Calendario G'!Y152</f>
        <v/>
      </c>
      <c r="N314" s="68">
        <f>'Calendario G'!Z152</f>
        <v/>
      </c>
    </row>
    <row r="315">
      <c r="A315" s="68">
        <f>'Calendario G'!M155</f>
        <v/>
      </c>
      <c r="B315" s="68">
        <f>'Calendario G'!N155</f>
        <v/>
      </c>
      <c r="C315" s="68">
        <f>'Calendario G'!O155</f>
        <v/>
      </c>
      <c r="D315" s="68">
        <f>'Calendario G'!P155</f>
        <v/>
      </c>
      <c r="E315" s="68">
        <f>'Calendario G'!Q155</f>
        <v/>
      </c>
      <c r="F315" s="68">
        <f>'Calendario G'!R155</f>
        <v/>
      </c>
      <c r="G315" s="68">
        <f>'Calendario G'!S155</f>
        <v/>
      </c>
      <c r="H315" s="68">
        <f>'Calendario G'!T155</f>
        <v/>
      </c>
      <c r="I315" s="68">
        <f>'Calendario G'!U155</f>
        <v/>
      </c>
      <c r="J315" s="68">
        <f>'Calendario G'!V155</f>
        <v/>
      </c>
      <c r="K315" s="68">
        <f>'Calendario G'!W155</f>
        <v/>
      </c>
      <c r="L315" s="68">
        <f>'Calendario G'!X155</f>
        <v/>
      </c>
      <c r="M315" s="68">
        <f>'Calendario G'!Y155</f>
        <v/>
      </c>
      <c r="N315" s="68">
        <f>'Calendario G'!Z155</f>
        <v/>
      </c>
    </row>
    <row r="316">
      <c r="A316" s="68">
        <f>'Calendario G'!M158</f>
        <v/>
      </c>
      <c r="B316" s="68">
        <f>'Calendario G'!N158</f>
        <v/>
      </c>
      <c r="C316" s="68">
        <f>'Calendario G'!O158</f>
        <v/>
      </c>
      <c r="D316" s="68">
        <f>'Calendario G'!P158</f>
        <v/>
      </c>
      <c r="E316" s="68">
        <f>'Calendario G'!Q158</f>
        <v/>
      </c>
      <c r="F316" s="68">
        <f>'Calendario G'!R158</f>
        <v/>
      </c>
      <c r="G316" s="68">
        <f>'Calendario G'!S158</f>
        <v/>
      </c>
      <c r="H316" s="68">
        <f>'Calendario G'!T158</f>
        <v/>
      </c>
      <c r="I316" s="68">
        <f>'Calendario G'!U158</f>
        <v/>
      </c>
      <c r="J316" s="68">
        <f>'Calendario G'!V158</f>
        <v/>
      </c>
      <c r="K316" s="68">
        <f>'Calendario G'!W158</f>
        <v/>
      </c>
      <c r="L316" s="68">
        <f>'Calendario G'!X158</f>
        <v/>
      </c>
      <c r="M316" s="68">
        <f>'Calendario G'!Y158</f>
        <v/>
      </c>
      <c r="N316" s="68">
        <f>'Calendario G'!Z158</f>
        <v/>
      </c>
    </row>
    <row r="317">
      <c r="A317" s="68">
        <f>'Calendario H'!M10</f>
        <v/>
      </c>
      <c r="B317" s="68">
        <f>'Calendario H'!N10</f>
        <v/>
      </c>
      <c r="C317" s="68">
        <f>'Calendario H'!O10</f>
        <v/>
      </c>
      <c r="D317" s="68">
        <f>'Calendario H'!P10</f>
        <v/>
      </c>
      <c r="E317" s="68">
        <f>'Calendario H'!Q10</f>
        <v/>
      </c>
      <c r="F317" s="68">
        <f>'Calendario H'!R10</f>
        <v/>
      </c>
      <c r="G317" s="68">
        <f>'Calendario H'!S10</f>
        <v/>
      </c>
      <c r="H317" s="68">
        <f>'Calendario H'!T10</f>
        <v/>
      </c>
      <c r="I317" s="68">
        <f>'Calendario H'!U10</f>
        <v/>
      </c>
      <c r="J317" s="68">
        <f>'Calendario H'!V10</f>
        <v/>
      </c>
      <c r="K317" s="68">
        <f>'Calendario H'!W10</f>
        <v/>
      </c>
      <c r="L317" s="68">
        <f>'Calendario H'!X10</f>
        <v/>
      </c>
      <c r="M317" s="68">
        <f>'Calendario H'!Y10</f>
        <v/>
      </c>
      <c r="N317" s="68">
        <f>'Calendario H'!Z10</f>
        <v/>
      </c>
    </row>
    <row r="318">
      <c r="A318" s="68">
        <f>'Calendario H'!M13</f>
        <v/>
      </c>
      <c r="B318" s="68">
        <f>'Calendario H'!N13</f>
        <v/>
      </c>
      <c r="C318" s="68">
        <f>'Calendario H'!O13</f>
        <v/>
      </c>
      <c r="D318" s="68">
        <f>'Calendario H'!P13</f>
        <v/>
      </c>
      <c r="E318" s="68">
        <f>'Calendario H'!Q13</f>
        <v/>
      </c>
      <c r="F318" s="68">
        <f>'Calendario H'!R13</f>
        <v/>
      </c>
      <c r="G318" s="68">
        <f>'Calendario H'!S13</f>
        <v/>
      </c>
      <c r="H318" s="68">
        <f>'Calendario H'!T13</f>
        <v/>
      </c>
      <c r="I318" s="68">
        <f>'Calendario H'!U13</f>
        <v/>
      </c>
      <c r="J318" s="68">
        <f>'Calendario H'!V13</f>
        <v/>
      </c>
      <c r="K318" s="68">
        <f>'Calendario H'!W13</f>
        <v/>
      </c>
      <c r="L318" s="68">
        <f>'Calendario H'!X13</f>
        <v/>
      </c>
      <c r="M318" s="68">
        <f>'Calendario H'!Y13</f>
        <v/>
      </c>
      <c r="N318" s="68">
        <f>'Calendario H'!Z13</f>
        <v/>
      </c>
    </row>
    <row r="319">
      <c r="A319" s="68">
        <f>'Calendario H'!M16</f>
        <v/>
      </c>
      <c r="B319" s="68">
        <f>'Calendario H'!N16</f>
        <v/>
      </c>
      <c r="C319" s="68">
        <f>'Calendario H'!O16</f>
        <v/>
      </c>
      <c r="D319" s="68">
        <f>'Calendario H'!P16</f>
        <v/>
      </c>
      <c r="E319" s="68">
        <f>'Calendario H'!Q16</f>
        <v/>
      </c>
      <c r="F319" s="68">
        <f>'Calendario H'!R16</f>
        <v/>
      </c>
      <c r="G319" s="68">
        <f>'Calendario H'!S16</f>
        <v/>
      </c>
      <c r="H319" s="68">
        <f>'Calendario H'!T16</f>
        <v/>
      </c>
      <c r="I319" s="68">
        <f>'Calendario H'!U16</f>
        <v/>
      </c>
      <c r="J319" s="68">
        <f>'Calendario H'!V16</f>
        <v/>
      </c>
      <c r="K319" s="68">
        <f>'Calendario H'!W16</f>
        <v/>
      </c>
      <c r="L319" s="68">
        <f>'Calendario H'!X16</f>
        <v/>
      </c>
      <c r="M319" s="68">
        <f>'Calendario H'!Y16</f>
        <v/>
      </c>
      <c r="N319" s="68">
        <f>'Calendario H'!Z16</f>
        <v/>
      </c>
    </row>
    <row r="320">
      <c r="A320" s="68">
        <f>'Calendario H'!M19</f>
        <v/>
      </c>
      <c r="B320" s="68">
        <f>'Calendario H'!N19</f>
        <v/>
      </c>
      <c r="C320" s="68">
        <f>'Calendario H'!O19</f>
        <v/>
      </c>
      <c r="D320" s="68">
        <f>'Calendario H'!P19</f>
        <v/>
      </c>
      <c r="E320" s="68">
        <f>'Calendario H'!Q19</f>
        <v/>
      </c>
      <c r="F320" s="68">
        <f>'Calendario H'!R19</f>
        <v/>
      </c>
      <c r="G320" s="68">
        <f>'Calendario H'!S19</f>
        <v/>
      </c>
      <c r="H320" s="68">
        <f>'Calendario H'!T19</f>
        <v/>
      </c>
      <c r="I320" s="68">
        <f>'Calendario H'!U19</f>
        <v/>
      </c>
      <c r="J320" s="68">
        <f>'Calendario H'!V19</f>
        <v/>
      </c>
      <c r="K320" s="68">
        <f>'Calendario H'!W19</f>
        <v/>
      </c>
      <c r="L320" s="68">
        <f>'Calendario H'!X19</f>
        <v/>
      </c>
      <c r="M320" s="68">
        <f>'Calendario H'!Y19</f>
        <v/>
      </c>
      <c r="N320" s="68">
        <f>'Calendario H'!Z19</f>
        <v/>
      </c>
    </row>
    <row r="321">
      <c r="A321" s="68">
        <f>'Calendario H'!M22</f>
        <v/>
      </c>
      <c r="B321" s="68">
        <f>'Calendario H'!N22</f>
        <v/>
      </c>
      <c r="C321" s="68">
        <f>'Calendario H'!O22</f>
        <v/>
      </c>
      <c r="D321" s="68">
        <f>'Calendario H'!P22</f>
        <v/>
      </c>
      <c r="E321" s="68">
        <f>'Calendario H'!Q22</f>
        <v/>
      </c>
      <c r="F321" s="68">
        <f>'Calendario H'!R22</f>
        <v/>
      </c>
      <c r="G321" s="68">
        <f>'Calendario H'!S22</f>
        <v/>
      </c>
      <c r="H321" s="68">
        <f>'Calendario H'!T22</f>
        <v/>
      </c>
      <c r="I321" s="68">
        <f>'Calendario H'!U22</f>
        <v/>
      </c>
      <c r="J321" s="68">
        <f>'Calendario H'!V22</f>
        <v/>
      </c>
      <c r="K321" s="68">
        <f>'Calendario H'!W22</f>
        <v/>
      </c>
      <c r="L321" s="68">
        <f>'Calendario H'!X22</f>
        <v/>
      </c>
      <c r="M321" s="68">
        <f>'Calendario H'!Y22</f>
        <v/>
      </c>
      <c r="N321" s="68">
        <f>'Calendario H'!Z22</f>
        <v/>
      </c>
    </row>
    <row r="322">
      <c r="A322" s="68">
        <f>'Calendario H'!M27</f>
        <v/>
      </c>
      <c r="B322" s="68">
        <f>'Calendario H'!N27</f>
        <v/>
      </c>
      <c r="C322" s="68">
        <f>'Calendario H'!O27</f>
        <v/>
      </c>
      <c r="D322" s="68">
        <f>'Calendario H'!P27</f>
        <v/>
      </c>
      <c r="E322" s="68">
        <f>'Calendario H'!Q27</f>
        <v/>
      </c>
      <c r="F322" s="68">
        <f>'Calendario H'!R27</f>
        <v/>
      </c>
      <c r="G322" s="68">
        <f>'Calendario H'!S27</f>
        <v/>
      </c>
      <c r="H322" s="68">
        <f>'Calendario H'!T27</f>
        <v/>
      </c>
      <c r="I322" s="68">
        <f>'Calendario H'!U27</f>
        <v/>
      </c>
      <c r="J322" s="68">
        <f>'Calendario H'!V27</f>
        <v/>
      </c>
      <c r="K322" s="68">
        <f>'Calendario H'!W27</f>
        <v/>
      </c>
      <c r="L322" s="68">
        <f>'Calendario H'!X27</f>
        <v/>
      </c>
      <c r="M322" s="68">
        <f>'Calendario H'!Y27</f>
        <v/>
      </c>
      <c r="N322" s="68">
        <f>'Calendario H'!Z27</f>
        <v/>
      </c>
    </row>
    <row r="323">
      <c r="A323" s="68">
        <f>'Calendario H'!M30</f>
        <v/>
      </c>
      <c r="B323" s="68">
        <f>'Calendario H'!N30</f>
        <v/>
      </c>
      <c r="C323" s="68">
        <f>'Calendario H'!O30</f>
        <v/>
      </c>
      <c r="D323" s="68">
        <f>'Calendario H'!P30</f>
        <v/>
      </c>
      <c r="E323" s="68">
        <f>'Calendario H'!Q30</f>
        <v/>
      </c>
      <c r="F323" s="68">
        <f>'Calendario H'!R30</f>
        <v/>
      </c>
      <c r="G323" s="68">
        <f>'Calendario H'!S30</f>
        <v/>
      </c>
      <c r="H323" s="68">
        <f>'Calendario H'!T30</f>
        <v/>
      </c>
      <c r="I323" s="68">
        <f>'Calendario H'!U30</f>
        <v/>
      </c>
      <c r="J323" s="68">
        <f>'Calendario H'!V30</f>
        <v/>
      </c>
      <c r="K323" s="68">
        <f>'Calendario H'!W30</f>
        <v/>
      </c>
      <c r="L323" s="68">
        <f>'Calendario H'!X30</f>
        <v/>
      </c>
      <c r="M323" s="68">
        <f>'Calendario H'!Y30</f>
        <v/>
      </c>
      <c r="N323" s="68">
        <f>'Calendario H'!Z30</f>
        <v/>
      </c>
    </row>
    <row r="324">
      <c r="A324" s="68">
        <f>'Calendario H'!M33</f>
        <v/>
      </c>
      <c r="B324" s="68">
        <f>'Calendario H'!N33</f>
        <v/>
      </c>
      <c r="C324" s="68">
        <f>'Calendario H'!O33</f>
        <v/>
      </c>
      <c r="D324" s="68">
        <f>'Calendario H'!P33</f>
        <v/>
      </c>
      <c r="E324" s="68">
        <f>'Calendario H'!Q33</f>
        <v/>
      </c>
      <c r="F324" s="68">
        <f>'Calendario H'!R33</f>
        <v/>
      </c>
      <c r="G324" s="68">
        <f>'Calendario H'!S33</f>
        <v/>
      </c>
      <c r="H324" s="68">
        <f>'Calendario H'!T33</f>
        <v/>
      </c>
      <c r="I324" s="68">
        <f>'Calendario H'!U33</f>
        <v/>
      </c>
      <c r="J324" s="68">
        <f>'Calendario H'!V33</f>
        <v/>
      </c>
      <c r="K324" s="68">
        <f>'Calendario H'!W33</f>
        <v/>
      </c>
      <c r="L324" s="68">
        <f>'Calendario H'!X33</f>
        <v/>
      </c>
      <c r="M324" s="68">
        <f>'Calendario H'!Y33</f>
        <v/>
      </c>
      <c r="N324" s="68">
        <f>'Calendario H'!Z33</f>
        <v/>
      </c>
    </row>
    <row r="325">
      <c r="A325" s="68">
        <f>'Calendario H'!M36</f>
        <v/>
      </c>
      <c r="B325" s="68">
        <f>'Calendario H'!N36</f>
        <v/>
      </c>
      <c r="C325" s="68">
        <f>'Calendario H'!O36</f>
        <v/>
      </c>
      <c r="D325" s="68">
        <f>'Calendario H'!P36</f>
        <v/>
      </c>
      <c r="E325" s="68">
        <f>'Calendario H'!Q36</f>
        <v/>
      </c>
      <c r="F325" s="68">
        <f>'Calendario H'!R36</f>
        <v/>
      </c>
      <c r="G325" s="68">
        <f>'Calendario H'!S36</f>
        <v/>
      </c>
      <c r="H325" s="68">
        <f>'Calendario H'!T36</f>
        <v/>
      </c>
      <c r="I325" s="68">
        <f>'Calendario H'!U36</f>
        <v/>
      </c>
      <c r="J325" s="68">
        <f>'Calendario H'!V36</f>
        <v/>
      </c>
      <c r="K325" s="68">
        <f>'Calendario H'!W36</f>
        <v/>
      </c>
      <c r="L325" s="68">
        <f>'Calendario H'!X36</f>
        <v/>
      </c>
      <c r="M325" s="68">
        <f>'Calendario H'!Y36</f>
        <v/>
      </c>
      <c r="N325" s="68">
        <f>'Calendario H'!Z36</f>
        <v/>
      </c>
    </row>
    <row r="326">
      <c r="A326" s="68">
        <f>'Calendario H'!M39</f>
        <v/>
      </c>
      <c r="B326" s="68">
        <f>'Calendario H'!N39</f>
        <v/>
      </c>
      <c r="C326" s="68">
        <f>'Calendario H'!O39</f>
        <v/>
      </c>
      <c r="D326" s="68">
        <f>'Calendario H'!P39</f>
        <v/>
      </c>
      <c r="E326" s="68">
        <f>'Calendario H'!Q39</f>
        <v/>
      </c>
      <c r="F326" s="68">
        <f>'Calendario H'!R39</f>
        <v/>
      </c>
      <c r="G326" s="68">
        <f>'Calendario H'!S39</f>
        <v/>
      </c>
      <c r="H326" s="68">
        <f>'Calendario H'!T39</f>
        <v/>
      </c>
      <c r="I326" s="68">
        <f>'Calendario H'!U39</f>
        <v/>
      </c>
      <c r="J326" s="68">
        <f>'Calendario H'!V39</f>
        <v/>
      </c>
      <c r="K326" s="68">
        <f>'Calendario H'!W39</f>
        <v/>
      </c>
      <c r="L326" s="68">
        <f>'Calendario H'!X39</f>
        <v/>
      </c>
      <c r="M326" s="68">
        <f>'Calendario H'!Y39</f>
        <v/>
      </c>
      <c r="N326" s="68">
        <f>'Calendario H'!Z39</f>
        <v/>
      </c>
    </row>
    <row r="327">
      <c r="A327" s="68">
        <f>'Calendario H'!M44</f>
        <v/>
      </c>
      <c r="B327" s="68">
        <f>'Calendario H'!N44</f>
        <v/>
      </c>
      <c r="C327" s="68">
        <f>'Calendario H'!O44</f>
        <v/>
      </c>
      <c r="D327" s="68">
        <f>'Calendario H'!P44</f>
        <v/>
      </c>
      <c r="E327" s="68">
        <f>'Calendario H'!Q44</f>
        <v/>
      </c>
      <c r="F327" s="68">
        <f>'Calendario H'!R44</f>
        <v/>
      </c>
      <c r="G327" s="68">
        <f>'Calendario H'!S44</f>
        <v/>
      </c>
      <c r="H327" s="68">
        <f>'Calendario H'!T44</f>
        <v/>
      </c>
      <c r="I327" s="68">
        <f>'Calendario H'!U44</f>
        <v/>
      </c>
      <c r="J327" s="68">
        <f>'Calendario H'!V44</f>
        <v/>
      </c>
      <c r="K327" s="68">
        <f>'Calendario H'!W44</f>
        <v/>
      </c>
      <c r="L327" s="68">
        <f>'Calendario H'!X44</f>
        <v/>
      </c>
      <c r="M327" s="68">
        <f>'Calendario H'!Y44</f>
        <v/>
      </c>
      <c r="N327" s="68">
        <f>'Calendario H'!Z44</f>
        <v/>
      </c>
    </row>
    <row r="328">
      <c r="A328" s="68">
        <f>'Calendario H'!M47</f>
        <v/>
      </c>
      <c r="B328" s="68">
        <f>'Calendario H'!N47</f>
        <v/>
      </c>
      <c r="C328" s="68">
        <f>'Calendario H'!O47</f>
        <v/>
      </c>
      <c r="D328" s="68">
        <f>'Calendario H'!P47</f>
        <v/>
      </c>
      <c r="E328" s="68">
        <f>'Calendario H'!Q47</f>
        <v/>
      </c>
      <c r="F328" s="68">
        <f>'Calendario H'!R47</f>
        <v/>
      </c>
      <c r="G328" s="68">
        <f>'Calendario H'!S47</f>
        <v/>
      </c>
      <c r="H328" s="68">
        <f>'Calendario H'!T47</f>
        <v/>
      </c>
      <c r="I328" s="68">
        <f>'Calendario H'!U47</f>
        <v/>
      </c>
      <c r="J328" s="68">
        <f>'Calendario H'!V47</f>
        <v/>
      </c>
      <c r="K328" s="68">
        <f>'Calendario H'!W47</f>
        <v/>
      </c>
      <c r="L328" s="68">
        <f>'Calendario H'!X47</f>
        <v/>
      </c>
      <c r="M328" s="68">
        <f>'Calendario H'!Y47</f>
        <v/>
      </c>
      <c r="N328" s="68">
        <f>'Calendario H'!Z47</f>
        <v/>
      </c>
    </row>
    <row r="329">
      <c r="A329" s="68">
        <f>'Calendario H'!M50</f>
        <v/>
      </c>
      <c r="B329" s="68">
        <f>'Calendario H'!N50</f>
        <v/>
      </c>
      <c r="C329" s="68">
        <f>'Calendario H'!O50</f>
        <v/>
      </c>
      <c r="D329" s="68">
        <f>'Calendario H'!P50</f>
        <v/>
      </c>
      <c r="E329" s="68">
        <f>'Calendario H'!Q50</f>
        <v/>
      </c>
      <c r="F329" s="68">
        <f>'Calendario H'!R50</f>
        <v/>
      </c>
      <c r="G329" s="68">
        <f>'Calendario H'!S50</f>
        <v/>
      </c>
      <c r="H329" s="68">
        <f>'Calendario H'!T50</f>
        <v/>
      </c>
      <c r="I329" s="68">
        <f>'Calendario H'!U50</f>
        <v/>
      </c>
      <c r="J329" s="68">
        <f>'Calendario H'!V50</f>
        <v/>
      </c>
      <c r="K329" s="68">
        <f>'Calendario H'!W50</f>
        <v/>
      </c>
      <c r="L329" s="68">
        <f>'Calendario H'!X50</f>
        <v/>
      </c>
      <c r="M329" s="68">
        <f>'Calendario H'!Y50</f>
        <v/>
      </c>
      <c r="N329" s="68">
        <f>'Calendario H'!Z50</f>
        <v/>
      </c>
    </row>
    <row r="330">
      <c r="A330" s="68">
        <f>'Calendario H'!M53</f>
        <v/>
      </c>
      <c r="B330" s="68">
        <f>'Calendario H'!N53</f>
        <v/>
      </c>
      <c r="C330" s="68">
        <f>'Calendario H'!O53</f>
        <v/>
      </c>
      <c r="D330" s="68">
        <f>'Calendario H'!P53</f>
        <v/>
      </c>
      <c r="E330" s="68">
        <f>'Calendario H'!Q53</f>
        <v/>
      </c>
      <c r="F330" s="68">
        <f>'Calendario H'!R53</f>
        <v/>
      </c>
      <c r="G330" s="68">
        <f>'Calendario H'!S53</f>
        <v/>
      </c>
      <c r="H330" s="68">
        <f>'Calendario H'!T53</f>
        <v/>
      </c>
      <c r="I330" s="68">
        <f>'Calendario H'!U53</f>
        <v/>
      </c>
      <c r="J330" s="68">
        <f>'Calendario H'!V53</f>
        <v/>
      </c>
      <c r="K330" s="68">
        <f>'Calendario H'!W53</f>
        <v/>
      </c>
      <c r="L330" s="68">
        <f>'Calendario H'!X53</f>
        <v/>
      </c>
      <c r="M330" s="68">
        <f>'Calendario H'!Y53</f>
        <v/>
      </c>
      <c r="N330" s="68">
        <f>'Calendario H'!Z53</f>
        <v/>
      </c>
    </row>
    <row r="331">
      <c r="A331" s="68">
        <f>'Calendario H'!M56</f>
        <v/>
      </c>
      <c r="B331" s="68">
        <f>'Calendario H'!N56</f>
        <v/>
      </c>
      <c r="C331" s="68">
        <f>'Calendario H'!O56</f>
        <v/>
      </c>
      <c r="D331" s="68">
        <f>'Calendario H'!P56</f>
        <v/>
      </c>
      <c r="E331" s="68">
        <f>'Calendario H'!Q56</f>
        <v/>
      </c>
      <c r="F331" s="68">
        <f>'Calendario H'!R56</f>
        <v/>
      </c>
      <c r="G331" s="68">
        <f>'Calendario H'!S56</f>
        <v/>
      </c>
      <c r="H331" s="68">
        <f>'Calendario H'!T56</f>
        <v/>
      </c>
      <c r="I331" s="68">
        <f>'Calendario H'!U56</f>
        <v/>
      </c>
      <c r="J331" s="68">
        <f>'Calendario H'!V56</f>
        <v/>
      </c>
      <c r="K331" s="68">
        <f>'Calendario H'!W56</f>
        <v/>
      </c>
      <c r="L331" s="68">
        <f>'Calendario H'!X56</f>
        <v/>
      </c>
      <c r="M331" s="68">
        <f>'Calendario H'!Y56</f>
        <v/>
      </c>
      <c r="N331" s="68">
        <f>'Calendario H'!Z56</f>
        <v/>
      </c>
    </row>
    <row r="332">
      <c r="A332" s="68">
        <f>'Calendario H'!M61</f>
        <v/>
      </c>
      <c r="B332" s="68">
        <f>'Calendario H'!N61</f>
        <v/>
      </c>
      <c r="C332" s="68">
        <f>'Calendario H'!O61</f>
        <v/>
      </c>
      <c r="D332" s="68">
        <f>'Calendario H'!P61</f>
        <v/>
      </c>
      <c r="E332" s="68">
        <f>'Calendario H'!Q61</f>
        <v/>
      </c>
      <c r="F332" s="68">
        <f>'Calendario H'!R61</f>
        <v/>
      </c>
      <c r="G332" s="68">
        <f>'Calendario H'!S61</f>
        <v/>
      </c>
      <c r="H332" s="68">
        <f>'Calendario H'!T61</f>
        <v/>
      </c>
      <c r="I332" s="68">
        <f>'Calendario H'!U61</f>
        <v/>
      </c>
      <c r="J332" s="68">
        <f>'Calendario H'!V61</f>
        <v/>
      </c>
      <c r="K332" s="68">
        <f>'Calendario H'!W61</f>
        <v/>
      </c>
      <c r="L332" s="68">
        <f>'Calendario H'!X61</f>
        <v/>
      </c>
      <c r="M332" s="68">
        <f>'Calendario H'!Y61</f>
        <v/>
      </c>
      <c r="N332" s="68">
        <f>'Calendario H'!Z61</f>
        <v/>
      </c>
    </row>
    <row r="333">
      <c r="A333" s="68">
        <f>'Calendario H'!M64</f>
        <v/>
      </c>
      <c r="B333" s="68">
        <f>'Calendario H'!N64</f>
        <v/>
      </c>
      <c r="C333" s="68">
        <f>'Calendario H'!O64</f>
        <v/>
      </c>
      <c r="D333" s="68">
        <f>'Calendario H'!P64</f>
        <v/>
      </c>
      <c r="E333" s="68">
        <f>'Calendario H'!Q64</f>
        <v/>
      </c>
      <c r="F333" s="68">
        <f>'Calendario H'!R64</f>
        <v/>
      </c>
      <c r="G333" s="68">
        <f>'Calendario H'!S64</f>
        <v/>
      </c>
      <c r="H333" s="68">
        <f>'Calendario H'!T64</f>
        <v/>
      </c>
      <c r="I333" s="68">
        <f>'Calendario H'!U64</f>
        <v/>
      </c>
      <c r="J333" s="68">
        <f>'Calendario H'!V64</f>
        <v/>
      </c>
      <c r="K333" s="68">
        <f>'Calendario H'!W64</f>
        <v/>
      </c>
      <c r="L333" s="68">
        <f>'Calendario H'!X64</f>
        <v/>
      </c>
      <c r="M333" s="68">
        <f>'Calendario H'!Y64</f>
        <v/>
      </c>
      <c r="N333" s="68">
        <f>'Calendario H'!Z64</f>
        <v/>
      </c>
    </row>
    <row r="334">
      <c r="A334" s="68">
        <f>'Calendario H'!M67</f>
        <v/>
      </c>
      <c r="B334" s="68">
        <f>'Calendario H'!N67</f>
        <v/>
      </c>
      <c r="C334" s="68">
        <f>'Calendario H'!O67</f>
        <v/>
      </c>
      <c r="D334" s="68">
        <f>'Calendario H'!P67</f>
        <v/>
      </c>
      <c r="E334" s="68">
        <f>'Calendario H'!Q67</f>
        <v/>
      </c>
      <c r="F334" s="68">
        <f>'Calendario H'!R67</f>
        <v/>
      </c>
      <c r="G334" s="68">
        <f>'Calendario H'!S67</f>
        <v/>
      </c>
      <c r="H334" s="68">
        <f>'Calendario H'!T67</f>
        <v/>
      </c>
      <c r="I334" s="68">
        <f>'Calendario H'!U67</f>
        <v/>
      </c>
      <c r="J334" s="68">
        <f>'Calendario H'!V67</f>
        <v/>
      </c>
      <c r="K334" s="68">
        <f>'Calendario H'!W67</f>
        <v/>
      </c>
      <c r="L334" s="68">
        <f>'Calendario H'!X67</f>
        <v/>
      </c>
      <c r="M334" s="68">
        <f>'Calendario H'!Y67</f>
        <v/>
      </c>
      <c r="N334" s="68">
        <f>'Calendario H'!Z67</f>
        <v/>
      </c>
    </row>
    <row r="335">
      <c r="A335" s="68">
        <f>'Calendario H'!M70</f>
        <v/>
      </c>
      <c r="B335" s="68">
        <f>'Calendario H'!N70</f>
        <v/>
      </c>
      <c r="C335" s="68">
        <f>'Calendario H'!O70</f>
        <v/>
      </c>
      <c r="D335" s="68">
        <f>'Calendario H'!P70</f>
        <v/>
      </c>
      <c r="E335" s="68">
        <f>'Calendario H'!Q70</f>
        <v/>
      </c>
      <c r="F335" s="68">
        <f>'Calendario H'!R70</f>
        <v/>
      </c>
      <c r="G335" s="68">
        <f>'Calendario H'!S70</f>
        <v/>
      </c>
      <c r="H335" s="68">
        <f>'Calendario H'!T70</f>
        <v/>
      </c>
      <c r="I335" s="68">
        <f>'Calendario H'!U70</f>
        <v/>
      </c>
      <c r="J335" s="68">
        <f>'Calendario H'!V70</f>
        <v/>
      </c>
      <c r="K335" s="68">
        <f>'Calendario H'!W70</f>
        <v/>
      </c>
      <c r="L335" s="68">
        <f>'Calendario H'!X70</f>
        <v/>
      </c>
      <c r="M335" s="68">
        <f>'Calendario H'!Y70</f>
        <v/>
      </c>
      <c r="N335" s="68">
        <f>'Calendario H'!Z70</f>
        <v/>
      </c>
    </row>
    <row r="336">
      <c r="A336" s="68">
        <f>'Calendario H'!M73</f>
        <v/>
      </c>
      <c r="B336" s="68">
        <f>'Calendario H'!N73</f>
        <v/>
      </c>
      <c r="C336" s="68">
        <f>'Calendario H'!O73</f>
        <v/>
      </c>
      <c r="D336" s="68">
        <f>'Calendario H'!P73</f>
        <v/>
      </c>
      <c r="E336" s="68">
        <f>'Calendario H'!Q73</f>
        <v/>
      </c>
      <c r="F336" s="68">
        <f>'Calendario H'!R73</f>
        <v/>
      </c>
      <c r="G336" s="68">
        <f>'Calendario H'!S73</f>
        <v/>
      </c>
      <c r="H336" s="68">
        <f>'Calendario H'!T73</f>
        <v/>
      </c>
      <c r="I336" s="68">
        <f>'Calendario H'!U73</f>
        <v/>
      </c>
      <c r="J336" s="68">
        <f>'Calendario H'!V73</f>
        <v/>
      </c>
      <c r="K336" s="68">
        <f>'Calendario H'!W73</f>
        <v/>
      </c>
      <c r="L336" s="68">
        <f>'Calendario H'!X73</f>
        <v/>
      </c>
      <c r="M336" s="68">
        <f>'Calendario H'!Y73</f>
        <v/>
      </c>
      <c r="N336" s="68">
        <f>'Calendario H'!Z73</f>
        <v/>
      </c>
    </row>
    <row r="337">
      <c r="A337" s="68">
        <f>'Calendario H'!M78</f>
        <v/>
      </c>
      <c r="B337" s="68">
        <f>'Calendario H'!N78</f>
        <v/>
      </c>
      <c r="C337" s="68">
        <f>'Calendario H'!O78</f>
        <v/>
      </c>
      <c r="D337" s="68">
        <f>'Calendario H'!P78</f>
        <v/>
      </c>
      <c r="E337" s="68">
        <f>'Calendario H'!Q78</f>
        <v/>
      </c>
      <c r="F337" s="68">
        <f>'Calendario H'!R78</f>
        <v/>
      </c>
      <c r="G337" s="68">
        <f>'Calendario H'!S78</f>
        <v/>
      </c>
      <c r="H337" s="68">
        <f>'Calendario H'!T78</f>
        <v/>
      </c>
      <c r="I337" s="68">
        <f>'Calendario H'!U78</f>
        <v/>
      </c>
      <c r="J337" s="68">
        <f>'Calendario H'!V78</f>
        <v/>
      </c>
      <c r="K337" s="68">
        <f>'Calendario H'!W78</f>
        <v/>
      </c>
      <c r="L337" s="68">
        <f>'Calendario H'!X78</f>
        <v/>
      </c>
      <c r="M337" s="68">
        <f>'Calendario H'!Y78</f>
        <v/>
      </c>
      <c r="N337" s="68">
        <f>'Calendario H'!Z78</f>
        <v/>
      </c>
    </row>
    <row r="338">
      <c r="A338" s="68">
        <f>'Calendario H'!M81</f>
        <v/>
      </c>
      <c r="B338" s="68">
        <f>'Calendario H'!N81</f>
        <v/>
      </c>
      <c r="C338" s="68">
        <f>'Calendario H'!O81</f>
        <v/>
      </c>
      <c r="D338" s="68">
        <f>'Calendario H'!P81</f>
        <v/>
      </c>
      <c r="E338" s="68">
        <f>'Calendario H'!Q81</f>
        <v/>
      </c>
      <c r="F338" s="68">
        <f>'Calendario H'!R81</f>
        <v/>
      </c>
      <c r="G338" s="68">
        <f>'Calendario H'!S81</f>
        <v/>
      </c>
      <c r="H338" s="68">
        <f>'Calendario H'!T81</f>
        <v/>
      </c>
      <c r="I338" s="68">
        <f>'Calendario H'!U81</f>
        <v/>
      </c>
      <c r="J338" s="68">
        <f>'Calendario H'!V81</f>
        <v/>
      </c>
      <c r="K338" s="68">
        <f>'Calendario H'!W81</f>
        <v/>
      </c>
      <c r="L338" s="68">
        <f>'Calendario H'!X81</f>
        <v/>
      </c>
      <c r="M338" s="68">
        <f>'Calendario H'!Y81</f>
        <v/>
      </c>
      <c r="N338" s="68">
        <f>'Calendario H'!Z81</f>
        <v/>
      </c>
    </row>
    <row r="339">
      <c r="A339" s="68">
        <f>'Calendario H'!M84</f>
        <v/>
      </c>
      <c r="B339" s="68">
        <f>'Calendario H'!N84</f>
        <v/>
      </c>
      <c r="C339" s="68">
        <f>'Calendario H'!O84</f>
        <v/>
      </c>
      <c r="D339" s="68">
        <f>'Calendario H'!P84</f>
        <v/>
      </c>
      <c r="E339" s="68">
        <f>'Calendario H'!Q84</f>
        <v/>
      </c>
      <c r="F339" s="68">
        <f>'Calendario H'!R84</f>
        <v/>
      </c>
      <c r="G339" s="68">
        <f>'Calendario H'!S84</f>
        <v/>
      </c>
      <c r="H339" s="68">
        <f>'Calendario H'!T84</f>
        <v/>
      </c>
      <c r="I339" s="68">
        <f>'Calendario H'!U84</f>
        <v/>
      </c>
      <c r="J339" s="68">
        <f>'Calendario H'!V84</f>
        <v/>
      </c>
      <c r="K339" s="68">
        <f>'Calendario H'!W84</f>
        <v/>
      </c>
      <c r="L339" s="68">
        <f>'Calendario H'!X84</f>
        <v/>
      </c>
      <c r="M339" s="68">
        <f>'Calendario H'!Y84</f>
        <v/>
      </c>
      <c r="N339" s="68">
        <f>'Calendario H'!Z84</f>
        <v/>
      </c>
    </row>
    <row r="340">
      <c r="A340" s="68">
        <f>'Calendario H'!M87</f>
        <v/>
      </c>
      <c r="B340" s="68">
        <f>'Calendario H'!N87</f>
        <v/>
      </c>
      <c r="C340" s="68">
        <f>'Calendario H'!O87</f>
        <v/>
      </c>
      <c r="D340" s="68">
        <f>'Calendario H'!P87</f>
        <v/>
      </c>
      <c r="E340" s="68">
        <f>'Calendario H'!Q87</f>
        <v/>
      </c>
      <c r="F340" s="68">
        <f>'Calendario H'!R87</f>
        <v/>
      </c>
      <c r="G340" s="68">
        <f>'Calendario H'!S87</f>
        <v/>
      </c>
      <c r="H340" s="68">
        <f>'Calendario H'!T87</f>
        <v/>
      </c>
      <c r="I340" s="68">
        <f>'Calendario H'!U87</f>
        <v/>
      </c>
      <c r="J340" s="68">
        <f>'Calendario H'!V87</f>
        <v/>
      </c>
      <c r="K340" s="68">
        <f>'Calendario H'!W87</f>
        <v/>
      </c>
      <c r="L340" s="68">
        <f>'Calendario H'!X87</f>
        <v/>
      </c>
      <c r="M340" s="68">
        <f>'Calendario H'!Y87</f>
        <v/>
      </c>
      <c r="N340" s="68">
        <f>'Calendario H'!Z87</f>
        <v/>
      </c>
    </row>
    <row r="341">
      <c r="A341" s="68">
        <f>'Calendario H'!M90</f>
        <v/>
      </c>
      <c r="B341" s="68">
        <f>'Calendario H'!N90</f>
        <v/>
      </c>
      <c r="C341" s="68">
        <f>'Calendario H'!O90</f>
        <v/>
      </c>
      <c r="D341" s="68">
        <f>'Calendario H'!P90</f>
        <v/>
      </c>
      <c r="E341" s="68">
        <f>'Calendario H'!Q90</f>
        <v/>
      </c>
      <c r="F341" s="68">
        <f>'Calendario H'!R90</f>
        <v/>
      </c>
      <c r="G341" s="68">
        <f>'Calendario H'!S90</f>
        <v/>
      </c>
      <c r="H341" s="68">
        <f>'Calendario H'!T90</f>
        <v/>
      </c>
      <c r="I341" s="68">
        <f>'Calendario H'!U90</f>
        <v/>
      </c>
      <c r="J341" s="68">
        <f>'Calendario H'!V90</f>
        <v/>
      </c>
      <c r="K341" s="68">
        <f>'Calendario H'!W90</f>
        <v/>
      </c>
      <c r="L341" s="68">
        <f>'Calendario H'!X90</f>
        <v/>
      </c>
      <c r="M341" s="68">
        <f>'Calendario H'!Y90</f>
        <v/>
      </c>
      <c r="N341" s="68">
        <f>'Calendario H'!Z90</f>
        <v/>
      </c>
    </row>
    <row r="342">
      <c r="A342" s="68">
        <f>'Calendario H'!M95</f>
        <v/>
      </c>
      <c r="B342" s="68">
        <f>'Calendario H'!N95</f>
        <v/>
      </c>
      <c r="C342" s="68">
        <f>'Calendario H'!O95</f>
        <v/>
      </c>
      <c r="D342" s="68">
        <f>'Calendario H'!P95</f>
        <v/>
      </c>
      <c r="E342" s="68">
        <f>'Calendario H'!Q95</f>
        <v/>
      </c>
      <c r="F342" s="68">
        <f>'Calendario H'!R95</f>
        <v/>
      </c>
      <c r="G342" s="68">
        <f>'Calendario H'!S95</f>
        <v/>
      </c>
      <c r="H342" s="68">
        <f>'Calendario H'!T95</f>
        <v/>
      </c>
      <c r="I342" s="68">
        <f>'Calendario H'!U95</f>
        <v/>
      </c>
      <c r="J342" s="68">
        <f>'Calendario H'!V95</f>
        <v/>
      </c>
      <c r="K342" s="68">
        <f>'Calendario H'!W95</f>
        <v/>
      </c>
      <c r="L342" s="68">
        <f>'Calendario H'!X95</f>
        <v/>
      </c>
      <c r="M342" s="68">
        <f>'Calendario H'!Y95</f>
        <v/>
      </c>
      <c r="N342" s="68">
        <f>'Calendario H'!Z95</f>
        <v/>
      </c>
    </row>
    <row r="343">
      <c r="A343" s="68">
        <f>'Calendario H'!M98</f>
        <v/>
      </c>
      <c r="B343" s="68">
        <f>'Calendario H'!N98</f>
        <v/>
      </c>
      <c r="C343" s="68">
        <f>'Calendario H'!O98</f>
        <v/>
      </c>
      <c r="D343" s="68">
        <f>'Calendario H'!P98</f>
        <v/>
      </c>
      <c r="E343" s="68">
        <f>'Calendario H'!Q98</f>
        <v/>
      </c>
      <c r="F343" s="68">
        <f>'Calendario H'!R98</f>
        <v/>
      </c>
      <c r="G343" s="68">
        <f>'Calendario H'!S98</f>
        <v/>
      </c>
      <c r="H343" s="68">
        <f>'Calendario H'!T98</f>
        <v/>
      </c>
      <c r="I343" s="68">
        <f>'Calendario H'!U98</f>
        <v/>
      </c>
      <c r="J343" s="68">
        <f>'Calendario H'!V98</f>
        <v/>
      </c>
      <c r="K343" s="68">
        <f>'Calendario H'!W98</f>
        <v/>
      </c>
      <c r="L343" s="68">
        <f>'Calendario H'!X98</f>
        <v/>
      </c>
      <c r="M343" s="68">
        <f>'Calendario H'!Y98</f>
        <v/>
      </c>
      <c r="N343" s="68">
        <f>'Calendario H'!Z98</f>
        <v/>
      </c>
    </row>
    <row r="344">
      <c r="A344" s="68">
        <f>'Calendario H'!M101</f>
        <v/>
      </c>
      <c r="B344" s="68">
        <f>'Calendario H'!N101</f>
        <v/>
      </c>
      <c r="C344" s="68">
        <f>'Calendario H'!O101</f>
        <v/>
      </c>
      <c r="D344" s="68">
        <f>'Calendario H'!P101</f>
        <v/>
      </c>
      <c r="E344" s="68">
        <f>'Calendario H'!Q101</f>
        <v/>
      </c>
      <c r="F344" s="68">
        <f>'Calendario H'!R101</f>
        <v/>
      </c>
      <c r="G344" s="68">
        <f>'Calendario H'!S101</f>
        <v/>
      </c>
      <c r="H344" s="68">
        <f>'Calendario H'!T101</f>
        <v/>
      </c>
      <c r="I344" s="68">
        <f>'Calendario H'!U101</f>
        <v/>
      </c>
      <c r="J344" s="68">
        <f>'Calendario H'!V101</f>
        <v/>
      </c>
      <c r="K344" s="68">
        <f>'Calendario H'!W101</f>
        <v/>
      </c>
      <c r="L344" s="68">
        <f>'Calendario H'!X101</f>
        <v/>
      </c>
      <c r="M344" s="68">
        <f>'Calendario H'!Y101</f>
        <v/>
      </c>
      <c r="N344" s="68">
        <f>'Calendario H'!Z101</f>
        <v/>
      </c>
    </row>
    <row r="345">
      <c r="A345" s="68">
        <f>'Calendario H'!M104</f>
        <v/>
      </c>
      <c r="B345" s="68">
        <f>'Calendario H'!N104</f>
        <v/>
      </c>
      <c r="C345" s="68">
        <f>'Calendario H'!O104</f>
        <v/>
      </c>
      <c r="D345" s="68">
        <f>'Calendario H'!P104</f>
        <v/>
      </c>
      <c r="E345" s="68">
        <f>'Calendario H'!Q104</f>
        <v/>
      </c>
      <c r="F345" s="68">
        <f>'Calendario H'!R104</f>
        <v/>
      </c>
      <c r="G345" s="68">
        <f>'Calendario H'!S104</f>
        <v/>
      </c>
      <c r="H345" s="68">
        <f>'Calendario H'!T104</f>
        <v/>
      </c>
      <c r="I345" s="68">
        <f>'Calendario H'!U104</f>
        <v/>
      </c>
      <c r="J345" s="68">
        <f>'Calendario H'!V104</f>
        <v/>
      </c>
      <c r="K345" s="68">
        <f>'Calendario H'!W104</f>
        <v/>
      </c>
      <c r="L345" s="68">
        <f>'Calendario H'!X104</f>
        <v/>
      </c>
      <c r="M345" s="68">
        <f>'Calendario H'!Y104</f>
        <v/>
      </c>
      <c r="N345" s="68">
        <f>'Calendario H'!Z104</f>
        <v/>
      </c>
    </row>
    <row r="346">
      <c r="A346" s="68">
        <f>'Calendario H'!M107</f>
        <v/>
      </c>
      <c r="B346" s="68">
        <f>'Calendario H'!N107</f>
        <v/>
      </c>
      <c r="C346" s="68">
        <f>'Calendario H'!O107</f>
        <v/>
      </c>
      <c r="D346" s="68">
        <f>'Calendario H'!P107</f>
        <v/>
      </c>
      <c r="E346" s="68">
        <f>'Calendario H'!Q107</f>
        <v/>
      </c>
      <c r="F346" s="68">
        <f>'Calendario H'!R107</f>
        <v/>
      </c>
      <c r="G346" s="68">
        <f>'Calendario H'!S107</f>
        <v/>
      </c>
      <c r="H346" s="68">
        <f>'Calendario H'!T107</f>
        <v/>
      </c>
      <c r="I346" s="68">
        <f>'Calendario H'!U107</f>
        <v/>
      </c>
      <c r="J346" s="68">
        <f>'Calendario H'!V107</f>
        <v/>
      </c>
      <c r="K346" s="68">
        <f>'Calendario H'!W107</f>
        <v/>
      </c>
      <c r="L346" s="68">
        <f>'Calendario H'!X107</f>
        <v/>
      </c>
      <c r="M346" s="68">
        <f>'Calendario H'!Y107</f>
        <v/>
      </c>
      <c r="N346" s="68">
        <f>'Calendario H'!Z107</f>
        <v/>
      </c>
    </row>
    <row r="347">
      <c r="A347" s="68">
        <f>'Calendario H'!M112</f>
        <v/>
      </c>
      <c r="B347" s="68">
        <f>'Calendario H'!N112</f>
        <v/>
      </c>
      <c r="C347" s="68">
        <f>'Calendario H'!O112</f>
        <v/>
      </c>
      <c r="D347" s="68">
        <f>'Calendario H'!P112</f>
        <v/>
      </c>
      <c r="E347" s="68">
        <f>'Calendario H'!Q112</f>
        <v/>
      </c>
      <c r="F347" s="68">
        <f>'Calendario H'!R112</f>
        <v/>
      </c>
      <c r="G347" s="68">
        <f>'Calendario H'!S112</f>
        <v/>
      </c>
      <c r="H347" s="68">
        <f>'Calendario H'!T112</f>
        <v/>
      </c>
      <c r="I347" s="68">
        <f>'Calendario H'!U112</f>
        <v/>
      </c>
      <c r="J347" s="68">
        <f>'Calendario H'!V112</f>
        <v/>
      </c>
      <c r="K347" s="68">
        <f>'Calendario H'!W112</f>
        <v/>
      </c>
      <c r="L347" s="68">
        <f>'Calendario H'!X112</f>
        <v/>
      </c>
      <c r="M347" s="68">
        <f>'Calendario H'!Y112</f>
        <v/>
      </c>
      <c r="N347" s="68">
        <f>'Calendario H'!Z112</f>
        <v/>
      </c>
    </row>
    <row r="348">
      <c r="A348" s="68">
        <f>'Calendario H'!M115</f>
        <v/>
      </c>
      <c r="B348" s="68">
        <f>'Calendario H'!N115</f>
        <v/>
      </c>
      <c r="C348" s="68">
        <f>'Calendario H'!O115</f>
        <v/>
      </c>
      <c r="D348" s="68">
        <f>'Calendario H'!P115</f>
        <v/>
      </c>
      <c r="E348" s="68">
        <f>'Calendario H'!Q115</f>
        <v/>
      </c>
      <c r="F348" s="68">
        <f>'Calendario H'!R115</f>
        <v/>
      </c>
      <c r="G348" s="68">
        <f>'Calendario H'!S115</f>
        <v/>
      </c>
      <c r="H348" s="68">
        <f>'Calendario H'!T115</f>
        <v/>
      </c>
      <c r="I348" s="68">
        <f>'Calendario H'!U115</f>
        <v/>
      </c>
      <c r="J348" s="68">
        <f>'Calendario H'!V115</f>
        <v/>
      </c>
      <c r="K348" s="68">
        <f>'Calendario H'!W115</f>
        <v/>
      </c>
      <c r="L348" s="68">
        <f>'Calendario H'!X115</f>
        <v/>
      </c>
      <c r="M348" s="68">
        <f>'Calendario H'!Y115</f>
        <v/>
      </c>
      <c r="N348" s="68">
        <f>'Calendario H'!Z115</f>
        <v/>
      </c>
    </row>
    <row r="349">
      <c r="A349" s="68">
        <f>'Calendario H'!M118</f>
        <v/>
      </c>
      <c r="B349" s="68">
        <f>'Calendario H'!N118</f>
        <v/>
      </c>
      <c r="C349" s="68">
        <f>'Calendario H'!O118</f>
        <v/>
      </c>
      <c r="D349" s="68">
        <f>'Calendario H'!P118</f>
        <v/>
      </c>
      <c r="E349" s="68">
        <f>'Calendario H'!Q118</f>
        <v/>
      </c>
      <c r="F349" s="68">
        <f>'Calendario H'!R118</f>
        <v/>
      </c>
      <c r="G349" s="68">
        <f>'Calendario H'!S118</f>
        <v/>
      </c>
      <c r="H349" s="68">
        <f>'Calendario H'!T118</f>
        <v/>
      </c>
      <c r="I349" s="68">
        <f>'Calendario H'!U118</f>
        <v/>
      </c>
      <c r="J349" s="68">
        <f>'Calendario H'!V118</f>
        <v/>
      </c>
      <c r="K349" s="68">
        <f>'Calendario H'!W118</f>
        <v/>
      </c>
      <c r="L349" s="68">
        <f>'Calendario H'!X118</f>
        <v/>
      </c>
      <c r="M349" s="68">
        <f>'Calendario H'!Y118</f>
        <v/>
      </c>
      <c r="N349" s="68">
        <f>'Calendario H'!Z118</f>
        <v/>
      </c>
    </row>
    <row r="350">
      <c r="A350" s="68">
        <f>'Calendario H'!M121</f>
        <v/>
      </c>
      <c r="B350" s="68">
        <f>'Calendario H'!N121</f>
        <v/>
      </c>
      <c r="C350" s="68">
        <f>'Calendario H'!O121</f>
        <v/>
      </c>
      <c r="D350" s="68">
        <f>'Calendario H'!P121</f>
        <v/>
      </c>
      <c r="E350" s="68">
        <f>'Calendario H'!Q121</f>
        <v/>
      </c>
      <c r="F350" s="68">
        <f>'Calendario H'!R121</f>
        <v/>
      </c>
      <c r="G350" s="68">
        <f>'Calendario H'!S121</f>
        <v/>
      </c>
      <c r="H350" s="68">
        <f>'Calendario H'!T121</f>
        <v/>
      </c>
      <c r="I350" s="68">
        <f>'Calendario H'!U121</f>
        <v/>
      </c>
      <c r="J350" s="68">
        <f>'Calendario H'!V121</f>
        <v/>
      </c>
      <c r="K350" s="68">
        <f>'Calendario H'!W121</f>
        <v/>
      </c>
      <c r="L350" s="68">
        <f>'Calendario H'!X121</f>
        <v/>
      </c>
      <c r="M350" s="68">
        <f>'Calendario H'!Y121</f>
        <v/>
      </c>
      <c r="N350" s="68">
        <f>'Calendario H'!Z121</f>
        <v/>
      </c>
    </row>
    <row r="351">
      <c r="A351" s="68">
        <f>'Calendario H'!M124</f>
        <v/>
      </c>
      <c r="B351" s="68">
        <f>'Calendario H'!N124</f>
        <v/>
      </c>
      <c r="C351" s="68">
        <f>'Calendario H'!O124</f>
        <v/>
      </c>
      <c r="D351" s="68">
        <f>'Calendario H'!P124</f>
        <v/>
      </c>
      <c r="E351" s="68">
        <f>'Calendario H'!Q124</f>
        <v/>
      </c>
      <c r="F351" s="68">
        <f>'Calendario H'!R124</f>
        <v/>
      </c>
      <c r="G351" s="68">
        <f>'Calendario H'!S124</f>
        <v/>
      </c>
      <c r="H351" s="68">
        <f>'Calendario H'!T124</f>
        <v/>
      </c>
      <c r="I351" s="68">
        <f>'Calendario H'!U124</f>
        <v/>
      </c>
      <c r="J351" s="68">
        <f>'Calendario H'!V124</f>
        <v/>
      </c>
      <c r="K351" s="68">
        <f>'Calendario H'!W124</f>
        <v/>
      </c>
      <c r="L351" s="68">
        <f>'Calendario H'!X124</f>
        <v/>
      </c>
      <c r="M351" s="68">
        <f>'Calendario H'!Y124</f>
        <v/>
      </c>
      <c r="N351" s="68">
        <f>'Calendario H'!Z124</f>
        <v/>
      </c>
    </row>
    <row r="352">
      <c r="A352" s="68">
        <f>'Calendario H'!M129</f>
        <v/>
      </c>
      <c r="B352" s="68">
        <f>'Calendario H'!N129</f>
        <v/>
      </c>
      <c r="C352" s="68">
        <f>'Calendario H'!O129</f>
        <v/>
      </c>
      <c r="D352" s="68">
        <f>'Calendario H'!P129</f>
        <v/>
      </c>
      <c r="E352" s="68">
        <f>'Calendario H'!Q129</f>
        <v/>
      </c>
      <c r="F352" s="68">
        <f>'Calendario H'!R129</f>
        <v/>
      </c>
      <c r="G352" s="68">
        <f>'Calendario H'!S129</f>
        <v/>
      </c>
      <c r="H352" s="68">
        <f>'Calendario H'!T129</f>
        <v/>
      </c>
      <c r="I352" s="68">
        <f>'Calendario H'!U129</f>
        <v/>
      </c>
      <c r="J352" s="68">
        <f>'Calendario H'!V129</f>
        <v/>
      </c>
      <c r="K352" s="68">
        <f>'Calendario H'!W129</f>
        <v/>
      </c>
      <c r="L352" s="68">
        <f>'Calendario H'!X129</f>
        <v/>
      </c>
      <c r="M352" s="68">
        <f>'Calendario H'!Y129</f>
        <v/>
      </c>
      <c r="N352" s="68">
        <f>'Calendario H'!Z129</f>
        <v/>
      </c>
    </row>
    <row r="353">
      <c r="A353" s="68">
        <f>'Calendario H'!M132</f>
        <v/>
      </c>
      <c r="B353" s="68">
        <f>'Calendario H'!N132</f>
        <v/>
      </c>
      <c r="C353" s="68">
        <f>'Calendario H'!O132</f>
        <v/>
      </c>
      <c r="D353" s="68">
        <f>'Calendario H'!P132</f>
        <v/>
      </c>
      <c r="E353" s="68">
        <f>'Calendario H'!Q132</f>
        <v/>
      </c>
      <c r="F353" s="68">
        <f>'Calendario H'!R132</f>
        <v/>
      </c>
      <c r="G353" s="68">
        <f>'Calendario H'!S132</f>
        <v/>
      </c>
      <c r="H353" s="68">
        <f>'Calendario H'!T132</f>
        <v/>
      </c>
      <c r="I353" s="68">
        <f>'Calendario H'!U132</f>
        <v/>
      </c>
      <c r="J353" s="68">
        <f>'Calendario H'!V132</f>
        <v/>
      </c>
      <c r="K353" s="68">
        <f>'Calendario H'!W132</f>
        <v/>
      </c>
      <c r="L353" s="68">
        <f>'Calendario H'!X132</f>
        <v/>
      </c>
      <c r="M353" s="68">
        <f>'Calendario H'!Y132</f>
        <v/>
      </c>
      <c r="N353" s="68">
        <f>'Calendario H'!Z132</f>
        <v/>
      </c>
    </row>
    <row r="354">
      <c r="A354" s="68">
        <f>'Calendario H'!M135</f>
        <v/>
      </c>
      <c r="B354" s="68">
        <f>'Calendario H'!N135</f>
        <v/>
      </c>
      <c r="C354" s="68">
        <f>'Calendario H'!O135</f>
        <v/>
      </c>
      <c r="D354" s="68">
        <f>'Calendario H'!P135</f>
        <v/>
      </c>
      <c r="E354" s="68">
        <f>'Calendario H'!Q135</f>
        <v/>
      </c>
      <c r="F354" s="68">
        <f>'Calendario H'!R135</f>
        <v/>
      </c>
      <c r="G354" s="68">
        <f>'Calendario H'!S135</f>
        <v/>
      </c>
      <c r="H354" s="68">
        <f>'Calendario H'!T135</f>
        <v/>
      </c>
      <c r="I354" s="68">
        <f>'Calendario H'!U135</f>
        <v/>
      </c>
      <c r="J354" s="68">
        <f>'Calendario H'!V135</f>
        <v/>
      </c>
      <c r="K354" s="68">
        <f>'Calendario H'!W135</f>
        <v/>
      </c>
      <c r="L354" s="68">
        <f>'Calendario H'!X135</f>
        <v/>
      </c>
      <c r="M354" s="68">
        <f>'Calendario H'!Y135</f>
        <v/>
      </c>
      <c r="N354" s="68">
        <f>'Calendario H'!Z135</f>
        <v/>
      </c>
    </row>
    <row r="355">
      <c r="A355" s="68">
        <f>'Calendario H'!M138</f>
        <v/>
      </c>
      <c r="B355" s="68">
        <f>'Calendario H'!N138</f>
        <v/>
      </c>
      <c r="C355" s="68">
        <f>'Calendario H'!O138</f>
        <v/>
      </c>
      <c r="D355" s="68">
        <f>'Calendario H'!P138</f>
        <v/>
      </c>
      <c r="E355" s="68">
        <f>'Calendario H'!Q138</f>
        <v/>
      </c>
      <c r="F355" s="68">
        <f>'Calendario H'!R138</f>
        <v/>
      </c>
      <c r="G355" s="68">
        <f>'Calendario H'!S138</f>
        <v/>
      </c>
      <c r="H355" s="68">
        <f>'Calendario H'!T138</f>
        <v/>
      </c>
      <c r="I355" s="68">
        <f>'Calendario H'!U138</f>
        <v/>
      </c>
      <c r="J355" s="68">
        <f>'Calendario H'!V138</f>
        <v/>
      </c>
      <c r="K355" s="68">
        <f>'Calendario H'!W138</f>
        <v/>
      </c>
      <c r="L355" s="68">
        <f>'Calendario H'!X138</f>
        <v/>
      </c>
      <c r="M355" s="68">
        <f>'Calendario H'!Y138</f>
        <v/>
      </c>
      <c r="N355" s="68">
        <f>'Calendario H'!Z138</f>
        <v/>
      </c>
    </row>
    <row r="356">
      <c r="A356" s="68">
        <f>'Calendario H'!M141</f>
        <v/>
      </c>
      <c r="B356" s="68">
        <f>'Calendario H'!N141</f>
        <v/>
      </c>
      <c r="C356" s="68">
        <f>'Calendario H'!O141</f>
        <v/>
      </c>
      <c r="D356" s="68">
        <f>'Calendario H'!P141</f>
        <v/>
      </c>
      <c r="E356" s="68">
        <f>'Calendario H'!Q141</f>
        <v/>
      </c>
      <c r="F356" s="68">
        <f>'Calendario H'!R141</f>
        <v/>
      </c>
      <c r="G356" s="68">
        <f>'Calendario H'!S141</f>
        <v/>
      </c>
      <c r="H356" s="68">
        <f>'Calendario H'!T141</f>
        <v/>
      </c>
      <c r="I356" s="68">
        <f>'Calendario H'!U141</f>
        <v/>
      </c>
      <c r="J356" s="68">
        <f>'Calendario H'!V141</f>
        <v/>
      </c>
      <c r="K356" s="68">
        <f>'Calendario H'!W141</f>
        <v/>
      </c>
      <c r="L356" s="68">
        <f>'Calendario H'!X141</f>
        <v/>
      </c>
      <c r="M356" s="68">
        <f>'Calendario H'!Y141</f>
        <v/>
      </c>
      <c r="N356" s="68">
        <f>'Calendario H'!Z141</f>
        <v/>
      </c>
    </row>
    <row r="357">
      <c r="A357" s="68">
        <f>'Calendario H'!M146</f>
        <v/>
      </c>
      <c r="B357" s="68">
        <f>'Calendario H'!N146</f>
        <v/>
      </c>
      <c r="C357" s="68">
        <f>'Calendario H'!O146</f>
        <v/>
      </c>
      <c r="D357" s="68">
        <f>'Calendario H'!P146</f>
        <v/>
      </c>
      <c r="E357" s="68">
        <f>'Calendario H'!Q146</f>
        <v/>
      </c>
      <c r="F357" s="68">
        <f>'Calendario H'!R146</f>
        <v/>
      </c>
      <c r="G357" s="68">
        <f>'Calendario H'!S146</f>
        <v/>
      </c>
      <c r="H357" s="68">
        <f>'Calendario H'!T146</f>
        <v/>
      </c>
      <c r="I357" s="68">
        <f>'Calendario H'!U146</f>
        <v/>
      </c>
      <c r="J357" s="68">
        <f>'Calendario H'!V146</f>
        <v/>
      </c>
      <c r="K357" s="68">
        <f>'Calendario H'!W146</f>
        <v/>
      </c>
      <c r="L357" s="68">
        <f>'Calendario H'!X146</f>
        <v/>
      </c>
      <c r="M357" s="68">
        <f>'Calendario H'!Y146</f>
        <v/>
      </c>
      <c r="N357" s="68">
        <f>'Calendario H'!Z146</f>
        <v/>
      </c>
    </row>
    <row r="358">
      <c r="A358" s="68">
        <f>'Calendario H'!M149</f>
        <v/>
      </c>
      <c r="B358" s="68">
        <f>'Calendario H'!N149</f>
        <v/>
      </c>
      <c r="C358" s="68">
        <f>'Calendario H'!O149</f>
        <v/>
      </c>
      <c r="D358" s="68">
        <f>'Calendario H'!P149</f>
        <v/>
      </c>
      <c r="E358" s="68">
        <f>'Calendario H'!Q149</f>
        <v/>
      </c>
      <c r="F358" s="68">
        <f>'Calendario H'!R149</f>
        <v/>
      </c>
      <c r="G358" s="68">
        <f>'Calendario H'!S149</f>
        <v/>
      </c>
      <c r="H358" s="68">
        <f>'Calendario H'!T149</f>
        <v/>
      </c>
      <c r="I358" s="68">
        <f>'Calendario H'!U149</f>
        <v/>
      </c>
      <c r="J358" s="68">
        <f>'Calendario H'!V149</f>
        <v/>
      </c>
      <c r="K358" s="68">
        <f>'Calendario H'!W149</f>
        <v/>
      </c>
      <c r="L358" s="68">
        <f>'Calendario H'!X149</f>
        <v/>
      </c>
      <c r="M358" s="68">
        <f>'Calendario H'!Y149</f>
        <v/>
      </c>
      <c r="N358" s="68">
        <f>'Calendario H'!Z149</f>
        <v/>
      </c>
    </row>
    <row r="359">
      <c r="A359" s="68">
        <f>'Calendario H'!M152</f>
        <v/>
      </c>
      <c r="B359" s="68">
        <f>'Calendario H'!N152</f>
        <v/>
      </c>
      <c r="C359" s="68">
        <f>'Calendario H'!O152</f>
        <v/>
      </c>
      <c r="D359" s="68">
        <f>'Calendario H'!P152</f>
        <v/>
      </c>
      <c r="E359" s="68">
        <f>'Calendario H'!Q152</f>
        <v/>
      </c>
      <c r="F359" s="68">
        <f>'Calendario H'!R152</f>
        <v/>
      </c>
      <c r="G359" s="68">
        <f>'Calendario H'!S152</f>
        <v/>
      </c>
      <c r="H359" s="68">
        <f>'Calendario H'!T152</f>
        <v/>
      </c>
      <c r="I359" s="68">
        <f>'Calendario H'!U152</f>
        <v/>
      </c>
      <c r="J359" s="68">
        <f>'Calendario H'!V152</f>
        <v/>
      </c>
      <c r="K359" s="68">
        <f>'Calendario H'!W152</f>
        <v/>
      </c>
      <c r="L359" s="68">
        <f>'Calendario H'!X152</f>
        <v/>
      </c>
      <c r="M359" s="68">
        <f>'Calendario H'!Y152</f>
        <v/>
      </c>
      <c r="N359" s="68">
        <f>'Calendario H'!Z152</f>
        <v/>
      </c>
    </row>
    <row r="360">
      <c r="A360" s="68">
        <f>'Calendario H'!M155</f>
        <v/>
      </c>
      <c r="B360" s="68">
        <f>'Calendario H'!N155</f>
        <v/>
      </c>
      <c r="C360" s="68">
        <f>'Calendario H'!O155</f>
        <v/>
      </c>
      <c r="D360" s="68">
        <f>'Calendario H'!P155</f>
        <v/>
      </c>
      <c r="E360" s="68">
        <f>'Calendario H'!Q155</f>
        <v/>
      </c>
      <c r="F360" s="68">
        <f>'Calendario H'!R155</f>
        <v/>
      </c>
      <c r="G360" s="68">
        <f>'Calendario H'!S155</f>
        <v/>
      </c>
      <c r="H360" s="68">
        <f>'Calendario H'!T155</f>
        <v/>
      </c>
      <c r="I360" s="68">
        <f>'Calendario H'!U155</f>
        <v/>
      </c>
      <c r="J360" s="68">
        <f>'Calendario H'!V155</f>
        <v/>
      </c>
      <c r="K360" s="68">
        <f>'Calendario H'!W155</f>
        <v/>
      </c>
      <c r="L360" s="68">
        <f>'Calendario H'!X155</f>
        <v/>
      </c>
      <c r="M360" s="68">
        <f>'Calendario H'!Y155</f>
        <v/>
      </c>
      <c r="N360" s="68">
        <f>'Calendario H'!Z155</f>
        <v/>
      </c>
    </row>
    <row r="361">
      <c r="A361" s="68">
        <f>'Calendario H'!M158</f>
        <v/>
      </c>
      <c r="B361" s="68">
        <f>'Calendario H'!N158</f>
        <v/>
      </c>
      <c r="C361" s="68">
        <f>'Calendario H'!O158</f>
        <v/>
      </c>
      <c r="D361" s="68">
        <f>'Calendario H'!P158</f>
        <v/>
      </c>
      <c r="E361" s="68">
        <f>'Calendario H'!Q158</f>
        <v/>
      </c>
      <c r="F361" s="68">
        <f>'Calendario H'!R158</f>
        <v/>
      </c>
      <c r="G361" s="68">
        <f>'Calendario H'!S158</f>
        <v/>
      </c>
      <c r="H361" s="68">
        <f>'Calendario H'!T158</f>
        <v/>
      </c>
      <c r="I361" s="68">
        <f>'Calendario H'!U158</f>
        <v/>
      </c>
      <c r="J361" s="68">
        <f>'Calendario H'!V158</f>
        <v/>
      </c>
      <c r="K361" s="68">
        <f>'Calendario H'!W158</f>
        <v/>
      </c>
      <c r="L361" s="68">
        <f>'Calendario H'!X158</f>
        <v/>
      </c>
      <c r="M361" s="68">
        <f>'Calendario H'!Y158</f>
        <v/>
      </c>
      <c r="N361" s="68">
        <f>'Calendario H'!Z158</f>
        <v/>
      </c>
    </row>
    <row r="362">
      <c r="A362" s="68">
        <f>'Calendario I'!M10</f>
        <v/>
      </c>
      <c r="B362" s="68">
        <f>'Calendario I'!N10</f>
        <v/>
      </c>
      <c r="C362" s="68">
        <f>'Calendario I'!O10</f>
        <v/>
      </c>
      <c r="D362" s="68">
        <f>'Calendario I'!P10</f>
        <v/>
      </c>
      <c r="E362" s="68">
        <f>'Calendario I'!Q10</f>
        <v/>
      </c>
      <c r="F362" s="68">
        <f>'Calendario I'!R10</f>
        <v/>
      </c>
      <c r="G362" s="68">
        <f>'Calendario I'!S10</f>
        <v/>
      </c>
      <c r="H362" s="68">
        <f>'Calendario I'!T10</f>
        <v/>
      </c>
      <c r="I362" s="68">
        <f>'Calendario I'!U10</f>
        <v/>
      </c>
      <c r="J362" s="68">
        <f>'Calendario I'!V10</f>
        <v/>
      </c>
      <c r="K362" s="68">
        <f>'Calendario I'!W10</f>
        <v/>
      </c>
      <c r="L362" s="68">
        <f>'Calendario I'!X10</f>
        <v/>
      </c>
      <c r="M362" s="68">
        <f>'Calendario I'!Y10</f>
        <v/>
      </c>
      <c r="N362" s="68">
        <f>'Calendario I'!Z10</f>
        <v/>
      </c>
    </row>
    <row r="363">
      <c r="A363" s="68">
        <f>'Calendario I'!M13</f>
        <v/>
      </c>
      <c r="B363" s="68">
        <f>'Calendario I'!N13</f>
        <v/>
      </c>
      <c r="C363" s="68">
        <f>'Calendario I'!O13</f>
        <v/>
      </c>
      <c r="D363" s="68">
        <f>'Calendario I'!P13</f>
        <v/>
      </c>
      <c r="E363" s="68">
        <f>'Calendario I'!Q13</f>
        <v/>
      </c>
      <c r="F363" s="68">
        <f>'Calendario I'!R13</f>
        <v/>
      </c>
      <c r="G363" s="68">
        <f>'Calendario I'!S13</f>
        <v/>
      </c>
      <c r="H363" s="68">
        <f>'Calendario I'!T13</f>
        <v/>
      </c>
      <c r="I363" s="68">
        <f>'Calendario I'!U13</f>
        <v/>
      </c>
      <c r="J363" s="68">
        <f>'Calendario I'!V13</f>
        <v/>
      </c>
      <c r="K363" s="68">
        <f>'Calendario I'!W13</f>
        <v/>
      </c>
      <c r="L363" s="68">
        <f>'Calendario I'!X13</f>
        <v/>
      </c>
      <c r="M363" s="68">
        <f>'Calendario I'!Y13</f>
        <v/>
      </c>
      <c r="N363" s="68">
        <f>'Calendario I'!Z13</f>
        <v/>
      </c>
    </row>
    <row r="364">
      <c r="A364" s="68">
        <f>'Calendario I'!M16</f>
        <v/>
      </c>
      <c r="B364" s="68">
        <f>'Calendario I'!N16</f>
        <v/>
      </c>
      <c r="C364" s="68">
        <f>'Calendario I'!O16</f>
        <v/>
      </c>
      <c r="D364" s="68">
        <f>'Calendario I'!P16</f>
        <v/>
      </c>
      <c r="E364" s="68">
        <f>'Calendario I'!Q16</f>
        <v/>
      </c>
      <c r="F364" s="68">
        <f>'Calendario I'!R16</f>
        <v/>
      </c>
      <c r="G364" s="68">
        <f>'Calendario I'!S16</f>
        <v/>
      </c>
      <c r="H364" s="68">
        <f>'Calendario I'!T16</f>
        <v/>
      </c>
      <c r="I364" s="68">
        <f>'Calendario I'!U16</f>
        <v/>
      </c>
      <c r="J364" s="68">
        <f>'Calendario I'!V16</f>
        <v/>
      </c>
      <c r="K364" s="68">
        <f>'Calendario I'!W16</f>
        <v/>
      </c>
      <c r="L364" s="68">
        <f>'Calendario I'!X16</f>
        <v/>
      </c>
      <c r="M364" s="68">
        <f>'Calendario I'!Y16</f>
        <v/>
      </c>
      <c r="N364" s="68">
        <f>'Calendario I'!Z16</f>
        <v/>
      </c>
    </row>
    <row r="365">
      <c r="A365" s="68">
        <f>'Calendario I'!M19</f>
        <v/>
      </c>
      <c r="B365" s="68">
        <f>'Calendario I'!N19</f>
        <v/>
      </c>
      <c r="C365" s="68">
        <f>'Calendario I'!O19</f>
        <v/>
      </c>
      <c r="D365" s="68">
        <f>'Calendario I'!P19</f>
        <v/>
      </c>
      <c r="E365" s="68">
        <f>'Calendario I'!Q19</f>
        <v/>
      </c>
      <c r="F365" s="68">
        <f>'Calendario I'!R19</f>
        <v/>
      </c>
      <c r="G365" s="68">
        <f>'Calendario I'!S19</f>
        <v/>
      </c>
      <c r="H365" s="68">
        <f>'Calendario I'!T19</f>
        <v/>
      </c>
      <c r="I365" s="68">
        <f>'Calendario I'!U19</f>
        <v/>
      </c>
      <c r="J365" s="68">
        <f>'Calendario I'!V19</f>
        <v/>
      </c>
      <c r="K365" s="68">
        <f>'Calendario I'!W19</f>
        <v/>
      </c>
      <c r="L365" s="68">
        <f>'Calendario I'!X19</f>
        <v/>
      </c>
      <c r="M365" s="68">
        <f>'Calendario I'!Y19</f>
        <v/>
      </c>
      <c r="N365" s="68">
        <f>'Calendario I'!Z19</f>
        <v/>
      </c>
    </row>
    <row r="366">
      <c r="A366" s="68">
        <f>'Calendario I'!M22</f>
        <v/>
      </c>
      <c r="B366" s="68">
        <f>'Calendario I'!N22</f>
        <v/>
      </c>
      <c r="C366" s="68">
        <f>'Calendario I'!O22</f>
        <v/>
      </c>
      <c r="D366" s="68">
        <f>'Calendario I'!P22</f>
        <v/>
      </c>
      <c r="E366" s="68">
        <f>'Calendario I'!Q22</f>
        <v/>
      </c>
      <c r="F366" s="68">
        <f>'Calendario I'!R22</f>
        <v/>
      </c>
      <c r="G366" s="68">
        <f>'Calendario I'!S22</f>
        <v/>
      </c>
      <c r="H366" s="68">
        <f>'Calendario I'!T22</f>
        <v/>
      </c>
      <c r="I366" s="68">
        <f>'Calendario I'!U22</f>
        <v/>
      </c>
      <c r="J366" s="68">
        <f>'Calendario I'!V22</f>
        <v/>
      </c>
      <c r="K366" s="68">
        <f>'Calendario I'!W22</f>
        <v/>
      </c>
      <c r="L366" s="68">
        <f>'Calendario I'!X22</f>
        <v/>
      </c>
      <c r="M366" s="68">
        <f>'Calendario I'!Y22</f>
        <v/>
      </c>
      <c r="N366" s="68">
        <f>'Calendario I'!Z22</f>
        <v/>
      </c>
    </row>
    <row r="367">
      <c r="A367" s="68">
        <f>'Calendario I'!M27</f>
        <v/>
      </c>
      <c r="B367" s="68">
        <f>'Calendario I'!N27</f>
        <v/>
      </c>
      <c r="C367" s="68">
        <f>'Calendario I'!O27</f>
        <v/>
      </c>
      <c r="D367" s="68">
        <f>'Calendario I'!P27</f>
        <v/>
      </c>
      <c r="E367" s="68">
        <f>'Calendario I'!Q27</f>
        <v/>
      </c>
      <c r="F367" s="68">
        <f>'Calendario I'!R27</f>
        <v/>
      </c>
      <c r="G367" s="68">
        <f>'Calendario I'!S27</f>
        <v/>
      </c>
      <c r="H367" s="68">
        <f>'Calendario I'!T27</f>
        <v/>
      </c>
      <c r="I367" s="68">
        <f>'Calendario I'!U27</f>
        <v/>
      </c>
      <c r="J367" s="68">
        <f>'Calendario I'!V27</f>
        <v/>
      </c>
      <c r="K367" s="68">
        <f>'Calendario I'!W27</f>
        <v/>
      </c>
      <c r="L367" s="68">
        <f>'Calendario I'!X27</f>
        <v/>
      </c>
      <c r="M367" s="68">
        <f>'Calendario I'!Y27</f>
        <v/>
      </c>
      <c r="N367" s="68">
        <f>'Calendario I'!Z27</f>
        <v/>
      </c>
    </row>
    <row r="368">
      <c r="A368" s="68">
        <f>'Calendario I'!M30</f>
        <v/>
      </c>
      <c r="B368" s="68">
        <f>'Calendario I'!N30</f>
        <v/>
      </c>
      <c r="C368" s="68">
        <f>'Calendario I'!O30</f>
        <v/>
      </c>
      <c r="D368" s="68">
        <f>'Calendario I'!P30</f>
        <v/>
      </c>
      <c r="E368" s="68">
        <f>'Calendario I'!Q30</f>
        <v/>
      </c>
      <c r="F368" s="68">
        <f>'Calendario I'!R30</f>
        <v/>
      </c>
      <c r="G368" s="68">
        <f>'Calendario I'!S30</f>
        <v/>
      </c>
      <c r="H368" s="68">
        <f>'Calendario I'!T30</f>
        <v/>
      </c>
      <c r="I368" s="68">
        <f>'Calendario I'!U30</f>
        <v/>
      </c>
      <c r="J368" s="68">
        <f>'Calendario I'!V30</f>
        <v/>
      </c>
      <c r="K368" s="68">
        <f>'Calendario I'!W30</f>
        <v/>
      </c>
      <c r="L368" s="68">
        <f>'Calendario I'!X30</f>
        <v/>
      </c>
      <c r="M368" s="68">
        <f>'Calendario I'!Y30</f>
        <v/>
      </c>
      <c r="N368" s="68">
        <f>'Calendario I'!Z30</f>
        <v/>
      </c>
    </row>
    <row r="369">
      <c r="A369" s="68">
        <f>'Calendario I'!M33</f>
        <v/>
      </c>
      <c r="B369" s="68">
        <f>'Calendario I'!N33</f>
        <v/>
      </c>
      <c r="C369" s="68">
        <f>'Calendario I'!O33</f>
        <v/>
      </c>
      <c r="D369" s="68">
        <f>'Calendario I'!P33</f>
        <v/>
      </c>
      <c r="E369" s="68">
        <f>'Calendario I'!Q33</f>
        <v/>
      </c>
      <c r="F369" s="68">
        <f>'Calendario I'!R33</f>
        <v/>
      </c>
      <c r="G369" s="68">
        <f>'Calendario I'!S33</f>
        <v/>
      </c>
      <c r="H369" s="68">
        <f>'Calendario I'!T33</f>
        <v/>
      </c>
      <c r="I369" s="68">
        <f>'Calendario I'!U33</f>
        <v/>
      </c>
      <c r="J369" s="68">
        <f>'Calendario I'!V33</f>
        <v/>
      </c>
      <c r="K369" s="68">
        <f>'Calendario I'!W33</f>
        <v/>
      </c>
      <c r="L369" s="68">
        <f>'Calendario I'!X33</f>
        <v/>
      </c>
      <c r="M369" s="68">
        <f>'Calendario I'!Y33</f>
        <v/>
      </c>
      <c r="N369" s="68">
        <f>'Calendario I'!Z33</f>
        <v/>
      </c>
    </row>
    <row r="370">
      <c r="A370" s="68">
        <f>'Calendario I'!M36</f>
        <v/>
      </c>
      <c r="B370" s="68">
        <f>'Calendario I'!N36</f>
        <v/>
      </c>
      <c r="C370" s="68">
        <f>'Calendario I'!O36</f>
        <v/>
      </c>
      <c r="D370" s="68">
        <f>'Calendario I'!P36</f>
        <v/>
      </c>
      <c r="E370" s="68">
        <f>'Calendario I'!Q36</f>
        <v/>
      </c>
      <c r="F370" s="68">
        <f>'Calendario I'!R36</f>
        <v/>
      </c>
      <c r="G370" s="68">
        <f>'Calendario I'!S36</f>
        <v/>
      </c>
      <c r="H370" s="68">
        <f>'Calendario I'!T36</f>
        <v/>
      </c>
      <c r="I370" s="68">
        <f>'Calendario I'!U36</f>
        <v/>
      </c>
      <c r="J370" s="68">
        <f>'Calendario I'!V36</f>
        <v/>
      </c>
      <c r="K370" s="68">
        <f>'Calendario I'!W36</f>
        <v/>
      </c>
      <c r="L370" s="68">
        <f>'Calendario I'!X36</f>
        <v/>
      </c>
      <c r="M370" s="68">
        <f>'Calendario I'!Y36</f>
        <v/>
      </c>
      <c r="N370" s="68">
        <f>'Calendario I'!Z36</f>
        <v/>
      </c>
    </row>
    <row r="371">
      <c r="A371" s="68">
        <f>'Calendario I'!M39</f>
        <v/>
      </c>
      <c r="B371" s="68">
        <f>'Calendario I'!N39</f>
        <v/>
      </c>
      <c r="C371" s="68">
        <f>'Calendario I'!O39</f>
        <v/>
      </c>
      <c r="D371" s="68">
        <f>'Calendario I'!P39</f>
        <v/>
      </c>
      <c r="E371" s="68">
        <f>'Calendario I'!Q39</f>
        <v/>
      </c>
      <c r="F371" s="68">
        <f>'Calendario I'!R39</f>
        <v/>
      </c>
      <c r="G371" s="68">
        <f>'Calendario I'!S39</f>
        <v/>
      </c>
      <c r="H371" s="68">
        <f>'Calendario I'!T39</f>
        <v/>
      </c>
      <c r="I371" s="68">
        <f>'Calendario I'!U39</f>
        <v/>
      </c>
      <c r="J371" s="68">
        <f>'Calendario I'!V39</f>
        <v/>
      </c>
      <c r="K371" s="68">
        <f>'Calendario I'!W39</f>
        <v/>
      </c>
      <c r="L371" s="68">
        <f>'Calendario I'!X39</f>
        <v/>
      </c>
      <c r="M371" s="68">
        <f>'Calendario I'!Y39</f>
        <v/>
      </c>
      <c r="N371" s="68">
        <f>'Calendario I'!Z39</f>
        <v/>
      </c>
    </row>
    <row r="372">
      <c r="A372" s="68">
        <f>'Calendario I'!M44</f>
        <v/>
      </c>
      <c r="B372" s="68">
        <f>'Calendario I'!N44</f>
        <v/>
      </c>
      <c r="C372" s="68">
        <f>'Calendario I'!O44</f>
        <v/>
      </c>
      <c r="D372" s="68">
        <f>'Calendario I'!P44</f>
        <v/>
      </c>
      <c r="E372" s="68">
        <f>'Calendario I'!Q44</f>
        <v/>
      </c>
      <c r="F372" s="68">
        <f>'Calendario I'!R44</f>
        <v/>
      </c>
      <c r="G372" s="68">
        <f>'Calendario I'!S44</f>
        <v/>
      </c>
      <c r="H372" s="68">
        <f>'Calendario I'!T44</f>
        <v/>
      </c>
      <c r="I372" s="68">
        <f>'Calendario I'!U44</f>
        <v/>
      </c>
      <c r="J372" s="68">
        <f>'Calendario I'!V44</f>
        <v/>
      </c>
      <c r="K372" s="68">
        <f>'Calendario I'!W44</f>
        <v/>
      </c>
      <c r="L372" s="68">
        <f>'Calendario I'!X44</f>
        <v/>
      </c>
      <c r="M372" s="68">
        <f>'Calendario I'!Y44</f>
        <v/>
      </c>
      <c r="N372" s="68">
        <f>'Calendario I'!Z44</f>
        <v/>
      </c>
    </row>
    <row r="373">
      <c r="A373" s="68">
        <f>'Calendario I'!M47</f>
        <v/>
      </c>
      <c r="B373" s="68">
        <f>'Calendario I'!N47</f>
        <v/>
      </c>
      <c r="C373" s="68">
        <f>'Calendario I'!O47</f>
        <v/>
      </c>
      <c r="D373" s="68">
        <f>'Calendario I'!P47</f>
        <v/>
      </c>
      <c r="E373" s="68">
        <f>'Calendario I'!Q47</f>
        <v/>
      </c>
      <c r="F373" s="68">
        <f>'Calendario I'!R47</f>
        <v/>
      </c>
      <c r="G373" s="68">
        <f>'Calendario I'!S47</f>
        <v/>
      </c>
      <c r="H373" s="68">
        <f>'Calendario I'!T47</f>
        <v/>
      </c>
      <c r="I373" s="68">
        <f>'Calendario I'!U47</f>
        <v/>
      </c>
      <c r="J373" s="68">
        <f>'Calendario I'!V47</f>
        <v/>
      </c>
      <c r="K373" s="68">
        <f>'Calendario I'!W47</f>
        <v/>
      </c>
      <c r="L373" s="68">
        <f>'Calendario I'!X47</f>
        <v/>
      </c>
      <c r="M373" s="68">
        <f>'Calendario I'!Y47</f>
        <v/>
      </c>
      <c r="N373" s="68">
        <f>'Calendario I'!Z47</f>
        <v/>
      </c>
    </row>
    <row r="374">
      <c r="A374" s="68">
        <f>'Calendario I'!M50</f>
        <v/>
      </c>
      <c r="B374" s="68">
        <f>'Calendario I'!N50</f>
        <v/>
      </c>
      <c r="C374" s="68">
        <f>'Calendario I'!O50</f>
        <v/>
      </c>
      <c r="D374" s="68">
        <f>'Calendario I'!P50</f>
        <v/>
      </c>
      <c r="E374" s="68">
        <f>'Calendario I'!Q50</f>
        <v/>
      </c>
      <c r="F374" s="68">
        <f>'Calendario I'!R50</f>
        <v/>
      </c>
      <c r="G374" s="68">
        <f>'Calendario I'!S50</f>
        <v/>
      </c>
      <c r="H374" s="68">
        <f>'Calendario I'!T50</f>
        <v/>
      </c>
      <c r="I374" s="68">
        <f>'Calendario I'!U50</f>
        <v/>
      </c>
      <c r="J374" s="68">
        <f>'Calendario I'!V50</f>
        <v/>
      </c>
      <c r="K374" s="68">
        <f>'Calendario I'!W50</f>
        <v/>
      </c>
      <c r="L374" s="68">
        <f>'Calendario I'!X50</f>
        <v/>
      </c>
      <c r="M374" s="68">
        <f>'Calendario I'!Y50</f>
        <v/>
      </c>
      <c r="N374" s="68">
        <f>'Calendario I'!Z50</f>
        <v/>
      </c>
    </row>
    <row r="375">
      <c r="A375" s="68">
        <f>'Calendario I'!M53</f>
        <v/>
      </c>
      <c r="B375" s="68">
        <f>'Calendario I'!N53</f>
        <v/>
      </c>
      <c r="C375" s="68">
        <f>'Calendario I'!O53</f>
        <v/>
      </c>
      <c r="D375" s="68">
        <f>'Calendario I'!P53</f>
        <v/>
      </c>
      <c r="E375" s="68">
        <f>'Calendario I'!Q53</f>
        <v/>
      </c>
      <c r="F375" s="68">
        <f>'Calendario I'!R53</f>
        <v/>
      </c>
      <c r="G375" s="68">
        <f>'Calendario I'!S53</f>
        <v/>
      </c>
      <c r="H375" s="68">
        <f>'Calendario I'!T53</f>
        <v/>
      </c>
      <c r="I375" s="68">
        <f>'Calendario I'!U53</f>
        <v/>
      </c>
      <c r="J375" s="68">
        <f>'Calendario I'!V53</f>
        <v/>
      </c>
      <c r="K375" s="68">
        <f>'Calendario I'!W53</f>
        <v/>
      </c>
      <c r="L375" s="68">
        <f>'Calendario I'!X53</f>
        <v/>
      </c>
      <c r="M375" s="68">
        <f>'Calendario I'!Y53</f>
        <v/>
      </c>
      <c r="N375" s="68">
        <f>'Calendario I'!Z53</f>
        <v/>
      </c>
    </row>
    <row r="376">
      <c r="A376" s="68">
        <f>'Calendario I'!M56</f>
        <v/>
      </c>
      <c r="B376" s="68">
        <f>'Calendario I'!N56</f>
        <v/>
      </c>
      <c r="C376" s="68">
        <f>'Calendario I'!O56</f>
        <v/>
      </c>
      <c r="D376" s="68">
        <f>'Calendario I'!P56</f>
        <v/>
      </c>
      <c r="E376" s="68">
        <f>'Calendario I'!Q56</f>
        <v/>
      </c>
      <c r="F376" s="68">
        <f>'Calendario I'!R56</f>
        <v/>
      </c>
      <c r="G376" s="68">
        <f>'Calendario I'!S56</f>
        <v/>
      </c>
      <c r="H376" s="68">
        <f>'Calendario I'!T56</f>
        <v/>
      </c>
      <c r="I376" s="68">
        <f>'Calendario I'!U56</f>
        <v/>
      </c>
      <c r="J376" s="68">
        <f>'Calendario I'!V56</f>
        <v/>
      </c>
      <c r="K376" s="68">
        <f>'Calendario I'!W56</f>
        <v/>
      </c>
      <c r="L376" s="68">
        <f>'Calendario I'!X56</f>
        <v/>
      </c>
      <c r="M376" s="68">
        <f>'Calendario I'!Y56</f>
        <v/>
      </c>
      <c r="N376" s="68">
        <f>'Calendario I'!Z56</f>
        <v/>
      </c>
    </row>
    <row r="377">
      <c r="A377" s="68">
        <f>'Calendario I'!M61</f>
        <v/>
      </c>
      <c r="B377" s="68">
        <f>'Calendario I'!N61</f>
        <v/>
      </c>
      <c r="C377" s="68">
        <f>'Calendario I'!O61</f>
        <v/>
      </c>
      <c r="D377" s="68">
        <f>'Calendario I'!P61</f>
        <v/>
      </c>
      <c r="E377" s="68">
        <f>'Calendario I'!Q61</f>
        <v/>
      </c>
      <c r="F377" s="68">
        <f>'Calendario I'!R61</f>
        <v/>
      </c>
      <c r="G377" s="68">
        <f>'Calendario I'!S61</f>
        <v/>
      </c>
      <c r="H377" s="68">
        <f>'Calendario I'!T61</f>
        <v/>
      </c>
      <c r="I377" s="68">
        <f>'Calendario I'!U61</f>
        <v/>
      </c>
      <c r="J377" s="68">
        <f>'Calendario I'!V61</f>
        <v/>
      </c>
      <c r="K377" s="68">
        <f>'Calendario I'!W61</f>
        <v/>
      </c>
      <c r="L377" s="68">
        <f>'Calendario I'!X61</f>
        <v/>
      </c>
      <c r="M377" s="68">
        <f>'Calendario I'!Y61</f>
        <v/>
      </c>
      <c r="N377" s="68">
        <f>'Calendario I'!Z61</f>
        <v/>
      </c>
    </row>
    <row r="378">
      <c r="A378" s="68">
        <f>'Calendario I'!M64</f>
        <v/>
      </c>
      <c r="B378" s="68">
        <f>'Calendario I'!N64</f>
        <v/>
      </c>
      <c r="C378" s="68">
        <f>'Calendario I'!O64</f>
        <v/>
      </c>
      <c r="D378" s="68">
        <f>'Calendario I'!P64</f>
        <v/>
      </c>
      <c r="E378" s="68">
        <f>'Calendario I'!Q64</f>
        <v/>
      </c>
      <c r="F378" s="68">
        <f>'Calendario I'!R64</f>
        <v/>
      </c>
      <c r="G378" s="68">
        <f>'Calendario I'!S64</f>
        <v/>
      </c>
      <c r="H378" s="68">
        <f>'Calendario I'!T64</f>
        <v/>
      </c>
      <c r="I378" s="68">
        <f>'Calendario I'!U64</f>
        <v/>
      </c>
      <c r="J378" s="68">
        <f>'Calendario I'!V64</f>
        <v/>
      </c>
      <c r="K378" s="68">
        <f>'Calendario I'!W64</f>
        <v/>
      </c>
      <c r="L378" s="68">
        <f>'Calendario I'!X64</f>
        <v/>
      </c>
      <c r="M378" s="68">
        <f>'Calendario I'!Y64</f>
        <v/>
      </c>
      <c r="N378" s="68">
        <f>'Calendario I'!Z64</f>
        <v/>
      </c>
    </row>
    <row r="379">
      <c r="A379" s="68">
        <f>'Calendario I'!M67</f>
        <v/>
      </c>
      <c r="B379" s="68">
        <f>'Calendario I'!N67</f>
        <v/>
      </c>
      <c r="C379" s="68">
        <f>'Calendario I'!O67</f>
        <v/>
      </c>
      <c r="D379" s="68">
        <f>'Calendario I'!P67</f>
        <v/>
      </c>
      <c r="E379" s="68">
        <f>'Calendario I'!Q67</f>
        <v/>
      </c>
      <c r="F379" s="68">
        <f>'Calendario I'!R67</f>
        <v/>
      </c>
      <c r="G379" s="68">
        <f>'Calendario I'!S67</f>
        <v/>
      </c>
      <c r="H379" s="68">
        <f>'Calendario I'!T67</f>
        <v/>
      </c>
      <c r="I379" s="68">
        <f>'Calendario I'!U67</f>
        <v/>
      </c>
      <c r="J379" s="68">
        <f>'Calendario I'!V67</f>
        <v/>
      </c>
      <c r="K379" s="68">
        <f>'Calendario I'!W67</f>
        <v/>
      </c>
      <c r="L379" s="68">
        <f>'Calendario I'!X67</f>
        <v/>
      </c>
      <c r="M379" s="68">
        <f>'Calendario I'!Y67</f>
        <v/>
      </c>
      <c r="N379" s="68">
        <f>'Calendario I'!Z67</f>
        <v/>
      </c>
    </row>
    <row r="380">
      <c r="A380" s="68">
        <f>'Calendario I'!M70</f>
        <v/>
      </c>
      <c r="B380" s="68">
        <f>'Calendario I'!N70</f>
        <v/>
      </c>
      <c r="C380" s="68">
        <f>'Calendario I'!O70</f>
        <v/>
      </c>
      <c r="D380" s="68">
        <f>'Calendario I'!P70</f>
        <v/>
      </c>
      <c r="E380" s="68">
        <f>'Calendario I'!Q70</f>
        <v/>
      </c>
      <c r="F380" s="68">
        <f>'Calendario I'!R70</f>
        <v/>
      </c>
      <c r="G380" s="68">
        <f>'Calendario I'!S70</f>
        <v/>
      </c>
      <c r="H380" s="68">
        <f>'Calendario I'!T70</f>
        <v/>
      </c>
      <c r="I380" s="68">
        <f>'Calendario I'!U70</f>
        <v/>
      </c>
      <c r="J380" s="68">
        <f>'Calendario I'!V70</f>
        <v/>
      </c>
      <c r="K380" s="68">
        <f>'Calendario I'!W70</f>
        <v/>
      </c>
      <c r="L380" s="68">
        <f>'Calendario I'!X70</f>
        <v/>
      </c>
      <c r="M380" s="68">
        <f>'Calendario I'!Y70</f>
        <v/>
      </c>
      <c r="N380" s="68">
        <f>'Calendario I'!Z70</f>
        <v/>
      </c>
    </row>
    <row r="381">
      <c r="A381" s="68">
        <f>'Calendario I'!M73</f>
        <v/>
      </c>
      <c r="B381" s="68">
        <f>'Calendario I'!N73</f>
        <v/>
      </c>
      <c r="C381" s="68">
        <f>'Calendario I'!O73</f>
        <v/>
      </c>
      <c r="D381" s="68">
        <f>'Calendario I'!P73</f>
        <v/>
      </c>
      <c r="E381" s="68">
        <f>'Calendario I'!Q73</f>
        <v/>
      </c>
      <c r="F381" s="68">
        <f>'Calendario I'!R73</f>
        <v/>
      </c>
      <c r="G381" s="68">
        <f>'Calendario I'!S73</f>
        <v/>
      </c>
      <c r="H381" s="68">
        <f>'Calendario I'!T73</f>
        <v/>
      </c>
      <c r="I381" s="68">
        <f>'Calendario I'!U73</f>
        <v/>
      </c>
      <c r="J381" s="68">
        <f>'Calendario I'!V73</f>
        <v/>
      </c>
      <c r="K381" s="68">
        <f>'Calendario I'!W73</f>
        <v/>
      </c>
      <c r="L381" s="68">
        <f>'Calendario I'!X73</f>
        <v/>
      </c>
      <c r="M381" s="68">
        <f>'Calendario I'!Y73</f>
        <v/>
      </c>
      <c r="N381" s="68">
        <f>'Calendario I'!Z73</f>
        <v/>
      </c>
    </row>
    <row r="382">
      <c r="A382" s="68">
        <f>'Calendario I'!M78</f>
        <v/>
      </c>
      <c r="B382" s="68">
        <f>'Calendario I'!N78</f>
        <v/>
      </c>
      <c r="C382" s="68">
        <f>'Calendario I'!O78</f>
        <v/>
      </c>
      <c r="D382" s="68">
        <f>'Calendario I'!P78</f>
        <v/>
      </c>
      <c r="E382" s="68">
        <f>'Calendario I'!Q78</f>
        <v/>
      </c>
      <c r="F382" s="68">
        <f>'Calendario I'!R78</f>
        <v/>
      </c>
      <c r="G382" s="68">
        <f>'Calendario I'!S78</f>
        <v/>
      </c>
      <c r="H382" s="68">
        <f>'Calendario I'!T78</f>
        <v/>
      </c>
      <c r="I382" s="68">
        <f>'Calendario I'!U78</f>
        <v/>
      </c>
      <c r="J382" s="68">
        <f>'Calendario I'!V78</f>
        <v/>
      </c>
      <c r="K382" s="68">
        <f>'Calendario I'!W78</f>
        <v/>
      </c>
      <c r="L382" s="68">
        <f>'Calendario I'!X78</f>
        <v/>
      </c>
      <c r="M382" s="68">
        <f>'Calendario I'!Y78</f>
        <v/>
      </c>
      <c r="N382" s="68">
        <f>'Calendario I'!Z78</f>
        <v/>
      </c>
    </row>
    <row r="383">
      <c r="A383" s="68">
        <f>'Calendario I'!M81</f>
        <v/>
      </c>
      <c r="B383" s="68">
        <f>'Calendario I'!N81</f>
        <v/>
      </c>
      <c r="C383" s="68">
        <f>'Calendario I'!O81</f>
        <v/>
      </c>
      <c r="D383" s="68">
        <f>'Calendario I'!P81</f>
        <v/>
      </c>
      <c r="E383" s="68">
        <f>'Calendario I'!Q81</f>
        <v/>
      </c>
      <c r="F383" s="68">
        <f>'Calendario I'!R81</f>
        <v/>
      </c>
      <c r="G383" s="68">
        <f>'Calendario I'!S81</f>
        <v/>
      </c>
      <c r="H383" s="68">
        <f>'Calendario I'!T81</f>
        <v/>
      </c>
      <c r="I383" s="68">
        <f>'Calendario I'!U81</f>
        <v/>
      </c>
      <c r="J383" s="68">
        <f>'Calendario I'!V81</f>
        <v/>
      </c>
      <c r="K383" s="68">
        <f>'Calendario I'!W81</f>
        <v/>
      </c>
      <c r="L383" s="68">
        <f>'Calendario I'!X81</f>
        <v/>
      </c>
      <c r="M383" s="68">
        <f>'Calendario I'!Y81</f>
        <v/>
      </c>
      <c r="N383" s="68">
        <f>'Calendario I'!Z81</f>
        <v/>
      </c>
    </row>
    <row r="384">
      <c r="A384" s="68">
        <f>'Calendario I'!M84</f>
        <v/>
      </c>
      <c r="B384" s="68">
        <f>'Calendario I'!N84</f>
        <v/>
      </c>
      <c r="C384" s="68">
        <f>'Calendario I'!O84</f>
        <v/>
      </c>
      <c r="D384" s="68">
        <f>'Calendario I'!P84</f>
        <v/>
      </c>
      <c r="E384" s="68">
        <f>'Calendario I'!Q84</f>
        <v/>
      </c>
      <c r="F384" s="68">
        <f>'Calendario I'!R84</f>
        <v/>
      </c>
      <c r="G384" s="68">
        <f>'Calendario I'!S84</f>
        <v/>
      </c>
      <c r="H384" s="68">
        <f>'Calendario I'!T84</f>
        <v/>
      </c>
      <c r="I384" s="68">
        <f>'Calendario I'!U84</f>
        <v/>
      </c>
      <c r="J384" s="68">
        <f>'Calendario I'!V84</f>
        <v/>
      </c>
      <c r="K384" s="68">
        <f>'Calendario I'!W84</f>
        <v/>
      </c>
      <c r="L384" s="68">
        <f>'Calendario I'!X84</f>
        <v/>
      </c>
      <c r="M384" s="68">
        <f>'Calendario I'!Y84</f>
        <v/>
      </c>
      <c r="N384" s="68">
        <f>'Calendario I'!Z84</f>
        <v/>
      </c>
    </row>
    <row r="385">
      <c r="A385" s="68">
        <f>'Calendario I'!M87</f>
        <v/>
      </c>
      <c r="B385" s="68">
        <f>'Calendario I'!N87</f>
        <v/>
      </c>
      <c r="C385" s="68">
        <f>'Calendario I'!O87</f>
        <v/>
      </c>
      <c r="D385" s="68">
        <f>'Calendario I'!P87</f>
        <v/>
      </c>
      <c r="E385" s="68">
        <f>'Calendario I'!Q87</f>
        <v/>
      </c>
      <c r="F385" s="68">
        <f>'Calendario I'!R87</f>
        <v/>
      </c>
      <c r="G385" s="68">
        <f>'Calendario I'!S87</f>
        <v/>
      </c>
      <c r="H385" s="68">
        <f>'Calendario I'!T87</f>
        <v/>
      </c>
      <c r="I385" s="68">
        <f>'Calendario I'!U87</f>
        <v/>
      </c>
      <c r="J385" s="68">
        <f>'Calendario I'!V87</f>
        <v/>
      </c>
      <c r="K385" s="68">
        <f>'Calendario I'!W87</f>
        <v/>
      </c>
      <c r="L385" s="68">
        <f>'Calendario I'!X87</f>
        <v/>
      </c>
      <c r="M385" s="68">
        <f>'Calendario I'!Y87</f>
        <v/>
      </c>
      <c r="N385" s="68">
        <f>'Calendario I'!Z87</f>
        <v/>
      </c>
    </row>
    <row r="386">
      <c r="A386" s="68">
        <f>'Calendario I'!M90</f>
        <v/>
      </c>
      <c r="B386" s="68">
        <f>'Calendario I'!N90</f>
        <v/>
      </c>
      <c r="C386" s="68">
        <f>'Calendario I'!O90</f>
        <v/>
      </c>
      <c r="D386" s="68">
        <f>'Calendario I'!P90</f>
        <v/>
      </c>
      <c r="E386" s="68">
        <f>'Calendario I'!Q90</f>
        <v/>
      </c>
      <c r="F386" s="68">
        <f>'Calendario I'!R90</f>
        <v/>
      </c>
      <c r="G386" s="68">
        <f>'Calendario I'!S90</f>
        <v/>
      </c>
      <c r="H386" s="68">
        <f>'Calendario I'!T90</f>
        <v/>
      </c>
      <c r="I386" s="68">
        <f>'Calendario I'!U90</f>
        <v/>
      </c>
      <c r="J386" s="68">
        <f>'Calendario I'!V90</f>
        <v/>
      </c>
      <c r="K386" s="68">
        <f>'Calendario I'!W90</f>
        <v/>
      </c>
      <c r="L386" s="68">
        <f>'Calendario I'!X90</f>
        <v/>
      </c>
      <c r="M386" s="68">
        <f>'Calendario I'!Y90</f>
        <v/>
      </c>
      <c r="N386" s="68">
        <f>'Calendario I'!Z90</f>
        <v/>
      </c>
    </row>
    <row r="387">
      <c r="A387" s="68">
        <f>'Calendario I'!M95</f>
        <v/>
      </c>
      <c r="B387" s="68">
        <f>'Calendario I'!N95</f>
        <v/>
      </c>
      <c r="C387" s="68">
        <f>'Calendario I'!O95</f>
        <v/>
      </c>
      <c r="D387" s="68">
        <f>'Calendario I'!P95</f>
        <v/>
      </c>
      <c r="E387" s="68">
        <f>'Calendario I'!Q95</f>
        <v/>
      </c>
      <c r="F387" s="68">
        <f>'Calendario I'!R95</f>
        <v/>
      </c>
      <c r="G387" s="68">
        <f>'Calendario I'!S95</f>
        <v/>
      </c>
      <c r="H387" s="68">
        <f>'Calendario I'!T95</f>
        <v/>
      </c>
      <c r="I387" s="68">
        <f>'Calendario I'!U95</f>
        <v/>
      </c>
      <c r="J387" s="68">
        <f>'Calendario I'!V95</f>
        <v/>
      </c>
      <c r="K387" s="68">
        <f>'Calendario I'!W95</f>
        <v/>
      </c>
      <c r="L387" s="68">
        <f>'Calendario I'!X95</f>
        <v/>
      </c>
      <c r="M387" s="68">
        <f>'Calendario I'!Y95</f>
        <v/>
      </c>
      <c r="N387" s="68">
        <f>'Calendario I'!Z95</f>
        <v/>
      </c>
    </row>
    <row r="388">
      <c r="A388" s="68">
        <f>'Calendario I'!M98</f>
        <v/>
      </c>
      <c r="B388" s="68">
        <f>'Calendario I'!N98</f>
        <v/>
      </c>
      <c r="C388" s="68">
        <f>'Calendario I'!O98</f>
        <v/>
      </c>
      <c r="D388" s="68">
        <f>'Calendario I'!P98</f>
        <v/>
      </c>
      <c r="E388" s="68">
        <f>'Calendario I'!Q98</f>
        <v/>
      </c>
      <c r="F388" s="68">
        <f>'Calendario I'!R98</f>
        <v/>
      </c>
      <c r="G388" s="68">
        <f>'Calendario I'!S98</f>
        <v/>
      </c>
      <c r="H388" s="68">
        <f>'Calendario I'!T98</f>
        <v/>
      </c>
      <c r="I388" s="68">
        <f>'Calendario I'!U98</f>
        <v/>
      </c>
      <c r="J388" s="68">
        <f>'Calendario I'!V98</f>
        <v/>
      </c>
      <c r="K388" s="68">
        <f>'Calendario I'!W98</f>
        <v/>
      </c>
      <c r="L388" s="68">
        <f>'Calendario I'!X98</f>
        <v/>
      </c>
      <c r="M388" s="68">
        <f>'Calendario I'!Y98</f>
        <v/>
      </c>
      <c r="N388" s="68">
        <f>'Calendario I'!Z98</f>
        <v/>
      </c>
    </row>
    <row r="389">
      <c r="A389" s="68">
        <f>'Calendario I'!M101</f>
        <v/>
      </c>
      <c r="B389" s="68">
        <f>'Calendario I'!N101</f>
        <v/>
      </c>
      <c r="C389" s="68">
        <f>'Calendario I'!O101</f>
        <v/>
      </c>
      <c r="D389" s="68">
        <f>'Calendario I'!P101</f>
        <v/>
      </c>
      <c r="E389" s="68">
        <f>'Calendario I'!Q101</f>
        <v/>
      </c>
      <c r="F389" s="68">
        <f>'Calendario I'!R101</f>
        <v/>
      </c>
      <c r="G389" s="68">
        <f>'Calendario I'!S101</f>
        <v/>
      </c>
      <c r="H389" s="68">
        <f>'Calendario I'!T101</f>
        <v/>
      </c>
      <c r="I389" s="68">
        <f>'Calendario I'!U101</f>
        <v/>
      </c>
      <c r="J389" s="68">
        <f>'Calendario I'!V101</f>
        <v/>
      </c>
      <c r="K389" s="68">
        <f>'Calendario I'!W101</f>
        <v/>
      </c>
      <c r="L389" s="68">
        <f>'Calendario I'!X101</f>
        <v/>
      </c>
      <c r="M389" s="68">
        <f>'Calendario I'!Y101</f>
        <v/>
      </c>
      <c r="N389" s="68">
        <f>'Calendario I'!Z101</f>
        <v/>
      </c>
    </row>
    <row r="390">
      <c r="A390" s="68">
        <f>'Calendario I'!M104</f>
        <v/>
      </c>
      <c r="B390" s="68">
        <f>'Calendario I'!N104</f>
        <v/>
      </c>
      <c r="C390" s="68">
        <f>'Calendario I'!O104</f>
        <v/>
      </c>
      <c r="D390" s="68">
        <f>'Calendario I'!P104</f>
        <v/>
      </c>
      <c r="E390" s="68">
        <f>'Calendario I'!Q104</f>
        <v/>
      </c>
      <c r="F390" s="68">
        <f>'Calendario I'!R104</f>
        <v/>
      </c>
      <c r="G390" s="68">
        <f>'Calendario I'!S104</f>
        <v/>
      </c>
      <c r="H390" s="68">
        <f>'Calendario I'!T104</f>
        <v/>
      </c>
      <c r="I390" s="68">
        <f>'Calendario I'!U104</f>
        <v/>
      </c>
      <c r="J390" s="68">
        <f>'Calendario I'!V104</f>
        <v/>
      </c>
      <c r="K390" s="68">
        <f>'Calendario I'!W104</f>
        <v/>
      </c>
      <c r="L390" s="68">
        <f>'Calendario I'!X104</f>
        <v/>
      </c>
      <c r="M390" s="68">
        <f>'Calendario I'!Y104</f>
        <v/>
      </c>
      <c r="N390" s="68">
        <f>'Calendario I'!Z104</f>
        <v/>
      </c>
    </row>
    <row r="391">
      <c r="A391" s="68">
        <f>'Calendario I'!M107</f>
        <v/>
      </c>
      <c r="B391" s="68">
        <f>'Calendario I'!N107</f>
        <v/>
      </c>
      <c r="C391" s="68">
        <f>'Calendario I'!O107</f>
        <v/>
      </c>
      <c r="D391" s="68">
        <f>'Calendario I'!P107</f>
        <v/>
      </c>
      <c r="E391" s="68">
        <f>'Calendario I'!Q107</f>
        <v/>
      </c>
      <c r="F391" s="68">
        <f>'Calendario I'!R107</f>
        <v/>
      </c>
      <c r="G391" s="68">
        <f>'Calendario I'!S107</f>
        <v/>
      </c>
      <c r="H391" s="68">
        <f>'Calendario I'!T107</f>
        <v/>
      </c>
      <c r="I391" s="68">
        <f>'Calendario I'!U107</f>
        <v/>
      </c>
      <c r="J391" s="68">
        <f>'Calendario I'!V107</f>
        <v/>
      </c>
      <c r="K391" s="68">
        <f>'Calendario I'!W107</f>
        <v/>
      </c>
      <c r="L391" s="68">
        <f>'Calendario I'!X107</f>
        <v/>
      </c>
      <c r="M391" s="68">
        <f>'Calendario I'!Y107</f>
        <v/>
      </c>
      <c r="N391" s="68">
        <f>'Calendario I'!Z107</f>
        <v/>
      </c>
    </row>
    <row r="392">
      <c r="A392" s="68">
        <f>'Calendario I'!M112</f>
        <v/>
      </c>
      <c r="B392" s="68">
        <f>'Calendario I'!N112</f>
        <v/>
      </c>
      <c r="C392" s="68">
        <f>'Calendario I'!O112</f>
        <v/>
      </c>
      <c r="D392" s="68">
        <f>'Calendario I'!P112</f>
        <v/>
      </c>
      <c r="E392" s="68">
        <f>'Calendario I'!Q112</f>
        <v/>
      </c>
      <c r="F392" s="68">
        <f>'Calendario I'!R112</f>
        <v/>
      </c>
      <c r="G392" s="68">
        <f>'Calendario I'!S112</f>
        <v/>
      </c>
      <c r="H392" s="68">
        <f>'Calendario I'!T112</f>
        <v/>
      </c>
      <c r="I392" s="68">
        <f>'Calendario I'!U112</f>
        <v/>
      </c>
      <c r="J392" s="68">
        <f>'Calendario I'!V112</f>
        <v/>
      </c>
      <c r="K392" s="68">
        <f>'Calendario I'!W112</f>
        <v/>
      </c>
      <c r="L392" s="68">
        <f>'Calendario I'!X112</f>
        <v/>
      </c>
      <c r="M392" s="68">
        <f>'Calendario I'!Y112</f>
        <v/>
      </c>
      <c r="N392" s="68">
        <f>'Calendario I'!Z112</f>
        <v/>
      </c>
    </row>
    <row r="393">
      <c r="A393" s="68">
        <f>'Calendario I'!M115</f>
        <v/>
      </c>
      <c r="B393" s="68">
        <f>'Calendario I'!N115</f>
        <v/>
      </c>
      <c r="C393" s="68">
        <f>'Calendario I'!O115</f>
        <v/>
      </c>
      <c r="D393" s="68">
        <f>'Calendario I'!P115</f>
        <v/>
      </c>
      <c r="E393" s="68">
        <f>'Calendario I'!Q115</f>
        <v/>
      </c>
      <c r="F393" s="68">
        <f>'Calendario I'!R115</f>
        <v/>
      </c>
      <c r="G393" s="68">
        <f>'Calendario I'!S115</f>
        <v/>
      </c>
      <c r="H393" s="68">
        <f>'Calendario I'!T115</f>
        <v/>
      </c>
      <c r="I393" s="68">
        <f>'Calendario I'!U115</f>
        <v/>
      </c>
      <c r="J393" s="68">
        <f>'Calendario I'!V115</f>
        <v/>
      </c>
      <c r="K393" s="68">
        <f>'Calendario I'!W115</f>
        <v/>
      </c>
      <c r="L393" s="68">
        <f>'Calendario I'!X115</f>
        <v/>
      </c>
      <c r="M393" s="68">
        <f>'Calendario I'!Y115</f>
        <v/>
      </c>
      <c r="N393" s="68">
        <f>'Calendario I'!Z115</f>
        <v/>
      </c>
    </row>
    <row r="394">
      <c r="A394" s="68">
        <f>'Calendario I'!M118</f>
        <v/>
      </c>
      <c r="B394" s="68">
        <f>'Calendario I'!N118</f>
        <v/>
      </c>
      <c r="C394" s="68">
        <f>'Calendario I'!O118</f>
        <v/>
      </c>
      <c r="D394" s="68">
        <f>'Calendario I'!P118</f>
        <v/>
      </c>
      <c r="E394" s="68">
        <f>'Calendario I'!Q118</f>
        <v/>
      </c>
      <c r="F394" s="68">
        <f>'Calendario I'!R118</f>
        <v/>
      </c>
      <c r="G394" s="68">
        <f>'Calendario I'!S118</f>
        <v/>
      </c>
      <c r="H394" s="68">
        <f>'Calendario I'!T118</f>
        <v/>
      </c>
      <c r="I394" s="68">
        <f>'Calendario I'!U118</f>
        <v/>
      </c>
      <c r="J394" s="68">
        <f>'Calendario I'!V118</f>
        <v/>
      </c>
      <c r="K394" s="68">
        <f>'Calendario I'!W118</f>
        <v/>
      </c>
      <c r="L394" s="68">
        <f>'Calendario I'!X118</f>
        <v/>
      </c>
      <c r="M394" s="68">
        <f>'Calendario I'!Y118</f>
        <v/>
      </c>
      <c r="N394" s="68">
        <f>'Calendario I'!Z118</f>
        <v/>
      </c>
    </row>
    <row r="395">
      <c r="A395" s="68">
        <f>'Calendario I'!M121</f>
        <v/>
      </c>
      <c r="B395" s="68">
        <f>'Calendario I'!N121</f>
        <v/>
      </c>
      <c r="C395" s="68">
        <f>'Calendario I'!O121</f>
        <v/>
      </c>
      <c r="D395" s="68">
        <f>'Calendario I'!P121</f>
        <v/>
      </c>
      <c r="E395" s="68">
        <f>'Calendario I'!Q121</f>
        <v/>
      </c>
      <c r="F395" s="68">
        <f>'Calendario I'!R121</f>
        <v/>
      </c>
      <c r="G395" s="68">
        <f>'Calendario I'!S121</f>
        <v/>
      </c>
      <c r="H395" s="68">
        <f>'Calendario I'!T121</f>
        <v/>
      </c>
      <c r="I395" s="68">
        <f>'Calendario I'!U121</f>
        <v/>
      </c>
      <c r="J395" s="68">
        <f>'Calendario I'!V121</f>
        <v/>
      </c>
      <c r="K395" s="68">
        <f>'Calendario I'!W121</f>
        <v/>
      </c>
      <c r="L395" s="68">
        <f>'Calendario I'!X121</f>
        <v/>
      </c>
      <c r="M395" s="68">
        <f>'Calendario I'!Y121</f>
        <v/>
      </c>
      <c r="N395" s="68">
        <f>'Calendario I'!Z121</f>
        <v/>
      </c>
    </row>
    <row r="396">
      <c r="A396" s="68">
        <f>'Calendario I'!M124</f>
        <v/>
      </c>
      <c r="B396" s="68">
        <f>'Calendario I'!N124</f>
        <v/>
      </c>
      <c r="C396" s="68">
        <f>'Calendario I'!O124</f>
        <v/>
      </c>
      <c r="D396" s="68">
        <f>'Calendario I'!P124</f>
        <v/>
      </c>
      <c r="E396" s="68">
        <f>'Calendario I'!Q124</f>
        <v/>
      </c>
      <c r="F396" s="68">
        <f>'Calendario I'!R124</f>
        <v/>
      </c>
      <c r="G396" s="68">
        <f>'Calendario I'!S124</f>
        <v/>
      </c>
      <c r="H396" s="68">
        <f>'Calendario I'!T124</f>
        <v/>
      </c>
      <c r="I396" s="68">
        <f>'Calendario I'!U124</f>
        <v/>
      </c>
      <c r="J396" s="68">
        <f>'Calendario I'!V124</f>
        <v/>
      </c>
      <c r="K396" s="68">
        <f>'Calendario I'!W124</f>
        <v/>
      </c>
      <c r="L396" s="68">
        <f>'Calendario I'!X124</f>
        <v/>
      </c>
      <c r="M396" s="68">
        <f>'Calendario I'!Y124</f>
        <v/>
      </c>
      <c r="N396" s="68">
        <f>'Calendario I'!Z124</f>
        <v/>
      </c>
    </row>
    <row r="397">
      <c r="A397" s="68">
        <f>'Calendario I'!M129</f>
        <v/>
      </c>
      <c r="B397" s="68">
        <f>'Calendario I'!N129</f>
        <v/>
      </c>
      <c r="C397" s="68">
        <f>'Calendario I'!O129</f>
        <v/>
      </c>
      <c r="D397" s="68">
        <f>'Calendario I'!P129</f>
        <v/>
      </c>
      <c r="E397" s="68">
        <f>'Calendario I'!Q129</f>
        <v/>
      </c>
      <c r="F397" s="68">
        <f>'Calendario I'!R129</f>
        <v/>
      </c>
      <c r="G397" s="68">
        <f>'Calendario I'!S129</f>
        <v/>
      </c>
      <c r="H397" s="68">
        <f>'Calendario I'!T129</f>
        <v/>
      </c>
      <c r="I397" s="68">
        <f>'Calendario I'!U129</f>
        <v/>
      </c>
      <c r="J397" s="68">
        <f>'Calendario I'!V129</f>
        <v/>
      </c>
      <c r="K397" s="68">
        <f>'Calendario I'!W129</f>
        <v/>
      </c>
      <c r="L397" s="68">
        <f>'Calendario I'!X129</f>
        <v/>
      </c>
      <c r="M397" s="68">
        <f>'Calendario I'!Y129</f>
        <v/>
      </c>
      <c r="N397" s="68">
        <f>'Calendario I'!Z129</f>
        <v/>
      </c>
    </row>
    <row r="398">
      <c r="A398" s="68">
        <f>'Calendario I'!M132</f>
        <v/>
      </c>
      <c r="B398" s="68">
        <f>'Calendario I'!N132</f>
        <v/>
      </c>
      <c r="C398" s="68">
        <f>'Calendario I'!O132</f>
        <v/>
      </c>
      <c r="D398" s="68">
        <f>'Calendario I'!P132</f>
        <v/>
      </c>
      <c r="E398" s="68">
        <f>'Calendario I'!Q132</f>
        <v/>
      </c>
      <c r="F398" s="68">
        <f>'Calendario I'!R132</f>
        <v/>
      </c>
      <c r="G398" s="68">
        <f>'Calendario I'!S132</f>
        <v/>
      </c>
      <c r="H398" s="68">
        <f>'Calendario I'!T132</f>
        <v/>
      </c>
      <c r="I398" s="68">
        <f>'Calendario I'!U132</f>
        <v/>
      </c>
      <c r="J398" s="68">
        <f>'Calendario I'!V132</f>
        <v/>
      </c>
      <c r="K398" s="68">
        <f>'Calendario I'!W132</f>
        <v/>
      </c>
      <c r="L398" s="68">
        <f>'Calendario I'!X132</f>
        <v/>
      </c>
      <c r="M398" s="68">
        <f>'Calendario I'!Y132</f>
        <v/>
      </c>
      <c r="N398" s="68">
        <f>'Calendario I'!Z132</f>
        <v/>
      </c>
    </row>
    <row r="399">
      <c r="A399" s="68">
        <f>'Calendario I'!M135</f>
        <v/>
      </c>
      <c r="B399" s="68">
        <f>'Calendario I'!N135</f>
        <v/>
      </c>
      <c r="C399" s="68">
        <f>'Calendario I'!O135</f>
        <v/>
      </c>
      <c r="D399" s="68">
        <f>'Calendario I'!P135</f>
        <v/>
      </c>
      <c r="E399" s="68">
        <f>'Calendario I'!Q135</f>
        <v/>
      </c>
      <c r="F399" s="68">
        <f>'Calendario I'!R135</f>
        <v/>
      </c>
      <c r="G399" s="68">
        <f>'Calendario I'!S135</f>
        <v/>
      </c>
      <c r="H399" s="68">
        <f>'Calendario I'!T135</f>
        <v/>
      </c>
      <c r="I399" s="68">
        <f>'Calendario I'!U135</f>
        <v/>
      </c>
      <c r="J399" s="68">
        <f>'Calendario I'!V135</f>
        <v/>
      </c>
      <c r="K399" s="68">
        <f>'Calendario I'!W135</f>
        <v/>
      </c>
      <c r="L399" s="68">
        <f>'Calendario I'!X135</f>
        <v/>
      </c>
      <c r="M399" s="68">
        <f>'Calendario I'!Y135</f>
        <v/>
      </c>
      <c r="N399" s="68">
        <f>'Calendario I'!Z135</f>
        <v/>
      </c>
    </row>
    <row r="400">
      <c r="A400" s="68">
        <f>'Calendario I'!M138</f>
        <v/>
      </c>
      <c r="B400" s="68">
        <f>'Calendario I'!N138</f>
        <v/>
      </c>
      <c r="C400" s="68">
        <f>'Calendario I'!O138</f>
        <v/>
      </c>
      <c r="D400" s="68">
        <f>'Calendario I'!P138</f>
        <v/>
      </c>
      <c r="E400" s="68">
        <f>'Calendario I'!Q138</f>
        <v/>
      </c>
      <c r="F400" s="68">
        <f>'Calendario I'!R138</f>
        <v/>
      </c>
      <c r="G400" s="68">
        <f>'Calendario I'!S138</f>
        <v/>
      </c>
      <c r="H400" s="68">
        <f>'Calendario I'!T138</f>
        <v/>
      </c>
      <c r="I400" s="68">
        <f>'Calendario I'!U138</f>
        <v/>
      </c>
      <c r="J400" s="68">
        <f>'Calendario I'!V138</f>
        <v/>
      </c>
      <c r="K400" s="68">
        <f>'Calendario I'!W138</f>
        <v/>
      </c>
      <c r="L400" s="68">
        <f>'Calendario I'!X138</f>
        <v/>
      </c>
      <c r="M400" s="68">
        <f>'Calendario I'!Y138</f>
        <v/>
      </c>
      <c r="N400" s="68">
        <f>'Calendario I'!Z138</f>
        <v/>
      </c>
    </row>
    <row r="401">
      <c r="A401" s="68">
        <f>'Calendario I'!M141</f>
        <v/>
      </c>
      <c r="B401" s="68">
        <f>'Calendario I'!N141</f>
        <v/>
      </c>
      <c r="C401" s="68">
        <f>'Calendario I'!O141</f>
        <v/>
      </c>
      <c r="D401" s="68">
        <f>'Calendario I'!P141</f>
        <v/>
      </c>
      <c r="E401" s="68">
        <f>'Calendario I'!Q141</f>
        <v/>
      </c>
      <c r="F401" s="68">
        <f>'Calendario I'!R141</f>
        <v/>
      </c>
      <c r="G401" s="68">
        <f>'Calendario I'!S141</f>
        <v/>
      </c>
      <c r="H401" s="68">
        <f>'Calendario I'!T141</f>
        <v/>
      </c>
      <c r="I401" s="68">
        <f>'Calendario I'!U141</f>
        <v/>
      </c>
      <c r="J401" s="68">
        <f>'Calendario I'!V141</f>
        <v/>
      </c>
      <c r="K401" s="68">
        <f>'Calendario I'!W141</f>
        <v/>
      </c>
      <c r="L401" s="68">
        <f>'Calendario I'!X141</f>
        <v/>
      </c>
      <c r="M401" s="68">
        <f>'Calendario I'!Y141</f>
        <v/>
      </c>
      <c r="N401" s="68">
        <f>'Calendario I'!Z141</f>
        <v/>
      </c>
    </row>
    <row r="402">
      <c r="A402" s="68">
        <f>'Calendario I'!M146</f>
        <v/>
      </c>
      <c r="B402" s="68">
        <f>'Calendario I'!N146</f>
        <v/>
      </c>
      <c r="C402" s="68">
        <f>'Calendario I'!O146</f>
        <v/>
      </c>
      <c r="D402" s="68">
        <f>'Calendario I'!P146</f>
        <v/>
      </c>
      <c r="E402" s="68">
        <f>'Calendario I'!Q146</f>
        <v/>
      </c>
      <c r="F402" s="68">
        <f>'Calendario I'!R146</f>
        <v/>
      </c>
      <c r="G402" s="68">
        <f>'Calendario I'!S146</f>
        <v/>
      </c>
      <c r="H402" s="68">
        <f>'Calendario I'!T146</f>
        <v/>
      </c>
      <c r="I402" s="68">
        <f>'Calendario I'!U146</f>
        <v/>
      </c>
      <c r="J402" s="68">
        <f>'Calendario I'!V146</f>
        <v/>
      </c>
      <c r="K402" s="68">
        <f>'Calendario I'!W146</f>
        <v/>
      </c>
      <c r="L402" s="68">
        <f>'Calendario I'!X146</f>
        <v/>
      </c>
      <c r="M402" s="68">
        <f>'Calendario I'!Y146</f>
        <v/>
      </c>
      <c r="N402" s="68">
        <f>'Calendario I'!Z146</f>
        <v/>
      </c>
    </row>
    <row r="403">
      <c r="A403" s="68">
        <f>'Calendario I'!M149</f>
        <v/>
      </c>
      <c r="B403" s="68">
        <f>'Calendario I'!N149</f>
        <v/>
      </c>
      <c r="C403" s="68">
        <f>'Calendario I'!O149</f>
        <v/>
      </c>
      <c r="D403" s="68">
        <f>'Calendario I'!P149</f>
        <v/>
      </c>
      <c r="E403" s="68">
        <f>'Calendario I'!Q149</f>
        <v/>
      </c>
      <c r="F403" s="68">
        <f>'Calendario I'!R149</f>
        <v/>
      </c>
      <c r="G403" s="68">
        <f>'Calendario I'!S149</f>
        <v/>
      </c>
      <c r="H403" s="68">
        <f>'Calendario I'!T149</f>
        <v/>
      </c>
      <c r="I403" s="68">
        <f>'Calendario I'!U149</f>
        <v/>
      </c>
      <c r="J403" s="68">
        <f>'Calendario I'!V149</f>
        <v/>
      </c>
      <c r="K403" s="68">
        <f>'Calendario I'!W149</f>
        <v/>
      </c>
      <c r="L403" s="68">
        <f>'Calendario I'!X149</f>
        <v/>
      </c>
      <c r="M403" s="68">
        <f>'Calendario I'!Y149</f>
        <v/>
      </c>
      <c r="N403" s="68">
        <f>'Calendario I'!Z149</f>
        <v/>
      </c>
    </row>
    <row r="404">
      <c r="A404" s="68">
        <f>'Calendario I'!M152</f>
        <v/>
      </c>
      <c r="B404" s="68">
        <f>'Calendario I'!N152</f>
        <v/>
      </c>
      <c r="C404" s="68">
        <f>'Calendario I'!O152</f>
        <v/>
      </c>
      <c r="D404" s="68">
        <f>'Calendario I'!P152</f>
        <v/>
      </c>
      <c r="E404" s="68">
        <f>'Calendario I'!Q152</f>
        <v/>
      </c>
      <c r="F404" s="68">
        <f>'Calendario I'!R152</f>
        <v/>
      </c>
      <c r="G404" s="68">
        <f>'Calendario I'!S152</f>
        <v/>
      </c>
      <c r="H404" s="68">
        <f>'Calendario I'!T152</f>
        <v/>
      </c>
      <c r="I404" s="68">
        <f>'Calendario I'!U152</f>
        <v/>
      </c>
      <c r="J404" s="68">
        <f>'Calendario I'!V152</f>
        <v/>
      </c>
      <c r="K404" s="68">
        <f>'Calendario I'!W152</f>
        <v/>
      </c>
      <c r="L404" s="68">
        <f>'Calendario I'!X152</f>
        <v/>
      </c>
      <c r="M404" s="68">
        <f>'Calendario I'!Y152</f>
        <v/>
      </c>
      <c r="N404" s="68">
        <f>'Calendario I'!Z152</f>
        <v/>
      </c>
    </row>
    <row r="405">
      <c r="A405" s="68">
        <f>'Calendario I'!M155</f>
        <v/>
      </c>
      <c r="B405" s="68">
        <f>'Calendario I'!N155</f>
        <v/>
      </c>
      <c r="C405" s="68">
        <f>'Calendario I'!O155</f>
        <v/>
      </c>
      <c r="D405" s="68">
        <f>'Calendario I'!P155</f>
        <v/>
      </c>
      <c r="E405" s="68">
        <f>'Calendario I'!Q155</f>
        <v/>
      </c>
      <c r="F405" s="68">
        <f>'Calendario I'!R155</f>
        <v/>
      </c>
      <c r="G405" s="68">
        <f>'Calendario I'!S155</f>
        <v/>
      </c>
      <c r="H405" s="68">
        <f>'Calendario I'!T155</f>
        <v/>
      </c>
      <c r="I405" s="68">
        <f>'Calendario I'!U155</f>
        <v/>
      </c>
      <c r="J405" s="68">
        <f>'Calendario I'!V155</f>
        <v/>
      </c>
      <c r="K405" s="68">
        <f>'Calendario I'!W155</f>
        <v/>
      </c>
      <c r="L405" s="68">
        <f>'Calendario I'!X155</f>
        <v/>
      </c>
      <c r="M405" s="68">
        <f>'Calendario I'!Y155</f>
        <v/>
      </c>
      <c r="N405" s="68">
        <f>'Calendario I'!Z155</f>
        <v/>
      </c>
    </row>
    <row r="406">
      <c r="A406" s="68">
        <f>'Calendario I'!M158</f>
        <v/>
      </c>
      <c r="B406" s="68">
        <f>'Calendario I'!N158</f>
        <v/>
      </c>
      <c r="C406" s="68">
        <f>'Calendario I'!O158</f>
        <v/>
      </c>
      <c r="D406" s="68">
        <f>'Calendario I'!P158</f>
        <v/>
      </c>
      <c r="E406" s="68">
        <f>'Calendario I'!Q158</f>
        <v/>
      </c>
      <c r="F406" s="68">
        <f>'Calendario I'!R158</f>
        <v/>
      </c>
      <c r="G406" s="68">
        <f>'Calendario I'!S158</f>
        <v/>
      </c>
      <c r="H406" s="68">
        <f>'Calendario I'!T158</f>
        <v/>
      </c>
      <c r="I406" s="68">
        <f>'Calendario I'!U158</f>
        <v/>
      </c>
      <c r="J406" s="68">
        <f>'Calendario I'!V158</f>
        <v/>
      </c>
      <c r="K406" s="68">
        <f>'Calendario I'!W158</f>
        <v/>
      </c>
      <c r="L406" s="68">
        <f>'Calendario I'!X158</f>
        <v/>
      </c>
      <c r="M406" s="68">
        <f>'Calendario I'!Y158</f>
        <v/>
      </c>
      <c r="N406" s="68">
        <f>'Calendario I'!Z158</f>
        <v/>
      </c>
    </row>
    <row r="407">
      <c r="A407" s="68">
        <f>'Calendario J'!M10</f>
        <v/>
      </c>
      <c r="B407" s="68">
        <f>'Calendario J'!N10</f>
        <v/>
      </c>
      <c r="C407" s="68">
        <f>'Calendario J'!O10</f>
        <v/>
      </c>
      <c r="D407" s="68">
        <f>'Calendario J'!P10</f>
        <v/>
      </c>
      <c r="E407" s="68">
        <f>'Calendario J'!Q10</f>
        <v/>
      </c>
      <c r="F407" s="68">
        <f>'Calendario J'!R10</f>
        <v/>
      </c>
      <c r="G407" s="68">
        <f>'Calendario J'!S10</f>
        <v/>
      </c>
      <c r="H407" s="68">
        <f>'Calendario J'!T10</f>
        <v/>
      </c>
      <c r="I407" s="68">
        <f>'Calendario J'!U10</f>
        <v/>
      </c>
      <c r="J407" s="68">
        <f>'Calendario J'!V10</f>
        <v/>
      </c>
      <c r="K407" s="68">
        <f>'Calendario J'!W10</f>
        <v/>
      </c>
      <c r="L407" s="68">
        <f>'Calendario J'!X10</f>
        <v/>
      </c>
      <c r="M407" s="68">
        <f>'Calendario J'!Y10</f>
        <v/>
      </c>
      <c r="N407" s="68">
        <f>'Calendario J'!Z10</f>
        <v/>
      </c>
    </row>
    <row r="408">
      <c r="A408" s="68">
        <f>'Calendario J'!M13</f>
        <v/>
      </c>
      <c r="B408" s="68">
        <f>'Calendario J'!N13</f>
        <v/>
      </c>
      <c r="C408" s="68">
        <f>'Calendario J'!O13</f>
        <v/>
      </c>
      <c r="D408" s="68">
        <f>'Calendario J'!P13</f>
        <v/>
      </c>
      <c r="E408" s="68">
        <f>'Calendario J'!Q13</f>
        <v/>
      </c>
      <c r="F408" s="68">
        <f>'Calendario J'!R13</f>
        <v/>
      </c>
      <c r="G408" s="68">
        <f>'Calendario J'!S13</f>
        <v/>
      </c>
      <c r="H408" s="68">
        <f>'Calendario J'!T13</f>
        <v/>
      </c>
      <c r="I408" s="68">
        <f>'Calendario J'!U13</f>
        <v/>
      </c>
      <c r="J408" s="68">
        <f>'Calendario J'!V13</f>
        <v/>
      </c>
      <c r="K408" s="68">
        <f>'Calendario J'!W13</f>
        <v/>
      </c>
      <c r="L408" s="68">
        <f>'Calendario J'!X13</f>
        <v/>
      </c>
      <c r="M408" s="68">
        <f>'Calendario J'!Y13</f>
        <v/>
      </c>
      <c r="N408" s="68">
        <f>'Calendario J'!Z13</f>
        <v/>
      </c>
    </row>
    <row r="409">
      <c r="A409" s="68">
        <f>'Calendario J'!M16</f>
        <v/>
      </c>
      <c r="B409" s="68">
        <f>'Calendario J'!N16</f>
        <v/>
      </c>
      <c r="C409" s="68">
        <f>'Calendario J'!O16</f>
        <v/>
      </c>
      <c r="D409" s="68">
        <f>'Calendario J'!P16</f>
        <v/>
      </c>
      <c r="E409" s="68">
        <f>'Calendario J'!Q16</f>
        <v/>
      </c>
      <c r="F409" s="68">
        <f>'Calendario J'!R16</f>
        <v/>
      </c>
      <c r="G409" s="68">
        <f>'Calendario J'!S16</f>
        <v/>
      </c>
      <c r="H409" s="68">
        <f>'Calendario J'!T16</f>
        <v/>
      </c>
      <c r="I409" s="68">
        <f>'Calendario J'!U16</f>
        <v/>
      </c>
      <c r="J409" s="68">
        <f>'Calendario J'!V16</f>
        <v/>
      </c>
      <c r="K409" s="68">
        <f>'Calendario J'!W16</f>
        <v/>
      </c>
      <c r="L409" s="68">
        <f>'Calendario J'!X16</f>
        <v/>
      </c>
      <c r="M409" s="68">
        <f>'Calendario J'!Y16</f>
        <v/>
      </c>
      <c r="N409" s="68">
        <f>'Calendario J'!Z16</f>
        <v/>
      </c>
    </row>
    <row r="410">
      <c r="A410" s="68">
        <f>'Calendario J'!M19</f>
        <v/>
      </c>
      <c r="B410" s="68">
        <f>'Calendario J'!N19</f>
        <v/>
      </c>
      <c r="C410" s="68">
        <f>'Calendario J'!O19</f>
        <v/>
      </c>
      <c r="D410" s="68">
        <f>'Calendario J'!P19</f>
        <v/>
      </c>
      <c r="E410" s="68">
        <f>'Calendario J'!Q19</f>
        <v/>
      </c>
      <c r="F410" s="68">
        <f>'Calendario J'!R19</f>
        <v/>
      </c>
      <c r="G410" s="68">
        <f>'Calendario J'!S19</f>
        <v/>
      </c>
      <c r="H410" s="68">
        <f>'Calendario J'!T19</f>
        <v/>
      </c>
      <c r="I410" s="68">
        <f>'Calendario J'!U19</f>
        <v/>
      </c>
      <c r="J410" s="68">
        <f>'Calendario J'!V19</f>
        <v/>
      </c>
      <c r="K410" s="68">
        <f>'Calendario J'!W19</f>
        <v/>
      </c>
      <c r="L410" s="68">
        <f>'Calendario J'!X19</f>
        <v/>
      </c>
      <c r="M410" s="68">
        <f>'Calendario J'!Y19</f>
        <v/>
      </c>
      <c r="N410" s="68">
        <f>'Calendario J'!Z19</f>
        <v/>
      </c>
    </row>
    <row r="411">
      <c r="A411" s="68">
        <f>'Calendario J'!M22</f>
        <v/>
      </c>
      <c r="B411" s="68">
        <f>'Calendario J'!N22</f>
        <v/>
      </c>
      <c r="C411" s="68">
        <f>'Calendario J'!O22</f>
        <v/>
      </c>
      <c r="D411" s="68">
        <f>'Calendario J'!P22</f>
        <v/>
      </c>
      <c r="E411" s="68">
        <f>'Calendario J'!Q22</f>
        <v/>
      </c>
      <c r="F411" s="68">
        <f>'Calendario J'!R22</f>
        <v/>
      </c>
      <c r="G411" s="68">
        <f>'Calendario J'!S22</f>
        <v/>
      </c>
      <c r="H411" s="68">
        <f>'Calendario J'!T22</f>
        <v/>
      </c>
      <c r="I411" s="68">
        <f>'Calendario J'!U22</f>
        <v/>
      </c>
      <c r="J411" s="68">
        <f>'Calendario J'!V22</f>
        <v/>
      </c>
      <c r="K411" s="68">
        <f>'Calendario J'!W22</f>
        <v/>
      </c>
      <c r="L411" s="68">
        <f>'Calendario J'!X22</f>
        <v/>
      </c>
      <c r="M411" s="68">
        <f>'Calendario J'!Y22</f>
        <v/>
      </c>
      <c r="N411" s="68">
        <f>'Calendario J'!Z22</f>
        <v/>
      </c>
    </row>
    <row r="412">
      <c r="A412" s="68">
        <f>'Calendario J'!M27</f>
        <v/>
      </c>
      <c r="B412" s="68">
        <f>'Calendario J'!N27</f>
        <v/>
      </c>
      <c r="C412" s="68">
        <f>'Calendario J'!O27</f>
        <v/>
      </c>
      <c r="D412" s="68">
        <f>'Calendario J'!P27</f>
        <v/>
      </c>
      <c r="E412" s="68">
        <f>'Calendario J'!Q27</f>
        <v/>
      </c>
      <c r="F412" s="68">
        <f>'Calendario J'!R27</f>
        <v/>
      </c>
      <c r="G412" s="68">
        <f>'Calendario J'!S27</f>
        <v/>
      </c>
      <c r="H412" s="68">
        <f>'Calendario J'!T27</f>
        <v/>
      </c>
      <c r="I412" s="68">
        <f>'Calendario J'!U27</f>
        <v/>
      </c>
      <c r="J412" s="68">
        <f>'Calendario J'!V27</f>
        <v/>
      </c>
      <c r="K412" s="68">
        <f>'Calendario J'!W27</f>
        <v/>
      </c>
      <c r="L412" s="68">
        <f>'Calendario J'!X27</f>
        <v/>
      </c>
      <c r="M412" s="68">
        <f>'Calendario J'!Y27</f>
        <v/>
      </c>
      <c r="N412" s="68">
        <f>'Calendario J'!Z27</f>
        <v/>
      </c>
    </row>
    <row r="413">
      <c r="A413" s="68">
        <f>'Calendario J'!M30</f>
        <v/>
      </c>
      <c r="B413" s="68">
        <f>'Calendario J'!N30</f>
        <v/>
      </c>
      <c r="C413" s="68">
        <f>'Calendario J'!O30</f>
        <v/>
      </c>
      <c r="D413" s="68">
        <f>'Calendario J'!P30</f>
        <v/>
      </c>
      <c r="E413" s="68">
        <f>'Calendario J'!Q30</f>
        <v/>
      </c>
      <c r="F413" s="68">
        <f>'Calendario J'!R30</f>
        <v/>
      </c>
      <c r="G413" s="68">
        <f>'Calendario J'!S30</f>
        <v/>
      </c>
      <c r="H413" s="68">
        <f>'Calendario J'!T30</f>
        <v/>
      </c>
      <c r="I413" s="68">
        <f>'Calendario J'!U30</f>
        <v/>
      </c>
      <c r="J413" s="68">
        <f>'Calendario J'!V30</f>
        <v/>
      </c>
      <c r="K413" s="68">
        <f>'Calendario J'!W30</f>
        <v/>
      </c>
      <c r="L413" s="68">
        <f>'Calendario J'!X30</f>
        <v/>
      </c>
      <c r="M413" s="68">
        <f>'Calendario J'!Y30</f>
        <v/>
      </c>
      <c r="N413" s="68">
        <f>'Calendario J'!Z30</f>
        <v/>
      </c>
    </row>
    <row r="414">
      <c r="A414" s="68">
        <f>'Calendario J'!M33</f>
        <v/>
      </c>
      <c r="B414" s="68">
        <f>'Calendario J'!N33</f>
        <v/>
      </c>
      <c r="C414" s="68">
        <f>'Calendario J'!O33</f>
        <v/>
      </c>
      <c r="D414" s="68">
        <f>'Calendario J'!P33</f>
        <v/>
      </c>
      <c r="E414" s="68">
        <f>'Calendario J'!Q33</f>
        <v/>
      </c>
      <c r="F414" s="68">
        <f>'Calendario J'!R33</f>
        <v/>
      </c>
      <c r="G414" s="68">
        <f>'Calendario J'!S33</f>
        <v/>
      </c>
      <c r="H414" s="68">
        <f>'Calendario J'!T33</f>
        <v/>
      </c>
      <c r="I414" s="68">
        <f>'Calendario J'!U33</f>
        <v/>
      </c>
      <c r="J414" s="68">
        <f>'Calendario J'!V33</f>
        <v/>
      </c>
      <c r="K414" s="68">
        <f>'Calendario J'!W33</f>
        <v/>
      </c>
      <c r="L414" s="68">
        <f>'Calendario J'!X33</f>
        <v/>
      </c>
      <c r="M414" s="68">
        <f>'Calendario J'!Y33</f>
        <v/>
      </c>
      <c r="N414" s="68">
        <f>'Calendario J'!Z33</f>
        <v/>
      </c>
    </row>
    <row r="415">
      <c r="A415" s="68">
        <f>'Calendario J'!M36</f>
        <v/>
      </c>
      <c r="B415" s="68">
        <f>'Calendario J'!N36</f>
        <v/>
      </c>
      <c r="C415" s="68">
        <f>'Calendario J'!O36</f>
        <v/>
      </c>
      <c r="D415" s="68">
        <f>'Calendario J'!P36</f>
        <v/>
      </c>
      <c r="E415" s="68">
        <f>'Calendario J'!Q36</f>
        <v/>
      </c>
      <c r="F415" s="68">
        <f>'Calendario J'!R36</f>
        <v/>
      </c>
      <c r="G415" s="68">
        <f>'Calendario J'!S36</f>
        <v/>
      </c>
      <c r="H415" s="68">
        <f>'Calendario J'!T36</f>
        <v/>
      </c>
      <c r="I415" s="68">
        <f>'Calendario J'!U36</f>
        <v/>
      </c>
      <c r="J415" s="68">
        <f>'Calendario J'!V36</f>
        <v/>
      </c>
      <c r="K415" s="68">
        <f>'Calendario J'!W36</f>
        <v/>
      </c>
      <c r="L415" s="68">
        <f>'Calendario J'!X36</f>
        <v/>
      </c>
      <c r="M415" s="68">
        <f>'Calendario J'!Y36</f>
        <v/>
      </c>
      <c r="N415" s="68">
        <f>'Calendario J'!Z36</f>
        <v/>
      </c>
    </row>
    <row r="416">
      <c r="A416" s="68">
        <f>'Calendario J'!M39</f>
        <v/>
      </c>
      <c r="B416" s="68">
        <f>'Calendario J'!N39</f>
        <v/>
      </c>
      <c r="C416" s="68">
        <f>'Calendario J'!O39</f>
        <v/>
      </c>
      <c r="D416" s="68">
        <f>'Calendario J'!P39</f>
        <v/>
      </c>
      <c r="E416" s="68">
        <f>'Calendario J'!Q39</f>
        <v/>
      </c>
      <c r="F416" s="68">
        <f>'Calendario J'!R39</f>
        <v/>
      </c>
      <c r="G416" s="68">
        <f>'Calendario J'!S39</f>
        <v/>
      </c>
      <c r="H416" s="68">
        <f>'Calendario J'!T39</f>
        <v/>
      </c>
      <c r="I416" s="68">
        <f>'Calendario J'!U39</f>
        <v/>
      </c>
      <c r="J416" s="68">
        <f>'Calendario J'!V39</f>
        <v/>
      </c>
      <c r="K416" s="68">
        <f>'Calendario J'!W39</f>
        <v/>
      </c>
      <c r="L416" s="68">
        <f>'Calendario J'!X39</f>
        <v/>
      </c>
      <c r="M416" s="68">
        <f>'Calendario J'!Y39</f>
        <v/>
      </c>
      <c r="N416" s="68">
        <f>'Calendario J'!Z39</f>
        <v/>
      </c>
    </row>
    <row r="417">
      <c r="A417" s="68">
        <f>'Calendario J'!M44</f>
        <v/>
      </c>
      <c r="B417" s="68">
        <f>'Calendario J'!N44</f>
        <v/>
      </c>
      <c r="C417" s="68">
        <f>'Calendario J'!O44</f>
        <v/>
      </c>
      <c r="D417" s="68">
        <f>'Calendario J'!P44</f>
        <v/>
      </c>
      <c r="E417" s="68">
        <f>'Calendario J'!Q44</f>
        <v/>
      </c>
      <c r="F417" s="68">
        <f>'Calendario J'!R44</f>
        <v/>
      </c>
      <c r="G417" s="68">
        <f>'Calendario J'!S44</f>
        <v/>
      </c>
      <c r="H417" s="68">
        <f>'Calendario J'!T44</f>
        <v/>
      </c>
      <c r="I417" s="68">
        <f>'Calendario J'!U44</f>
        <v/>
      </c>
      <c r="J417" s="68">
        <f>'Calendario J'!V44</f>
        <v/>
      </c>
      <c r="K417" s="68">
        <f>'Calendario J'!W44</f>
        <v/>
      </c>
      <c r="L417" s="68">
        <f>'Calendario J'!X44</f>
        <v/>
      </c>
      <c r="M417" s="68">
        <f>'Calendario J'!Y44</f>
        <v/>
      </c>
      <c r="N417" s="68">
        <f>'Calendario J'!Z44</f>
        <v/>
      </c>
    </row>
    <row r="418">
      <c r="A418" s="68">
        <f>'Calendario J'!M47</f>
        <v/>
      </c>
      <c r="B418" s="68">
        <f>'Calendario J'!N47</f>
        <v/>
      </c>
      <c r="C418" s="68">
        <f>'Calendario J'!O47</f>
        <v/>
      </c>
      <c r="D418" s="68">
        <f>'Calendario J'!P47</f>
        <v/>
      </c>
      <c r="E418" s="68">
        <f>'Calendario J'!Q47</f>
        <v/>
      </c>
      <c r="F418" s="68">
        <f>'Calendario J'!R47</f>
        <v/>
      </c>
      <c r="G418" s="68">
        <f>'Calendario J'!S47</f>
        <v/>
      </c>
      <c r="H418" s="68">
        <f>'Calendario J'!T47</f>
        <v/>
      </c>
      <c r="I418" s="68">
        <f>'Calendario J'!U47</f>
        <v/>
      </c>
      <c r="J418" s="68">
        <f>'Calendario J'!V47</f>
        <v/>
      </c>
      <c r="K418" s="68">
        <f>'Calendario J'!W47</f>
        <v/>
      </c>
      <c r="L418" s="68">
        <f>'Calendario J'!X47</f>
        <v/>
      </c>
      <c r="M418" s="68">
        <f>'Calendario J'!Y47</f>
        <v/>
      </c>
      <c r="N418" s="68">
        <f>'Calendario J'!Z47</f>
        <v/>
      </c>
    </row>
    <row r="419">
      <c r="A419" s="68">
        <f>'Calendario J'!M50</f>
        <v/>
      </c>
      <c r="B419" s="68">
        <f>'Calendario J'!N50</f>
        <v/>
      </c>
      <c r="C419" s="68">
        <f>'Calendario J'!O50</f>
        <v/>
      </c>
      <c r="D419" s="68">
        <f>'Calendario J'!P50</f>
        <v/>
      </c>
      <c r="E419" s="68">
        <f>'Calendario J'!Q50</f>
        <v/>
      </c>
      <c r="F419" s="68">
        <f>'Calendario J'!R50</f>
        <v/>
      </c>
      <c r="G419" s="68">
        <f>'Calendario J'!S50</f>
        <v/>
      </c>
      <c r="H419" s="68">
        <f>'Calendario J'!T50</f>
        <v/>
      </c>
      <c r="I419" s="68">
        <f>'Calendario J'!U50</f>
        <v/>
      </c>
      <c r="J419" s="68">
        <f>'Calendario J'!V50</f>
        <v/>
      </c>
      <c r="K419" s="68">
        <f>'Calendario J'!W50</f>
        <v/>
      </c>
      <c r="L419" s="68">
        <f>'Calendario J'!X50</f>
        <v/>
      </c>
      <c r="M419" s="68">
        <f>'Calendario J'!Y50</f>
        <v/>
      </c>
      <c r="N419" s="68">
        <f>'Calendario J'!Z50</f>
        <v/>
      </c>
    </row>
    <row r="420">
      <c r="A420" s="68">
        <f>'Calendario J'!M53</f>
        <v/>
      </c>
      <c r="B420" s="68">
        <f>'Calendario J'!N53</f>
        <v/>
      </c>
      <c r="C420" s="68">
        <f>'Calendario J'!O53</f>
        <v/>
      </c>
      <c r="D420" s="68">
        <f>'Calendario J'!P53</f>
        <v/>
      </c>
      <c r="E420" s="68">
        <f>'Calendario J'!Q53</f>
        <v/>
      </c>
      <c r="F420" s="68">
        <f>'Calendario J'!R53</f>
        <v/>
      </c>
      <c r="G420" s="68">
        <f>'Calendario J'!S53</f>
        <v/>
      </c>
      <c r="H420" s="68">
        <f>'Calendario J'!T53</f>
        <v/>
      </c>
      <c r="I420" s="68">
        <f>'Calendario J'!U53</f>
        <v/>
      </c>
      <c r="J420" s="68">
        <f>'Calendario J'!V53</f>
        <v/>
      </c>
      <c r="K420" s="68">
        <f>'Calendario J'!W53</f>
        <v/>
      </c>
      <c r="L420" s="68">
        <f>'Calendario J'!X53</f>
        <v/>
      </c>
      <c r="M420" s="68">
        <f>'Calendario J'!Y53</f>
        <v/>
      </c>
      <c r="N420" s="68">
        <f>'Calendario J'!Z53</f>
        <v/>
      </c>
    </row>
    <row r="421">
      <c r="A421" s="68">
        <f>'Calendario J'!M56</f>
        <v/>
      </c>
      <c r="B421" s="68">
        <f>'Calendario J'!N56</f>
        <v/>
      </c>
      <c r="C421" s="68">
        <f>'Calendario J'!O56</f>
        <v/>
      </c>
      <c r="D421" s="68">
        <f>'Calendario J'!P56</f>
        <v/>
      </c>
      <c r="E421" s="68">
        <f>'Calendario J'!Q56</f>
        <v/>
      </c>
      <c r="F421" s="68">
        <f>'Calendario J'!R56</f>
        <v/>
      </c>
      <c r="G421" s="68">
        <f>'Calendario J'!S56</f>
        <v/>
      </c>
      <c r="H421" s="68">
        <f>'Calendario J'!T56</f>
        <v/>
      </c>
      <c r="I421" s="68">
        <f>'Calendario J'!U56</f>
        <v/>
      </c>
      <c r="J421" s="68">
        <f>'Calendario J'!V56</f>
        <v/>
      </c>
      <c r="K421" s="68">
        <f>'Calendario J'!W56</f>
        <v/>
      </c>
      <c r="L421" s="68">
        <f>'Calendario J'!X56</f>
        <v/>
      </c>
      <c r="M421" s="68">
        <f>'Calendario J'!Y56</f>
        <v/>
      </c>
      <c r="N421" s="68">
        <f>'Calendario J'!Z56</f>
        <v/>
      </c>
    </row>
    <row r="422">
      <c r="A422" s="68">
        <f>'Calendario J'!M61</f>
        <v/>
      </c>
      <c r="B422" s="68">
        <f>'Calendario J'!N61</f>
        <v/>
      </c>
      <c r="C422" s="68">
        <f>'Calendario J'!O61</f>
        <v/>
      </c>
      <c r="D422" s="68">
        <f>'Calendario J'!P61</f>
        <v/>
      </c>
      <c r="E422" s="68">
        <f>'Calendario J'!Q61</f>
        <v/>
      </c>
      <c r="F422" s="68">
        <f>'Calendario J'!R61</f>
        <v/>
      </c>
      <c r="G422" s="68">
        <f>'Calendario J'!S61</f>
        <v/>
      </c>
      <c r="H422" s="68">
        <f>'Calendario J'!T61</f>
        <v/>
      </c>
      <c r="I422" s="68">
        <f>'Calendario J'!U61</f>
        <v/>
      </c>
      <c r="J422" s="68">
        <f>'Calendario J'!V61</f>
        <v/>
      </c>
      <c r="K422" s="68">
        <f>'Calendario J'!W61</f>
        <v/>
      </c>
      <c r="L422" s="68">
        <f>'Calendario J'!X61</f>
        <v/>
      </c>
      <c r="M422" s="68">
        <f>'Calendario J'!Y61</f>
        <v/>
      </c>
      <c r="N422" s="68">
        <f>'Calendario J'!Z61</f>
        <v/>
      </c>
    </row>
    <row r="423">
      <c r="A423" s="68">
        <f>'Calendario J'!M64</f>
        <v/>
      </c>
      <c r="B423" s="68">
        <f>'Calendario J'!N64</f>
        <v/>
      </c>
      <c r="C423" s="68">
        <f>'Calendario J'!O64</f>
        <v/>
      </c>
      <c r="D423" s="68">
        <f>'Calendario J'!P64</f>
        <v/>
      </c>
      <c r="E423" s="68">
        <f>'Calendario J'!Q64</f>
        <v/>
      </c>
      <c r="F423" s="68">
        <f>'Calendario J'!R64</f>
        <v/>
      </c>
      <c r="G423" s="68">
        <f>'Calendario J'!S64</f>
        <v/>
      </c>
      <c r="H423" s="68">
        <f>'Calendario J'!T64</f>
        <v/>
      </c>
      <c r="I423" s="68">
        <f>'Calendario J'!U64</f>
        <v/>
      </c>
      <c r="J423" s="68">
        <f>'Calendario J'!V64</f>
        <v/>
      </c>
      <c r="K423" s="68">
        <f>'Calendario J'!W64</f>
        <v/>
      </c>
      <c r="L423" s="68">
        <f>'Calendario J'!X64</f>
        <v/>
      </c>
      <c r="M423" s="68">
        <f>'Calendario J'!Y64</f>
        <v/>
      </c>
      <c r="N423" s="68">
        <f>'Calendario J'!Z64</f>
        <v/>
      </c>
    </row>
    <row r="424">
      <c r="A424" s="68">
        <f>'Calendario J'!M67</f>
        <v/>
      </c>
      <c r="B424" s="68">
        <f>'Calendario J'!N67</f>
        <v/>
      </c>
      <c r="C424" s="68">
        <f>'Calendario J'!O67</f>
        <v/>
      </c>
      <c r="D424" s="68">
        <f>'Calendario J'!P67</f>
        <v/>
      </c>
      <c r="E424" s="68">
        <f>'Calendario J'!Q67</f>
        <v/>
      </c>
      <c r="F424" s="68">
        <f>'Calendario J'!R67</f>
        <v/>
      </c>
      <c r="G424" s="68">
        <f>'Calendario J'!S67</f>
        <v/>
      </c>
      <c r="H424" s="68">
        <f>'Calendario J'!T67</f>
        <v/>
      </c>
      <c r="I424" s="68">
        <f>'Calendario J'!U67</f>
        <v/>
      </c>
      <c r="J424" s="68">
        <f>'Calendario J'!V67</f>
        <v/>
      </c>
      <c r="K424" s="68">
        <f>'Calendario J'!W67</f>
        <v/>
      </c>
      <c r="L424" s="68">
        <f>'Calendario J'!X67</f>
        <v/>
      </c>
      <c r="M424" s="68">
        <f>'Calendario J'!Y67</f>
        <v/>
      </c>
      <c r="N424" s="68">
        <f>'Calendario J'!Z67</f>
        <v/>
      </c>
    </row>
    <row r="425">
      <c r="A425" s="68">
        <f>'Calendario J'!M70</f>
        <v/>
      </c>
      <c r="B425" s="68">
        <f>'Calendario J'!N70</f>
        <v/>
      </c>
      <c r="C425" s="68">
        <f>'Calendario J'!O70</f>
        <v/>
      </c>
      <c r="D425" s="68">
        <f>'Calendario J'!P70</f>
        <v/>
      </c>
      <c r="E425" s="68">
        <f>'Calendario J'!Q70</f>
        <v/>
      </c>
      <c r="F425" s="68">
        <f>'Calendario J'!R70</f>
        <v/>
      </c>
      <c r="G425" s="68">
        <f>'Calendario J'!S70</f>
        <v/>
      </c>
      <c r="H425" s="68">
        <f>'Calendario J'!T70</f>
        <v/>
      </c>
      <c r="I425" s="68">
        <f>'Calendario J'!U70</f>
        <v/>
      </c>
      <c r="J425" s="68">
        <f>'Calendario J'!V70</f>
        <v/>
      </c>
      <c r="K425" s="68">
        <f>'Calendario J'!W70</f>
        <v/>
      </c>
      <c r="L425" s="68">
        <f>'Calendario J'!X70</f>
        <v/>
      </c>
      <c r="M425" s="68">
        <f>'Calendario J'!Y70</f>
        <v/>
      </c>
      <c r="N425" s="68">
        <f>'Calendario J'!Z70</f>
        <v/>
      </c>
    </row>
    <row r="426">
      <c r="A426" s="68">
        <f>'Calendario J'!M73</f>
        <v/>
      </c>
      <c r="B426" s="68">
        <f>'Calendario J'!N73</f>
        <v/>
      </c>
      <c r="C426" s="68">
        <f>'Calendario J'!O73</f>
        <v/>
      </c>
      <c r="D426" s="68">
        <f>'Calendario J'!P73</f>
        <v/>
      </c>
      <c r="E426" s="68">
        <f>'Calendario J'!Q73</f>
        <v/>
      </c>
      <c r="F426" s="68">
        <f>'Calendario J'!R73</f>
        <v/>
      </c>
      <c r="G426" s="68">
        <f>'Calendario J'!S73</f>
        <v/>
      </c>
      <c r="H426" s="68">
        <f>'Calendario J'!T73</f>
        <v/>
      </c>
      <c r="I426" s="68">
        <f>'Calendario J'!U73</f>
        <v/>
      </c>
      <c r="J426" s="68">
        <f>'Calendario J'!V73</f>
        <v/>
      </c>
      <c r="K426" s="68">
        <f>'Calendario J'!W73</f>
        <v/>
      </c>
      <c r="L426" s="68">
        <f>'Calendario J'!X73</f>
        <v/>
      </c>
      <c r="M426" s="68">
        <f>'Calendario J'!Y73</f>
        <v/>
      </c>
      <c r="N426" s="68">
        <f>'Calendario J'!Z73</f>
        <v/>
      </c>
    </row>
    <row r="427">
      <c r="A427" s="68">
        <f>'Calendario J'!M78</f>
        <v/>
      </c>
      <c r="B427" s="68">
        <f>'Calendario J'!N78</f>
        <v/>
      </c>
      <c r="C427" s="68">
        <f>'Calendario J'!O78</f>
        <v/>
      </c>
      <c r="D427" s="68">
        <f>'Calendario J'!P78</f>
        <v/>
      </c>
      <c r="E427" s="68">
        <f>'Calendario J'!Q78</f>
        <v/>
      </c>
      <c r="F427" s="68">
        <f>'Calendario J'!R78</f>
        <v/>
      </c>
      <c r="G427" s="68">
        <f>'Calendario J'!S78</f>
        <v/>
      </c>
      <c r="H427" s="68">
        <f>'Calendario J'!T78</f>
        <v/>
      </c>
      <c r="I427" s="68">
        <f>'Calendario J'!U78</f>
        <v/>
      </c>
      <c r="J427" s="68">
        <f>'Calendario J'!V78</f>
        <v/>
      </c>
      <c r="K427" s="68">
        <f>'Calendario J'!W78</f>
        <v/>
      </c>
      <c r="L427" s="68">
        <f>'Calendario J'!X78</f>
        <v/>
      </c>
      <c r="M427" s="68">
        <f>'Calendario J'!Y78</f>
        <v/>
      </c>
      <c r="N427" s="68">
        <f>'Calendario J'!Z78</f>
        <v/>
      </c>
    </row>
    <row r="428">
      <c r="A428" s="68">
        <f>'Calendario J'!M81</f>
        <v/>
      </c>
      <c r="B428" s="68">
        <f>'Calendario J'!N81</f>
        <v/>
      </c>
      <c r="C428" s="68">
        <f>'Calendario J'!O81</f>
        <v/>
      </c>
      <c r="D428" s="68">
        <f>'Calendario J'!P81</f>
        <v/>
      </c>
      <c r="E428" s="68">
        <f>'Calendario J'!Q81</f>
        <v/>
      </c>
      <c r="F428" s="68">
        <f>'Calendario J'!R81</f>
        <v/>
      </c>
      <c r="G428" s="68">
        <f>'Calendario J'!S81</f>
        <v/>
      </c>
      <c r="H428" s="68">
        <f>'Calendario J'!T81</f>
        <v/>
      </c>
      <c r="I428" s="68">
        <f>'Calendario J'!U81</f>
        <v/>
      </c>
      <c r="J428" s="68">
        <f>'Calendario J'!V81</f>
        <v/>
      </c>
      <c r="K428" s="68">
        <f>'Calendario J'!W81</f>
        <v/>
      </c>
      <c r="L428" s="68">
        <f>'Calendario J'!X81</f>
        <v/>
      </c>
      <c r="M428" s="68">
        <f>'Calendario J'!Y81</f>
        <v/>
      </c>
      <c r="N428" s="68">
        <f>'Calendario J'!Z81</f>
        <v/>
      </c>
    </row>
    <row r="429">
      <c r="A429" s="68">
        <f>'Calendario J'!M84</f>
        <v/>
      </c>
      <c r="B429" s="68">
        <f>'Calendario J'!N84</f>
        <v/>
      </c>
      <c r="C429" s="68">
        <f>'Calendario J'!O84</f>
        <v/>
      </c>
      <c r="D429" s="68">
        <f>'Calendario J'!P84</f>
        <v/>
      </c>
      <c r="E429" s="68">
        <f>'Calendario J'!Q84</f>
        <v/>
      </c>
      <c r="F429" s="68">
        <f>'Calendario J'!R84</f>
        <v/>
      </c>
      <c r="G429" s="68">
        <f>'Calendario J'!S84</f>
        <v/>
      </c>
      <c r="H429" s="68">
        <f>'Calendario J'!T84</f>
        <v/>
      </c>
      <c r="I429" s="68">
        <f>'Calendario J'!U84</f>
        <v/>
      </c>
      <c r="J429" s="68">
        <f>'Calendario J'!V84</f>
        <v/>
      </c>
      <c r="K429" s="68">
        <f>'Calendario J'!W84</f>
        <v/>
      </c>
      <c r="L429" s="68">
        <f>'Calendario J'!X84</f>
        <v/>
      </c>
      <c r="M429" s="68">
        <f>'Calendario J'!Y84</f>
        <v/>
      </c>
      <c r="N429" s="68">
        <f>'Calendario J'!Z84</f>
        <v/>
      </c>
    </row>
    <row r="430">
      <c r="A430" s="68">
        <f>'Calendario J'!M87</f>
        <v/>
      </c>
      <c r="B430" s="68">
        <f>'Calendario J'!N87</f>
        <v/>
      </c>
      <c r="C430" s="68">
        <f>'Calendario J'!O87</f>
        <v/>
      </c>
      <c r="D430" s="68">
        <f>'Calendario J'!P87</f>
        <v/>
      </c>
      <c r="E430" s="68">
        <f>'Calendario J'!Q87</f>
        <v/>
      </c>
      <c r="F430" s="68">
        <f>'Calendario J'!R87</f>
        <v/>
      </c>
      <c r="G430" s="68">
        <f>'Calendario J'!S87</f>
        <v/>
      </c>
      <c r="H430" s="68">
        <f>'Calendario J'!T87</f>
        <v/>
      </c>
      <c r="I430" s="68">
        <f>'Calendario J'!U87</f>
        <v/>
      </c>
      <c r="J430" s="68">
        <f>'Calendario J'!V87</f>
        <v/>
      </c>
      <c r="K430" s="68">
        <f>'Calendario J'!W87</f>
        <v/>
      </c>
      <c r="L430" s="68">
        <f>'Calendario J'!X87</f>
        <v/>
      </c>
      <c r="M430" s="68">
        <f>'Calendario J'!Y87</f>
        <v/>
      </c>
      <c r="N430" s="68">
        <f>'Calendario J'!Z87</f>
        <v/>
      </c>
    </row>
    <row r="431">
      <c r="A431" s="68">
        <f>'Calendario J'!M90</f>
        <v/>
      </c>
      <c r="B431" s="68">
        <f>'Calendario J'!N90</f>
        <v/>
      </c>
      <c r="C431" s="68">
        <f>'Calendario J'!O90</f>
        <v/>
      </c>
      <c r="D431" s="68">
        <f>'Calendario J'!P90</f>
        <v/>
      </c>
      <c r="E431" s="68">
        <f>'Calendario J'!Q90</f>
        <v/>
      </c>
      <c r="F431" s="68">
        <f>'Calendario J'!R90</f>
        <v/>
      </c>
      <c r="G431" s="68">
        <f>'Calendario J'!S90</f>
        <v/>
      </c>
      <c r="H431" s="68">
        <f>'Calendario J'!T90</f>
        <v/>
      </c>
      <c r="I431" s="68">
        <f>'Calendario J'!U90</f>
        <v/>
      </c>
      <c r="J431" s="68">
        <f>'Calendario J'!V90</f>
        <v/>
      </c>
      <c r="K431" s="68">
        <f>'Calendario J'!W90</f>
        <v/>
      </c>
      <c r="L431" s="68">
        <f>'Calendario J'!X90</f>
        <v/>
      </c>
      <c r="M431" s="68">
        <f>'Calendario J'!Y90</f>
        <v/>
      </c>
      <c r="N431" s="68">
        <f>'Calendario J'!Z90</f>
        <v/>
      </c>
    </row>
    <row r="432">
      <c r="A432" s="68">
        <f>'Calendario J'!M95</f>
        <v/>
      </c>
      <c r="B432" s="68">
        <f>'Calendario J'!N95</f>
        <v/>
      </c>
      <c r="C432" s="68">
        <f>'Calendario J'!O95</f>
        <v/>
      </c>
      <c r="D432" s="68">
        <f>'Calendario J'!P95</f>
        <v/>
      </c>
      <c r="E432" s="68">
        <f>'Calendario J'!Q95</f>
        <v/>
      </c>
      <c r="F432" s="68">
        <f>'Calendario J'!R95</f>
        <v/>
      </c>
      <c r="G432" s="68">
        <f>'Calendario J'!S95</f>
        <v/>
      </c>
      <c r="H432" s="68">
        <f>'Calendario J'!T95</f>
        <v/>
      </c>
      <c r="I432" s="68">
        <f>'Calendario J'!U95</f>
        <v/>
      </c>
      <c r="J432" s="68">
        <f>'Calendario J'!V95</f>
        <v/>
      </c>
      <c r="K432" s="68">
        <f>'Calendario J'!W95</f>
        <v/>
      </c>
      <c r="L432" s="68">
        <f>'Calendario J'!X95</f>
        <v/>
      </c>
      <c r="M432" s="68">
        <f>'Calendario J'!Y95</f>
        <v/>
      </c>
      <c r="N432" s="68">
        <f>'Calendario J'!Z95</f>
        <v/>
      </c>
    </row>
    <row r="433">
      <c r="A433" s="68">
        <f>'Calendario J'!M98</f>
        <v/>
      </c>
      <c r="B433" s="68">
        <f>'Calendario J'!N98</f>
        <v/>
      </c>
      <c r="C433" s="68">
        <f>'Calendario J'!O98</f>
        <v/>
      </c>
      <c r="D433" s="68">
        <f>'Calendario J'!P98</f>
        <v/>
      </c>
      <c r="E433" s="68">
        <f>'Calendario J'!Q98</f>
        <v/>
      </c>
      <c r="F433" s="68">
        <f>'Calendario J'!R98</f>
        <v/>
      </c>
      <c r="G433" s="68">
        <f>'Calendario J'!S98</f>
        <v/>
      </c>
      <c r="H433" s="68">
        <f>'Calendario J'!T98</f>
        <v/>
      </c>
      <c r="I433" s="68">
        <f>'Calendario J'!U98</f>
        <v/>
      </c>
      <c r="J433" s="68">
        <f>'Calendario J'!V98</f>
        <v/>
      </c>
      <c r="K433" s="68">
        <f>'Calendario J'!W98</f>
        <v/>
      </c>
      <c r="L433" s="68">
        <f>'Calendario J'!X98</f>
        <v/>
      </c>
      <c r="M433" s="68">
        <f>'Calendario J'!Y98</f>
        <v/>
      </c>
      <c r="N433" s="68">
        <f>'Calendario J'!Z98</f>
        <v/>
      </c>
    </row>
    <row r="434">
      <c r="A434" s="68">
        <f>'Calendario J'!M101</f>
        <v/>
      </c>
      <c r="B434" s="68">
        <f>'Calendario J'!N101</f>
        <v/>
      </c>
      <c r="C434" s="68">
        <f>'Calendario J'!O101</f>
        <v/>
      </c>
      <c r="D434" s="68">
        <f>'Calendario J'!P101</f>
        <v/>
      </c>
      <c r="E434" s="68">
        <f>'Calendario J'!Q101</f>
        <v/>
      </c>
      <c r="F434" s="68">
        <f>'Calendario J'!R101</f>
        <v/>
      </c>
      <c r="G434" s="68">
        <f>'Calendario J'!S101</f>
        <v/>
      </c>
      <c r="H434" s="68">
        <f>'Calendario J'!T101</f>
        <v/>
      </c>
      <c r="I434" s="68">
        <f>'Calendario J'!U101</f>
        <v/>
      </c>
      <c r="J434" s="68">
        <f>'Calendario J'!V101</f>
        <v/>
      </c>
      <c r="K434" s="68">
        <f>'Calendario J'!W101</f>
        <v/>
      </c>
      <c r="L434" s="68">
        <f>'Calendario J'!X101</f>
        <v/>
      </c>
      <c r="M434" s="68">
        <f>'Calendario J'!Y101</f>
        <v/>
      </c>
      <c r="N434" s="68">
        <f>'Calendario J'!Z101</f>
        <v/>
      </c>
    </row>
    <row r="435">
      <c r="A435" s="68">
        <f>'Calendario J'!M104</f>
        <v/>
      </c>
      <c r="B435" s="68">
        <f>'Calendario J'!N104</f>
        <v/>
      </c>
      <c r="C435" s="68">
        <f>'Calendario J'!O104</f>
        <v/>
      </c>
      <c r="D435" s="68">
        <f>'Calendario J'!P104</f>
        <v/>
      </c>
      <c r="E435" s="68">
        <f>'Calendario J'!Q104</f>
        <v/>
      </c>
      <c r="F435" s="68">
        <f>'Calendario J'!R104</f>
        <v/>
      </c>
      <c r="G435" s="68">
        <f>'Calendario J'!S104</f>
        <v/>
      </c>
      <c r="H435" s="68">
        <f>'Calendario J'!T104</f>
        <v/>
      </c>
      <c r="I435" s="68">
        <f>'Calendario J'!U104</f>
        <v/>
      </c>
      <c r="J435" s="68">
        <f>'Calendario J'!V104</f>
        <v/>
      </c>
      <c r="K435" s="68">
        <f>'Calendario J'!W104</f>
        <v/>
      </c>
      <c r="L435" s="68">
        <f>'Calendario J'!X104</f>
        <v/>
      </c>
      <c r="M435" s="68">
        <f>'Calendario J'!Y104</f>
        <v/>
      </c>
      <c r="N435" s="68">
        <f>'Calendario J'!Z104</f>
        <v/>
      </c>
    </row>
    <row r="436">
      <c r="A436" s="68">
        <f>'Calendario J'!M107</f>
        <v/>
      </c>
      <c r="B436" s="68">
        <f>'Calendario J'!N107</f>
        <v/>
      </c>
      <c r="C436" s="68">
        <f>'Calendario J'!O107</f>
        <v/>
      </c>
      <c r="D436" s="68">
        <f>'Calendario J'!P107</f>
        <v/>
      </c>
      <c r="E436" s="68">
        <f>'Calendario J'!Q107</f>
        <v/>
      </c>
      <c r="F436" s="68">
        <f>'Calendario J'!R107</f>
        <v/>
      </c>
      <c r="G436" s="68">
        <f>'Calendario J'!S107</f>
        <v/>
      </c>
      <c r="H436" s="68">
        <f>'Calendario J'!T107</f>
        <v/>
      </c>
      <c r="I436" s="68">
        <f>'Calendario J'!U107</f>
        <v/>
      </c>
      <c r="J436" s="68">
        <f>'Calendario J'!V107</f>
        <v/>
      </c>
      <c r="K436" s="68">
        <f>'Calendario J'!W107</f>
        <v/>
      </c>
      <c r="L436" s="68">
        <f>'Calendario J'!X107</f>
        <v/>
      </c>
      <c r="M436" s="68">
        <f>'Calendario J'!Y107</f>
        <v/>
      </c>
      <c r="N436" s="68">
        <f>'Calendario J'!Z107</f>
        <v/>
      </c>
    </row>
    <row r="437">
      <c r="A437" s="68">
        <f>'Calendario J'!M112</f>
        <v/>
      </c>
      <c r="B437" s="68">
        <f>'Calendario J'!N112</f>
        <v/>
      </c>
      <c r="C437" s="68">
        <f>'Calendario J'!O112</f>
        <v/>
      </c>
      <c r="D437" s="68">
        <f>'Calendario J'!P112</f>
        <v/>
      </c>
      <c r="E437" s="68">
        <f>'Calendario J'!Q112</f>
        <v/>
      </c>
      <c r="F437" s="68">
        <f>'Calendario J'!R112</f>
        <v/>
      </c>
      <c r="G437" s="68">
        <f>'Calendario J'!S112</f>
        <v/>
      </c>
      <c r="H437" s="68">
        <f>'Calendario J'!T112</f>
        <v/>
      </c>
      <c r="I437" s="68">
        <f>'Calendario J'!U112</f>
        <v/>
      </c>
      <c r="J437" s="68">
        <f>'Calendario J'!V112</f>
        <v/>
      </c>
      <c r="K437" s="68">
        <f>'Calendario J'!W112</f>
        <v/>
      </c>
      <c r="L437" s="68">
        <f>'Calendario J'!X112</f>
        <v/>
      </c>
      <c r="M437" s="68">
        <f>'Calendario J'!Y112</f>
        <v/>
      </c>
      <c r="N437" s="68">
        <f>'Calendario J'!Z112</f>
        <v/>
      </c>
    </row>
    <row r="438">
      <c r="A438" s="68">
        <f>'Calendario J'!M115</f>
        <v/>
      </c>
      <c r="B438" s="68">
        <f>'Calendario J'!N115</f>
        <v/>
      </c>
      <c r="C438" s="68">
        <f>'Calendario J'!O115</f>
        <v/>
      </c>
      <c r="D438" s="68">
        <f>'Calendario J'!P115</f>
        <v/>
      </c>
      <c r="E438" s="68">
        <f>'Calendario J'!Q115</f>
        <v/>
      </c>
      <c r="F438" s="68">
        <f>'Calendario J'!R115</f>
        <v/>
      </c>
      <c r="G438" s="68">
        <f>'Calendario J'!S115</f>
        <v/>
      </c>
      <c r="H438" s="68">
        <f>'Calendario J'!T115</f>
        <v/>
      </c>
      <c r="I438" s="68">
        <f>'Calendario J'!U115</f>
        <v/>
      </c>
      <c r="J438" s="68">
        <f>'Calendario J'!V115</f>
        <v/>
      </c>
      <c r="K438" s="68">
        <f>'Calendario J'!W115</f>
        <v/>
      </c>
      <c r="L438" s="68">
        <f>'Calendario J'!X115</f>
        <v/>
      </c>
      <c r="M438" s="68">
        <f>'Calendario J'!Y115</f>
        <v/>
      </c>
      <c r="N438" s="68">
        <f>'Calendario J'!Z115</f>
        <v/>
      </c>
    </row>
    <row r="439">
      <c r="A439" s="68">
        <f>'Calendario J'!M118</f>
        <v/>
      </c>
      <c r="B439" s="68">
        <f>'Calendario J'!N118</f>
        <v/>
      </c>
      <c r="C439" s="68">
        <f>'Calendario J'!O118</f>
        <v/>
      </c>
      <c r="D439" s="68">
        <f>'Calendario J'!P118</f>
        <v/>
      </c>
      <c r="E439" s="68">
        <f>'Calendario J'!Q118</f>
        <v/>
      </c>
      <c r="F439" s="68">
        <f>'Calendario J'!R118</f>
        <v/>
      </c>
      <c r="G439" s="68">
        <f>'Calendario J'!S118</f>
        <v/>
      </c>
      <c r="H439" s="68">
        <f>'Calendario J'!T118</f>
        <v/>
      </c>
      <c r="I439" s="68">
        <f>'Calendario J'!U118</f>
        <v/>
      </c>
      <c r="J439" s="68">
        <f>'Calendario J'!V118</f>
        <v/>
      </c>
      <c r="K439" s="68">
        <f>'Calendario J'!W118</f>
        <v/>
      </c>
      <c r="L439" s="68">
        <f>'Calendario J'!X118</f>
        <v/>
      </c>
      <c r="M439" s="68">
        <f>'Calendario J'!Y118</f>
        <v/>
      </c>
      <c r="N439" s="68">
        <f>'Calendario J'!Z118</f>
        <v/>
      </c>
    </row>
    <row r="440">
      <c r="A440" s="68">
        <f>'Calendario J'!M121</f>
        <v/>
      </c>
      <c r="B440" s="68">
        <f>'Calendario J'!N121</f>
        <v/>
      </c>
      <c r="C440" s="68">
        <f>'Calendario J'!O121</f>
        <v/>
      </c>
      <c r="D440" s="68">
        <f>'Calendario J'!P121</f>
        <v/>
      </c>
      <c r="E440" s="68">
        <f>'Calendario J'!Q121</f>
        <v/>
      </c>
      <c r="F440" s="68">
        <f>'Calendario J'!R121</f>
        <v/>
      </c>
      <c r="G440" s="68">
        <f>'Calendario J'!S121</f>
        <v/>
      </c>
      <c r="H440" s="68">
        <f>'Calendario J'!T121</f>
        <v/>
      </c>
      <c r="I440" s="68">
        <f>'Calendario J'!U121</f>
        <v/>
      </c>
      <c r="J440" s="68">
        <f>'Calendario J'!V121</f>
        <v/>
      </c>
      <c r="K440" s="68">
        <f>'Calendario J'!W121</f>
        <v/>
      </c>
      <c r="L440" s="68">
        <f>'Calendario J'!X121</f>
        <v/>
      </c>
      <c r="M440" s="68">
        <f>'Calendario J'!Y121</f>
        <v/>
      </c>
      <c r="N440" s="68">
        <f>'Calendario J'!Z121</f>
        <v/>
      </c>
    </row>
    <row r="441">
      <c r="A441" s="68">
        <f>'Calendario J'!M124</f>
        <v/>
      </c>
      <c r="B441" s="68">
        <f>'Calendario J'!N124</f>
        <v/>
      </c>
      <c r="C441" s="68">
        <f>'Calendario J'!O124</f>
        <v/>
      </c>
      <c r="D441" s="68">
        <f>'Calendario J'!P124</f>
        <v/>
      </c>
      <c r="E441" s="68">
        <f>'Calendario J'!Q124</f>
        <v/>
      </c>
      <c r="F441" s="68">
        <f>'Calendario J'!R124</f>
        <v/>
      </c>
      <c r="G441" s="68">
        <f>'Calendario J'!S124</f>
        <v/>
      </c>
      <c r="H441" s="68">
        <f>'Calendario J'!T124</f>
        <v/>
      </c>
      <c r="I441" s="68">
        <f>'Calendario J'!U124</f>
        <v/>
      </c>
      <c r="J441" s="68">
        <f>'Calendario J'!V124</f>
        <v/>
      </c>
      <c r="K441" s="68">
        <f>'Calendario J'!W124</f>
        <v/>
      </c>
      <c r="L441" s="68">
        <f>'Calendario J'!X124</f>
        <v/>
      </c>
      <c r="M441" s="68">
        <f>'Calendario J'!Y124</f>
        <v/>
      </c>
      <c r="N441" s="68">
        <f>'Calendario J'!Z124</f>
        <v/>
      </c>
    </row>
    <row r="442">
      <c r="A442" s="68">
        <f>'Calendario J'!M129</f>
        <v/>
      </c>
      <c r="B442" s="68">
        <f>'Calendario J'!N129</f>
        <v/>
      </c>
      <c r="C442" s="68">
        <f>'Calendario J'!O129</f>
        <v/>
      </c>
      <c r="D442" s="68">
        <f>'Calendario J'!P129</f>
        <v/>
      </c>
      <c r="E442" s="68">
        <f>'Calendario J'!Q129</f>
        <v/>
      </c>
      <c r="F442" s="68">
        <f>'Calendario J'!R129</f>
        <v/>
      </c>
      <c r="G442" s="68">
        <f>'Calendario J'!S129</f>
        <v/>
      </c>
      <c r="H442" s="68">
        <f>'Calendario J'!T129</f>
        <v/>
      </c>
      <c r="I442" s="68">
        <f>'Calendario J'!U129</f>
        <v/>
      </c>
      <c r="J442" s="68">
        <f>'Calendario J'!V129</f>
        <v/>
      </c>
      <c r="K442" s="68">
        <f>'Calendario J'!W129</f>
        <v/>
      </c>
      <c r="L442" s="68">
        <f>'Calendario J'!X129</f>
        <v/>
      </c>
      <c r="M442" s="68">
        <f>'Calendario J'!Y129</f>
        <v/>
      </c>
      <c r="N442" s="68">
        <f>'Calendario J'!Z129</f>
        <v/>
      </c>
    </row>
    <row r="443">
      <c r="A443" s="68">
        <f>'Calendario J'!M132</f>
        <v/>
      </c>
      <c r="B443" s="68">
        <f>'Calendario J'!N132</f>
        <v/>
      </c>
      <c r="C443" s="68">
        <f>'Calendario J'!O132</f>
        <v/>
      </c>
      <c r="D443" s="68">
        <f>'Calendario J'!P132</f>
        <v/>
      </c>
      <c r="E443" s="68">
        <f>'Calendario J'!Q132</f>
        <v/>
      </c>
      <c r="F443" s="68">
        <f>'Calendario J'!R132</f>
        <v/>
      </c>
      <c r="G443" s="68">
        <f>'Calendario J'!S132</f>
        <v/>
      </c>
      <c r="H443" s="68">
        <f>'Calendario J'!T132</f>
        <v/>
      </c>
      <c r="I443" s="68">
        <f>'Calendario J'!U132</f>
        <v/>
      </c>
      <c r="J443" s="68">
        <f>'Calendario J'!V132</f>
        <v/>
      </c>
      <c r="K443" s="68">
        <f>'Calendario J'!W132</f>
        <v/>
      </c>
      <c r="L443" s="68">
        <f>'Calendario J'!X132</f>
        <v/>
      </c>
      <c r="M443" s="68">
        <f>'Calendario J'!Y132</f>
        <v/>
      </c>
      <c r="N443" s="68">
        <f>'Calendario J'!Z132</f>
        <v/>
      </c>
    </row>
    <row r="444">
      <c r="A444" s="68">
        <f>'Calendario J'!M135</f>
        <v/>
      </c>
      <c r="B444" s="68">
        <f>'Calendario J'!N135</f>
        <v/>
      </c>
      <c r="C444" s="68">
        <f>'Calendario J'!O135</f>
        <v/>
      </c>
      <c r="D444" s="68">
        <f>'Calendario J'!P135</f>
        <v/>
      </c>
      <c r="E444" s="68">
        <f>'Calendario J'!Q135</f>
        <v/>
      </c>
      <c r="F444" s="68">
        <f>'Calendario J'!R135</f>
        <v/>
      </c>
      <c r="G444" s="68">
        <f>'Calendario J'!S135</f>
        <v/>
      </c>
      <c r="H444" s="68">
        <f>'Calendario J'!T135</f>
        <v/>
      </c>
      <c r="I444" s="68">
        <f>'Calendario J'!U135</f>
        <v/>
      </c>
      <c r="J444" s="68">
        <f>'Calendario J'!V135</f>
        <v/>
      </c>
      <c r="K444" s="68">
        <f>'Calendario J'!W135</f>
        <v/>
      </c>
      <c r="L444" s="68">
        <f>'Calendario J'!X135</f>
        <v/>
      </c>
      <c r="M444" s="68">
        <f>'Calendario J'!Y135</f>
        <v/>
      </c>
      <c r="N444" s="68">
        <f>'Calendario J'!Z135</f>
        <v/>
      </c>
    </row>
    <row r="445">
      <c r="A445" s="68">
        <f>'Calendario J'!M138</f>
        <v/>
      </c>
      <c r="B445" s="68">
        <f>'Calendario J'!N138</f>
        <v/>
      </c>
      <c r="C445" s="68">
        <f>'Calendario J'!O138</f>
        <v/>
      </c>
      <c r="D445" s="68">
        <f>'Calendario J'!P138</f>
        <v/>
      </c>
      <c r="E445" s="68">
        <f>'Calendario J'!Q138</f>
        <v/>
      </c>
      <c r="F445" s="68">
        <f>'Calendario J'!R138</f>
        <v/>
      </c>
      <c r="G445" s="68">
        <f>'Calendario J'!S138</f>
        <v/>
      </c>
      <c r="H445" s="68">
        <f>'Calendario J'!T138</f>
        <v/>
      </c>
      <c r="I445" s="68">
        <f>'Calendario J'!U138</f>
        <v/>
      </c>
      <c r="J445" s="68">
        <f>'Calendario J'!V138</f>
        <v/>
      </c>
      <c r="K445" s="68">
        <f>'Calendario J'!W138</f>
        <v/>
      </c>
      <c r="L445" s="68">
        <f>'Calendario J'!X138</f>
        <v/>
      </c>
      <c r="M445" s="68">
        <f>'Calendario J'!Y138</f>
        <v/>
      </c>
      <c r="N445" s="68">
        <f>'Calendario J'!Z138</f>
        <v/>
      </c>
    </row>
    <row r="446">
      <c r="A446" s="68">
        <f>'Calendario J'!M141</f>
        <v/>
      </c>
      <c r="B446" s="68">
        <f>'Calendario J'!N141</f>
        <v/>
      </c>
      <c r="C446" s="68">
        <f>'Calendario J'!O141</f>
        <v/>
      </c>
      <c r="D446" s="68">
        <f>'Calendario J'!P141</f>
        <v/>
      </c>
      <c r="E446" s="68">
        <f>'Calendario J'!Q141</f>
        <v/>
      </c>
      <c r="F446" s="68">
        <f>'Calendario J'!R141</f>
        <v/>
      </c>
      <c r="G446" s="68">
        <f>'Calendario J'!S141</f>
        <v/>
      </c>
      <c r="H446" s="68">
        <f>'Calendario J'!T141</f>
        <v/>
      </c>
      <c r="I446" s="68">
        <f>'Calendario J'!U141</f>
        <v/>
      </c>
      <c r="J446" s="68">
        <f>'Calendario J'!V141</f>
        <v/>
      </c>
      <c r="K446" s="68">
        <f>'Calendario J'!W141</f>
        <v/>
      </c>
      <c r="L446" s="68">
        <f>'Calendario J'!X141</f>
        <v/>
      </c>
      <c r="M446" s="68">
        <f>'Calendario J'!Y141</f>
        <v/>
      </c>
      <c r="N446" s="68">
        <f>'Calendario J'!Z141</f>
        <v/>
      </c>
    </row>
    <row r="447">
      <c r="A447" s="68">
        <f>'Calendario J'!M146</f>
        <v/>
      </c>
      <c r="B447" s="68">
        <f>'Calendario J'!N146</f>
        <v/>
      </c>
      <c r="C447" s="68">
        <f>'Calendario J'!O146</f>
        <v/>
      </c>
      <c r="D447" s="68">
        <f>'Calendario J'!P146</f>
        <v/>
      </c>
      <c r="E447" s="68">
        <f>'Calendario J'!Q146</f>
        <v/>
      </c>
      <c r="F447" s="68">
        <f>'Calendario J'!R146</f>
        <v/>
      </c>
      <c r="G447" s="68">
        <f>'Calendario J'!S146</f>
        <v/>
      </c>
      <c r="H447" s="68">
        <f>'Calendario J'!T146</f>
        <v/>
      </c>
      <c r="I447" s="68">
        <f>'Calendario J'!U146</f>
        <v/>
      </c>
      <c r="J447" s="68">
        <f>'Calendario J'!V146</f>
        <v/>
      </c>
      <c r="K447" s="68">
        <f>'Calendario J'!W146</f>
        <v/>
      </c>
      <c r="L447" s="68">
        <f>'Calendario J'!X146</f>
        <v/>
      </c>
      <c r="M447" s="68">
        <f>'Calendario J'!Y146</f>
        <v/>
      </c>
      <c r="N447" s="68">
        <f>'Calendario J'!Z146</f>
        <v/>
      </c>
    </row>
    <row r="448">
      <c r="A448" s="68">
        <f>'Calendario J'!M149</f>
        <v/>
      </c>
      <c r="B448" s="68">
        <f>'Calendario J'!N149</f>
        <v/>
      </c>
      <c r="C448" s="68">
        <f>'Calendario J'!O149</f>
        <v/>
      </c>
      <c r="D448" s="68">
        <f>'Calendario J'!P149</f>
        <v/>
      </c>
      <c r="E448" s="68">
        <f>'Calendario J'!Q149</f>
        <v/>
      </c>
      <c r="F448" s="68">
        <f>'Calendario J'!R149</f>
        <v/>
      </c>
      <c r="G448" s="68">
        <f>'Calendario J'!S149</f>
        <v/>
      </c>
      <c r="H448" s="68">
        <f>'Calendario J'!T149</f>
        <v/>
      </c>
      <c r="I448" s="68">
        <f>'Calendario J'!U149</f>
        <v/>
      </c>
      <c r="J448" s="68">
        <f>'Calendario J'!V149</f>
        <v/>
      </c>
      <c r="K448" s="68">
        <f>'Calendario J'!W149</f>
        <v/>
      </c>
      <c r="L448" s="68">
        <f>'Calendario J'!X149</f>
        <v/>
      </c>
      <c r="M448" s="68">
        <f>'Calendario J'!Y149</f>
        <v/>
      </c>
      <c r="N448" s="68">
        <f>'Calendario J'!Z149</f>
        <v/>
      </c>
    </row>
    <row r="449">
      <c r="A449" s="68">
        <f>'Calendario J'!M152</f>
        <v/>
      </c>
      <c r="B449" s="68">
        <f>'Calendario J'!N152</f>
        <v/>
      </c>
      <c r="C449" s="68">
        <f>'Calendario J'!O152</f>
        <v/>
      </c>
      <c r="D449" s="68">
        <f>'Calendario J'!P152</f>
        <v/>
      </c>
      <c r="E449" s="68">
        <f>'Calendario J'!Q152</f>
        <v/>
      </c>
      <c r="F449" s="68">
        <f>'Calendario J'!R152</f>
        <v/>
      </c>
      <c r="G449" s="68">
        <f>'Calendario J'!S152</f>
        <v/>
      </c>
      <c r="H449" s="68">
        <f>'Calendario J'!T152</f>
        <v/>
      </c>
      <c r="I449" s="68">
        <f>'Calendario J'!U152</f>
        <v/>
      </c>
      <c r="J449" s="68">
        <f>'Calendario J'!V152</f>
        <v/>
      </c>
      <c r="K449" s="68">
        <f>'Calendario J'!W152</f>
        <v/>
      </c>
      <c r="L449" s="68">
        <f>'Calendario J'!X152</f>
        <v/>
      </c>
      <c r="M449" s="68">
        <f>'Calendario J'!Y152</f>
        <v/>
      </c>
      <c r="N449" s="68">
        <f>'Calendario J'!Z152</f>
        <v/>
      </c>
    </row>
    <row r="450">
      <c r="A450" s="68">
        <f>'Calendario J'!M155</f>
        <v/>
      </c>
      <c r="B450" s="68">
        <f>'Calendario J'!N155</f>
        <v/>
      </c>
      <c r="C450" s="68">
        <f>'Calendario J'!O155</f>
        <v/>
      </c>
      <c r="D450" s="68">
        <f>'Calendario J'!P155</f>
        <v/>
      </c>
      <c r="E450" s="68">
        <f>'Calendario J'!Q155</f>
        <v/>
      </c>
      <c r="F450" s="68">
        <f>'Calendario J'!R155</f>
        <v/>
      </c>
      <c r="G450" s="68">
        <f>'Calendario J'!S155</f>
        <v/>
      </c>
      <c r="H450" s="68">
        <f>'Calendario J'!T155</f>
        <v/>
      </c>
      <c r="I450" s="68">
        <f>'Calendario J'!U155</f>
        <v/>
      </c>
      <c r="J450" s="68">
        <f>'Calendario J'!V155</f>
        <v/>
      </c>
      <c r="K450" s="68">
        <f>'Calendario J'!W155</f>
        <v/>
      </c>
      <c r="L450" s="68">
        <f>'Calendario J'!X155</f>
        <v/>
      </c>
      <c r="M450" s="68">
        <f>'Calendario J'!Y155</f>
        <v/>
      </c>
      <c r="N450" s="68">
        <f>'Calendario J'!Z155</f>
        <v/>
      </c>
    </row>
    <row r="451">
      <c r="A451" s="68">
        <f>'Calendario J'!M158</f>
        <v/>
      </c>
      <c r="B451" s="68">
        <f>'Calendario J'!N158</f>
        <v/>
      </c>
      <c r="C451" s="68">
        <f>'Calendario J'!O158</f>
        <v/>
      </c>
      <c r="D451" s="68">
        <f>'Calendario J'!P158</f>
        <v/>
      </c>
      <c r="E451" s="68">
        <f>'Calendario J'!Q158</f>
        <v/>
      </c>
      <c r="F451" s="68">
        <f>'Calendario J'!R158</f>
        <v/>
      </c>
      <c r="G451" s="68">
        <f>'Calendario J'!S158</f>
        <v/>
      </c>
      <c r="H451" s="68">
        <f>'Calendario J'!T158</f>
        <v/>
      </c>
      <c r="I451" s="68">
        <f>'Calendario J'!U158</f>
        <v/>
      </c>
      <c r="J451" s="68">
        <f>'Calendario J'!V158</f>
        <v/>
      </c>
      <c r="K451" s="68">
        <f>'Calendario J'!W158</f>
        <v/>
      </c>
      <c r="L451" s="68">
        <f>'Calendario J'!X158</f>
        <v/>
      </c>
      <c r="M451" s="68">
        <f>'Calendario J'!Y158</f>
        <v/>
      </c>
      <c r="N451" s="68">
        <f>'Calendario J'!Z158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1.25" defaultRowHeight="15" customHeight="1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2026-09-12T06:04:04Z</dcterms:created>
  <dcterms:modified xmlns:dcterms="http://purl.org/dc/terms/" xmlns:xsi="http://www.w3.org/2001/XMLSchema-instance" xsi:type="dcterms:W3CDTF">2026-09-12T06:04:37Z</dcterms:modified>
</cp:coreProperties>
</file>